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Indra-Project/StabTraj/"/>
    </mc:Choice>
  </mc:AlternateContent>
  <xr:revisionPtr revIDLastSave="5" documentId="13_ncr:1_{07BF5856-6F00-4913-86D7-FFEE903B7D6A}" xr6:coauthVersionLast="47" xr6:coauthVersionMax="47" xr10:uidLastSave="{C85479ED-86E5-47E7-93C0-10D1974C9860}"/>
  <bookViews>
    <workbookView xWindow="-108" yWindow="-108" windowWidth="23256" windowHeight="12456"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C27" i="1" s="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4" i="6"/>
  <c r="E11" i="7" s="1"/>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B197" i="6"/>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F3" i="4"/>
  <c r="M4" i="4"/>
  <c r="R3" i="4"/>
  <c r="R2" i="4"/>
  <c r="E4" i="4"/>
  <c r="R4" i="4"/>
  <c r="J4" i="4"/>
  <c r="P2" i="4"/>
  <c r="I3" i="4"/>
  <c r="L4" i="4"/>
  <c r="Q4" i="4"/>
  <c r="U4" i="4"/>
  <c r="S3" i="4"/>
  <c r="Y3" i="4"/>
  <c r="E3" i="4"/>
  <c r="L3" i="4"/>
  <c r="D3" i="4"/>
  <c r="G4" i="4"/>
  <c r="T2" i="4"/>
  <c r="D4" i="4"/>
  <c r="X2" i="4"/>
  <c r="X4" i="4"/>
  <c r="C3" i="4"/>
  <c r="U3" i="4"/>
  <c r="H2" i="4"/>
  <c r="N3" i="4"/>
  <c r="F2" i="4"/>
  <c r="W4" i="4"/>
  <c r="Q3" i="4"/>
  <c r="M3" i="4"/>
  <c r="J2" i="4"/>
  <c r="K3" i="4"/>
  <c r="B3" i="4"/>
  <c r="P3" i="4"/>
  <c r="D2" i="4"/>
  <c r="K4" i="4"/>
  <c r="V4" i="4"/>
  <c r="X3" i="4"/>
  <c r="N2" i="4"/>
  <c r="N4" i="4"/>
  <c r="S4" i="4"/>
  <c r="Y4" i="4"/>
  <c r="T3" i="4"/>
  <c r="O4" i="4"/>
  <c r="L2" i="4"/>
  <c r="P4" i="4"/>
  <c r="H3" i="4"/>
  <c r="H4" i="4"/>
  <c r="F4" i="4"/>
  <c r="V2" i="4"/>
  <c r="G3" i="4"/>
  <c r="Z2" i="4"/>
  <c r="T4" i="4"/>
  <c r="O3" i="4"/>
  <c r="I4" i="4"/>
  <c r="C4" i="4"/>
  <c r="V3" i="4"/>
  <c r="J3" i="4"/>
  <c r="C208" i="6" l="1"/>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53" i="8"/>
  <c r="F53" i="8" s="1"/>
  <c r="I53"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R194" i="4"/>
  <c r="P196" i="4"/>
  <c r="W235" i="4"/>
  <c r="U236" i="4"/>
  <c r="W200" i="4"/>
  <c r="U201" i="4"/>
  <c r="X215" i="4"/>
  <c r="V216" i="4"/>
  <c r="V226" i="4"/>
  <c r="X225" i="4"/>
  <c r="X190" i="4"/>
  <c r="V191" i="4"/>
  <c r="I31" i="6"/>
  <c r="C154" i="6" s="1"/>
  <c r="O19" i="6"/>
  <c r="M19" i="6" s="1"/>
  <c r="H31" i="6" s="1"/>
  <c r="E29" i="6"/>
  <c r="E35" i="6" s="1"/>
  <c r="C191" i="6"/>
  <c r="D153" i="6"/>
  <c r="C192" i="6"/>
  <c r="M15" i="6" l="1"/>
  <c r="J42" i="7" s="1"/>
  <c r="F52" i="8"/>
  <c r="I52" i="8" s="1"/>
  <c r="E50" i="8"/>
  <c r="H50" i="8" s="1"/>
  <c r="H63" i="8"/>
  <c r="K63" i="8" s="1"/>
  <c r="H43" i="8"/>
  <c r="J43" i="8" s="1"/>
  <c r="G52" i="8"/>
  <c r="K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X200" i="4"/>
  <c r="V201" i="4"/>
  <c r="S194" i="4"/>
  <c r="Q196" i="4"/>
  <c r="W226" i="4"/>
  <c r="X226" i="4"/>
  <c r="X191" i="4"/>
  <c r="W191" i="4"/>
  <c r="W216" i="4"/>
  <c r="D213" i="4" s="1"/>
  <c r="F213" i="4" s="1"/>
  <c r="X216" i="4"/>
  <c r="V236" i="4"/>
  <c r="X235" i="4"/>
  <c r="H28" i="6"/>
  <c r="C190" i="6" s="1"/>
  <c r="C153" i="6"/>
  <c r="C157" i="6"/>
  <c r="C151" i="6"/>
  <c r="C152" i="6"/>
  <c r="K43" i="8" l="1"/>
  <c r="H29" i="6"/>
  <c r="H47" i="7" s="1"/>
  <c r="F108" i="7"/>
  <c r="H32" i="6"/>
  <c r="J63" i="8"/>
  <c r="L63" i="8" s="1"/>
  <c r="G50" i="8"/>
  <c r="J50" i="8" s="1"/>
  <c r="C149" i="6"/>
  <c r="B191" i="6"/>
  <c r="M52" i="8"/>
  <c r="J52" i="8"/>
  <c r="L52" i="8" s="1"/>
  <c r="H46" i="8"/>
  <c r="J46" i="8" s="1"/>
  <c r="J47" i="8"/>
  <c r="L47" i="8" s="1"/>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M43" i="8"/>
  <c r="D118" i="4"/>
  <c r="F118" i="4" s="1"/>
  <c r="H56" i="8"/>
  <c r="J56" i="8" s="1"/>
  <c r="A7" i="3"/>
  <c r="B7" i="3" s="1"/>
  <c r="M58" i="8"/>
  <c r="G60" i="8"/>
  <c r="J60" i="8" s="1"/>
  <c r="H59" i="8"/>
  <c r="J59" i="8" s="1"/>
  <c r="D223" i="4"/>
  <c r="F223" i="4" s="1"/>
  <c r="X111" i="4"/>
  <c r="W111" i="4"/>
  <c r="D108" i="4" s="1"/>
  <c r="D188" i="4"/>
  <c r="F188" i="4" s="1"/>
  <c r="D130" i="6"/>
  <c r="E130" i="6" s="1"/>
  <c r="E129" i="6"/>
  <c r="S28" i="6"/>
  <c r="C193" i="6"/>
  <c r="X236" i="4"/>
  <c r="W236" i="4"/>
  <c r="R196" i="4"/>
  <c r="T194" i="4"/>
  <c r="W201" i="4"/>
  <c r="X201" i="4"/>
  <c r="D198" i="4" s="1"/>
  <c r="F198" i="4" s="1"/>
  <c r="B190" i="6"/>
  <c r="H30" i="6"/>
  <c r="H48" i="7" s="1"/>
  <c r="B194" i="6"/>
  <c r="H14" i="7"/>
  <c r="D5" i="3"/>
  <c r="AG5" i="3"/>
  <c r="AH5" i="3"/>
  <c r="E5" i="3"/>
  <c r="H5" i="3" s="1"/>
  <c r="L43" i="8"/>
  <c r="K50" i="8" l="1"/>
  <c r="M50" i="8" s="1"/>
  <c r="J53" i="8"/>
  <c r="L53" i="8" s="1"/>
  <c r="L57" i="8"/>
  <c r="K46" i="8"/>
  <c r="M46" i="8" s="1"/>
  <c r="I15" i="7"/>
  <c r="L55" i="8"/>
  <c r="I47" i="7"/>
  <c r="S29" i="6"/>
  <c r="I14" i="7"/>
  <c r="K66" i="8"/>
  <c r="M66" i="8" s="1"/>
  <c r="L45" i="8"/>
  <c r="K48" i="8"/>
  <c r="L48" i="8" s="1"/>
  <c r="L65" i="8"/>
  <c r="K44" i="8"/>
  <c r="M44" i="8" s="1"/>
  <c r="L64" i="8"/>
  <c r="K54" i="8"/>
  <c r="M54" i="8" s="1"/>
  <c r="L42" i="8"/>
  <c r="L41" i="8"/>
  <c r="L61" i="8"/>
  <c r="K67" i="8"/>
  <c r="M67" i="8" s="1"/>
  <c r="L50" i="8"/>
  <c r="L49" i="8"/>
  <c r="P7" i="3"/>
  <c r="Q7" i="3" s="1"/>
  <c r="R7" i="3" s="1"/>
  <c r="S7" i="3" s="1"/>
  <c r="T7" i="3" s="1"/>
  <c r="A8" i="3"/>
  <c r="B8" i="3" s="1"/>
  <c r="Z7" i="3"/>
  <c r="AD7" i="3"/>
  <c r="AA7" i="3"/>
  <c r="AC7" i="3"/>
  <c r="K56" i="8"/>
  <c r="M56" i="8" s="1"/>
  <c r="K60" i="8"/>
  <c r="M60" i="8" s="1"/>
  <c r="K59" i="8"/>
  <c r="M59" i="8" s="1"/>
  <c r="F108" i="4"/>
  <c r="D233" i="4"/>
  <c r="F233" i="4" s="1"/>
  <c r="U194" i="4"/>
  <c r="S196" i="4"/>
  <c r="H15" i="7"/>
  <c r="S30" i="6"/>
  <c r="H33" i="6"/>
  <c r="K5" i="3"/>
  <c r="F5" i="3"/>
  <c r="G5" i="3"/>
  <c r="L46" i="8" l="1"/>
  <c r="L66" i="8"/>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U992" i="3" s="1"/>
  <c r="AD992" i="3"/>
  <c r="T993" i="3"/>
  <c r="Y991" i="3" l="1"/>
  <c r="AH993" i="3"/>
  <c r="D993" i="3"/>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<sst xmlns="http://schemas.openxmlformats.org/spreadsheetml/2006/main" count="1716" uniqueCount="560">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</sst>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pplyProtection="1">
      <alignment horizontal="center"/>
    </xf>
    <xf numFmtId="0" fontId="0" fillId="0" borderId="0"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0" borderId="0"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28" borderId="31" xfId="0" applyFill="1" applyBorder="1" applyAlignment="1">
      <alignment horizontal="center"/>
    </xf>
    <xf numFmtId="0" fontId="0" fillId="0" borderId="33" xfId="0"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xf numFmtId="165" fontId="2" fillId="0" borderId="12" xfId="0" applyNumberFormat="1" applyFont="1" applyFill="1" applyBorder="1" applyAlignment="1">
      <alignment horizontal="center" vertical="center"/>
    </xf>
    <xf numFmtId="1" fontId="2" fillId="0" borderId="12" xfId="0" applyNumberFormat="1" applyFont="1" applyFill="1" applyBorder="1" applyAlignment="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-1755</c:v>
                </c:pt>
                <c:pt idx="7">
                  <c:v>-1755</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210</c:v>
                </c:pt>
                <c:pt idx="2">
                  <c:v>210</c:v>
                </c:pt>
                <c:pt idx="3">
                  <c:v>50</c:v>
                </c:pt>
                <c:pt idx="4">
                  <c:v>50</c:v>
                </c:pt>
              </c:numCache>
            </c:numRef>
          </c:xVal>
          <c:yVal>
            <c:numRef>
              <c:f>Stabilito!$C$132:$C$136</c:f>
              <c:numCache>
                <c:formatCode>0</c:formatCode>
                <c:ptCount val="5"/>
                <c:pt idx="0">
                  <c:v>-1505</c:v>
                </c:pt>
                <c:pt idx="1">
                  <c:v>-1705</c:v>
                </c:pt>
                <c:pt idx="2">
                  <c:v>-1825</c:v>
                </c:pt>
                <c:pt idx="3">
                  <c:v>-1755</c:v>
                </c:pt>
                <c:pt idx="4">
                  <c:v>-1505</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-1755</c:v>
                </c:pt>
                <c:pt idx="7">
                  <c:v>-1755</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-210</c:v>
                </c:pt>
                <c:pt idx="2">
                  <c:v>-210</c:v>
                </c:pt>
                <c:pt idx="3">
                  <c:v>-50</c:v>
                </c:pt>
                <c:pt idx="4">
                  <c:v>-50</c:v>
                </c:pt>
              </c:numCache>
            </c:numRef>
          </c:xVal>
          <c:yVal>
            <c:numRef>
              <c:f>Stabilito!$C$132:$C$136</c:f>
              <c:numCache>
                <c:formatCode>0</c:formatCode>
                <c:ptCount val="5"/>
                <c:pt idx="0">
                  <c:v>-1505</c:v>
                </c:pt>
                <c:pt idx="1">
                  <c:v>-1705</c:v>
                </c:pt>
                <c:pt idx="2">
                  <c:v>-1825</c:v>
                </c:pt>
                <c:pt idx="3">
                  <c:v>-1755</c:v>
                </c:pt>
                <c:pt idx="4">
                  <c:v>-1505</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-1225.6651898184348</c:v>
                </c:pt>
                <c:pt idx="1">
                  <c:v>-1170.0203361693295</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148.02052364697087</c:v>
                </c:pt>
                <c:pt idx="2">
                  <c:v>148.02052364697087</c:v>
                </c:pt>
                <c:pt idx="3">
                  <c:v>0</c:v>
                </c:pt>
              </c:numCache>
            </c:numRef>
          </c:xVal>
          <c:yVal>
            <c:numRef>
              <c:f>Stabilito!$C$151:$C$154</c:f>
              <c:numCache>
                <c:formatCode>0</c:formatCode>
                <c:ptCount val="4"/>
                <c:pt idx="0">
                  <c:v>-1504.0933911209454</c:v>
                </c:pt>
                <c:pt idx="1">
                  <c:v>-1504.0933911209454</c:v>
                </c:pt>
                <c:pt idx="2">
                  <c:v>-1504.0933911209454</c:v>
                </c:pt>
                <c:pt idx="3">
                  <c:v>-1504.0933911209454</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585</c:v>
                </c:pt>
                <c:pt idx="1">
                  <c:v>-585</c:v>
                </c:pt>
              </c:numCache>
            </c:numRef>
          </c:xVal>
          <c:yVal>
            <c:numRef>
              <c:f>Stabilito!$C$168:$C$169</c:f>
              <c:numCache>
                <c:formatCode>0</c:formatCode>
                <c:ptCount val="2"/>
                <c:pt idx="0">
                  <c:v>-1843.25</c:v>
                </c:pt>
                <c:pt idx="1">
                  <c:v>-1843.25</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-1269</c:v>
                </c:pt>
                <c:pt idx="1">
                  <c:v>-1269</c:v>
                </c:pt>
                <c:pt idx="2">
                  <c:v>-1755</c:v>
                </c:pt>
                <c:pt idx="3">
                  <c:v>-1755</c:v>
                </c:pt>
                <c:pt idx="4">
                  <c:v>-1269</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-210</c:v>
                </c:pt>
                <c:pt idx="1">
                  <c:v>-130</c:v>
                </c:pt>
                <c:pt idx="2">
                  <c:v>-50</c:v>
                </c:pt>
              </c:numCache>
            </c:numRef>
          </c:xVal>
          <c:yVal>
            <c:numRef>
              <c:f>Stabilito!$C$137:$C$139</c:f>
              <c:numCache>
                <c:formatCode>0</c:formatCode>
                <c:ptCount val="3"/>
                <c:pt idx="0">
                  <c:v>-1883.5</c:v>
                </c:pt>
                <c:pt idx="1">
                  <c:v>-1883.5</c:v>
                </c:pt>
                <c:pt idx="2">
                  <c:v>-1883.5</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-268.5</c:v>
                </c:pt>
                <c:pt idx="1">
                  <c:v>-268.5</c:v>
                </c:pt>
                <c:pt idx="2">
                  <c:v>-268.5</c:v>
                </c:pt>
              </c:numCache>
            </c:numRef>
          </c:xVal>
          <c:yVal>
            <c:numRef>
              <c:f>Stabilito!$C$143:$C$145</c:f>
              <c:numCache>
                <c:formatCode>0</c:formatCode>
                <c:ptCount val="3"/>
                <c:pt idx="0">
                  <c:v>-1505</c:v>
                </c:pt>
                <c:pt idx="1">
                  <c:v>-1605</c:v>
                </c:pt>
                <c:pt idx="2">
                  <c:v>-1705</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-297.75</c:v>
                </c:pt>
                <c:pt idx="1">
                  <c:v>-297.75</c:v>
                </c:pt>
                <c:pt idx="2">
                  <c:v>-297.75</c:v>
                </c:pt>
              </c:numCache>
            </c:numRef>
          </c:xVal>
          <c:yVal>
            <c:numRef>
              <c:f>Stabilito!$C$146:$C$148</c:f>
              <c:numCache>
                <c:formatCode>0</c:formatCode>
                <c:ptCount val="3"/>
                <c:pt idx="0">
                  <c:v>-1705</c:v>
                </c:pt>
                <c:pt idx="1">
                  <c:v>-1765</c:v>
                </c:pt>
                <c:pt idx="2">
                  <c:v>-1825</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297.75</c:v>
                </c:pt>
                <c:pt idx="1">
                  <c:v>297.75</c:v>
                </c:pt>
                <c:pt idx="2">
                  <c:v>297.75</c:v>
                </c:pt>
              </c:numCache>
            </c:numRef>
          </c:xVal>
          <c:yVal>
            <c:numRef>
              <c:f>Stabilito!$C$140:$C$142</c:f>
              <c:numCache>
                <c:formatCode>0</c:formatCode>
                <c:ptCount val="3"/>
                <c:pt idx="0">
                  <c:v>-1505</c:v>
                </c:pt>
                <c:pt idx="1">
                  <c:v>-1630</c:v>
                </c:pt>
                <c:pt idx="2">
                  <c:v>-1755</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-297.75</c:v>
                </c:pt>
                <c:pt idx="1">
                  <c:v>-297.75</c:v>
                </c:pt>
                <c:pt idx="2">
                  <c:v>-297.75</c:v>
                </c:pt>
              </c:numCache>
            </c:numRef>
          </c:xVal>
          <c:yVal>
            <c:numRef>
              <c:f>Stabilito!$C$155:$C$157</c:f>
              <c:numCache>
                <c:formatCode>0</c:formatCode>
                <c:ptCount val="3"/>
                <c:pt idx="0">
                  <c:v>-1197.8427629938822</c:v>
                </c:pt>
                <c:pt idx="1">
                  <c:v>-1350.9680770574137</c:v>
                </c:pt>
                <c:pt idx="2">
                  <c:v>-1504.0933911209454</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Abaco!$K$41:$K$49</c:f>
              <c:numCache>
                <c:formatCode>General" m/s"</c:formatCode>
                <c:ptCount val="9"/>
                <c:pt idx="0">
                  <c:v>720.40587937186433</c:v>
                </c:pt>
                <c:pt idx="1">
                  <c:v>578.76395208833526</c:v>
                </c:pt>
                <c:pt idx="2">
                  <c:v>449.7404606411157</c:v>
                </c:pt>
                <c:pt idx="3">
                  <c:v>356.55096531767543</c:v>
                </c:pt>
                <c:pt idx="4">
                  <c:v>290.07916611082868</c:v>
                </c:pt>
                <c:pt idx="5">
                  <c:v>241.33872058662368</c:v>
                </c:pt>
                <c:pt idx="6">
                  <c:v>204.43678948610534</c:v>
                </c:pt>
                <c:pt idx="7">
                  <c:v>175.67708521400979</c:v>
                </c:pt>
                <c:pt idx="8">
                  <c:v>152.70145399386931</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Abaco!$K$50:$K$58</c:f>
              <c:numCache>
                <c:formatCode>General" m/s"</c:formatCode>
                <c:ptCount val="9"/>
                <c:pt idx="0">
                  <c:v>559.24790560645113</c:v>
                </c:pt>
                <c:pt idx="1">
                  <c:v>492.98064867788429</c:v>
                </c:pt>
                <c:pt idx="2">
                  <c:v>407.81565273131088</c:v>
                </c:pt>
                <c:pt idx="3">
                  <c:v>334.84541737763595</c:v>
                </c:pt>
                <c:pt idx="4">
                  <c:v>277.97298079788806</c:v>
                </c:pt>
                <c:pt idx="5">
                  <c:v>234.1306125840905</c:v>
                </c:pt>
                <c:pt idx="6">
                  <c:v>199.91007687162974</c:v>
                </c:pt>
                <c:pt idx="7">
                  <c:v>172.70965088348086</c:v>
                </c:pt>
                <c:pt idx="8">
                  <c:v>150.68755908170158</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Abaco!$K$59:$K$67</c:f>
              <c:numCache>
                <c:formatCode>General" m/s"</c:formatCode>
                <c:ptCount val="9"/>
                <c:pt idx="0">
                  <c:v>377.65613998433196</c:v>
                </c:pt>
                <c:pt idx="1">
                  <c:v>361.49840668041907</c:v>
                </c:pt>
                <c:pt idx="2">
                  <c:v>327.65339171775878</c:v>
                </c:pt>
                <c:pt idx="3">
                  <c:v>287.39712182341555</c:v>
                </c:pt>
                <c:pt idx="4">
                  <c:v>249.26007158486863</c:v>
                </c:pt>
                <c:pt idx="5">
                  <c:v>216.128503854586</c:v>
                </c:pt>
                <c:pt idx="6">
                  <c:v>188.21212882666285</c:v>
                </c:pt>
                <c:pt idx="7">
                  <c:v>164.85922197422249</c:v>
                </c:pt>
                <c:pt idx="8">
                  <c:v>145.27020112807938</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Abaco!$L$41:$L$49</c:f>
              <c:numCache>
                <c:formatCode>General" m"</c:formatCode>
                <c:ptCount val="9"/>
                <c:pt idx="0">
                  <c:v>4565.8665325686015</c:v>
                </c:pt>
                <c:pt idx="1">
                  <c:v>5072.1431695839892</c:v>
                </c:pt>
                <c:pt idx="2">
                  <c:v>4847.7356752843643</c:v>
                </c:pt>
                <c:pt idx="3">
                  <c:v>4238.4492517259459</c:v>
                </c:pt>
                <c:pt idx="4">
                  <c:v>3513.8547981546321</c:v>
                </c:pt>
                <c:pt idx="5">
                  <c:v>2833.7540440246567</c:v>
                </c:pt>
                <c:pt idx="6">
                  <c:v>2262.2823683124443</c:v>
                </c:pt>
                <c:pt idx="7">
                  <c:v>1806.9808471575052</c:v>
                </c:pt>
                <c:pt idx="8">
                  <c:v>1452.1613182100903</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Abaco!$L$50:$L$58</c:f>
              <c:numCache>
                <c:formatCode>General" m"</c:formatCode>
                <c:ptCount val="9"/>
                <c:pt idx="0">
                  <c:v>3236.6715266317624</c:v>
                </c:pt>
                <c:pt idx="1">
                  <c:v>3578.6495445148685</c:v>
                </c:pt>
                <c:pt idx="2">
                  <c:v>3545.9389424582055</c:v>
                </c:pt>
                <c:pt idx="3">
                  <c:v>3266.9748365435066</c:v>
                </c:pt>
                <c:pt idx="4">
                  <c:v>2861.8226328928922</c:v>
                </c:pt>
                <c:pt idx="5">
                  <c:v>2424.8803295095827</c:v>
                </c:pt>
                <c:pt idx="6">
                  <c:v>2015.0659066120447</c:v>
                </c:pt>
                <c:pt idx="7">
                  <c:v>1659.4270956838932</c:v>
                </c:pt>
                <c:pt idx="8">
                  <c:v>1363.8720025522668</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Abaco!$L$59:$L$67</c:f>
              <c:numCache>
                <c:formatCode>General" m"</c:formatCode>
                <c:ptCount val="9"/>
                <c:pt idx="0">
                  <c:v>2029.1215603003384</c:v>
                </c:pt>
                <c:pt idx="1">
                  <c:v>2194.8257452628814</c:v>
                </c:pt>
                <c:pt idx="2">
                  <c:v>2223.4987093156037</c:v>
                </c:pt>
                <c:pt idx="3">
                  <c:v>2147.4283488300634</c:v>
                </c:pt>
                <c:pt idx="4">
                  <c:v>1996.1464023275007</c:v>
                </c:pt>
                <c:pt idx="5">
                  <c:v>1799.9507351416</c:v>
                </c:pt>
                <c:pt idx="6">
                  <c:v>1585.7240107994619</c:v>
                </c:pt>
                <c:pt idx="7">
                  <c:v>1373.8769608837258</c:v>
                </c:pt>
                <c:pt idx="8">
                  <c:v>1177.3991092676665</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Abaco!$M$41:$M$49</c:f>
              <c:numCache>
                <c:formatCode>General" s"</c:formatCode>
                <c:ptCount val="9"/>
                <c:pt idx="0">
                  <c:v>20.462214926687707</c:v>
                </c:pt>
                <c:pt idx="1">
                  <c:v>26.156500249503708</c:v>
                </c:pt>
                <c:pt idx="2">
                  <c:v>28.346894648691023</c:v>
                </c:pt>
                <c:pt idx="3">
                  <c:v>28.366870571040252</c:v>
                </c:pt>
                <c:pt idx="4">
                  <c:v>27.093831280983245</c:v>
                </c:pt>
                <c:pt idx="5">
                  <c:v>25.207952797623101</c:v>
                </c:pt>
                <c:pt idx="6">
                  <c:v>23.158443614875853</c:v>
                </c:pt>
                <c:pt idx="7">
                  <c:v>21.185884733197188</c:v>
                </c:pt>
                <c:pt idx="8">
                  <c:v>19.391537769492611</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Abaco!$M$50:$M$58</c:f>
              <c:numCache>
                <c:formatCode>General" s"</c:formatCode>
                <c:ptCount val="9"/>
                <c:pt idx="0">
                  <c:v>16.558431169977993</c:v>
                </c:pt>
                <c:pt idx="1">
                  <c:v>21.176616253428037</c:v>
                </c:pt>
                <c:pt idx="2">
                  <c:v>23.458074026083061</c:v>
                </c:pt>
                <c:pt idx="3">
                  <c:v>24.213607809020647</c:v>
                </c:pt>
                <c:pt idx="4">
                  <c:v>23.904832608223664</c:v>
                </c:pt>
                <c:pt idx="5">
                  <c:v>22.921391273968332</c:v>
                </c:pt>
                <c:pt idx="6">
                  <c:v>21.583873250708816</c:v>
                </c:pt>
                <c:pt idx="7">
                  <c:v>20.121642761940628</c:v>
                </c:pt>
                <c:pt idx="8">
                  <c:v>18.674988346042039</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Abaco!$M$59:$M$67</c:f>
              <c:numCache>
                <c:formatCode>General" s"</c:formatCode>
                <c:ptCount val="9"/>
                <c:pt idx="0">
                  <c:v>12.609110000633915</c:v>
                </c:pt>
                <c:pt idx="1">
                  <c:v>15.853782654751454</c:v>
                </c:pt>
                <c:pt idx="2">
                  <c:v>17.78324361520388</c:v>
                </c:pt>
                <c:pt idx="3">
                  <c:v>18.859825040827445</c:v>
                </c:pt>
                <c:pt idx="4">
                  <c:v>19.274952009454722</c:v>
                </c:pt>
                <c:pt idx="5">
                  <c:v>19.176179833452551</c:v>
                </c:pt>
                <c:pt idx="6">
                  <c:v>18.701635626541922</c:v>
                </c:pt>
                <c:pt idx="7">
                  <c:v>17.978898527111937</c:v>
                </c:pt>
                <c:pt idx="8">
                  <c:v>17.115952285861361</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2.784282013025106</c:v>
                </c:pt>
                <c:pt idx="1">
                  <c:v>2.784282013025106</c:v>
                </c:pt>
                <c:pt idx="2">
                  <c:v>3.3407305495161586</c:v>
                </c:pt>
                <c:pt idx="3">
                  <c:v>3.3407305495161586</c:v>
                </c:pt>
              </c:numCache>
            </c:numRef>
          </c:xVal>
          <c:yVal>
            <c:numRef>
              <c:f>Stabilito!$C$190:$C$193</c:f>
              <c:numCache>
                <c:formatCode>0.00</c:formatCode>
                <c:ptCount val="4"/>
                <c:pt idx="0">
                  <c:v>22.203078547045632</c:v>
                </c:pt>
                <c:pt idx="1">
                  <c:v>22.203078547045632</c:v>
                </c:pt>
                <c:pt idx="2">
                  <c:v>22.203078547045632</c:v>
                </c:pt>
                <c:pt idx="3">
                  <c:v>22.203078547045632</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3.3407305495161586</c:v>
                </c:pt>
                <c:pt idx="1">
                  <c:v>2.784282013025106</c:v>
                </c:pt>
              </c:numCache>
            </c:numRef>
          </c:xVal>
          <c:yVal>
            <c:numRef>
              <c:f>Stabilito!$C$193:$C$194</c:f>
              <c:numCache>
                <c:formatCode>0.00</c:formatCode>
                <c:ptCount val="2"/>
                <c:pt idx="0">
                  <c:v>22.203078547045632</c:v>
                </c:pt>
                <c:pt idx="1">
                  <c:v>22.203078547045632</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2700.4335922476339</c:v>
                </c:pt>
              </c:numCache>
            </c:numRef>
          </c:xVal>
          <c:yVal>
            <c:numRef>
              <c:f>Trajecto!$C$118</c:f>
              <c:numCache>
                <c:formatCode>0</c:formatCode>
                <c:ptCount val="1"/>
                <c:pt idx="0">
                  <c:v>2700.4335922476339</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7.5276943685686994</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32.558969747339788</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74.539182180516406</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130.3213037119167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194.14482392324751</c:v>
                </c:pt>
                <c:pt idx="501">
                  <c:v>#N/A</c:v>
                </c:pt>
                <c:pt idx="502">
                  <c:v>#N/A</c:v>
                </c:pt>
                <c:pt idx="503">
                  <c:v>#N/A</c:v>
                </c:pt>
                <c:pt idx="504">
                  <c:v>#N/A</c:v>
                </c:pt>
                <c:pt idx="505">
                  <c:v>#N/A</c:v>
                </c:pt>
                <c:pt idx="506">
                  <c:v>#N/A</c:v>
                </c:pt>
                <c:pt idx="507">
                  <c:v>#N/A</c:v>
                </c:pt>
                <c:pt idx="508">
                  <c:v>#N/A</c:v>
                </c:pt>
                <c:pt idx="509">
                  <c:v>#N/A</c:v>
                </c:pt>
                <c:pt idx="510">
                  <c:v>254.98528829140653</c:v>
                </c:pt>
                <c:pt idx="511">
                  <c:v>#N/A</c:v>
                </c:pt>
                <c:pt idx="512">
                  <c:v>#N/A</c:v>
                </c:pt>
                <c:pt idx="513">
                  <c:v>#N/A</c:v>
                </c:pt>
                <c:pt idx="514">
                  <c:v>#N/A</c:v>
                </c:pt>
                <c:pt idx="515">
                  <c:v>#N/A</c:v>
                </c:pt>
                <c:pt idx="516">
                  <c:v>#N/A</c:v>
                </c:pt>
                <c:pt idx="517">
                  <c:v>#N/A</c:v>
                </c:pt>
                <c:pt idx="518">
                  <c:v>#N/A</c:v>
                </c:pt>
                <c:pt idx="519">
                  <c:v>#N/A</c:v>
                </c:pt>
                <c:pt idx="520">
                  <c:v>312.209247093317</c:v>
                </c:pt>
                <c:pt idx="521">
                  <c:v>#N/A</c:v>
                </c:pt>
                <c:pt idx="522">
                  <c:v>#N/A</c:v>
                </c:pt>
                <c:pt idx="523">
                  <c:v>#N/A</c:v>
                </c:pt>
                <c:pt idx="524">
                  <c:v>#N/A</c:v>
                </c:pt>
                <c:pt idx="525">
                  <c:v>#N/A</c:v>
                </c:pt>
                <c:pt idx="526">
                  <c:v>#N/A</c:v>
                </c:pt>
                <c:pt idx="527">
                  <c:v>#N/A</c:v>
                </c:pt>
                <c:pt idx="528">
                  <c:v>#N/A</c:v>
                </c:pt>
                <c:pt idx="529">
                  <c:v>#N/A</c:v>
                </c:pt>
                <c:pt idx="530">
                  <c:v>366.41454754385518</c:v>
                </c:pt>
                <c:pt idx="531">
                  <c:v>#N/A</c:v>
                </c:pt>
                <c:pt idx="532">
                  <c:v>#N/A</c:v>
                </c:pt>
                <c:pt idx="533">
                  <c:v>#N/A</c:v>
                </c:pt>
                <c:pt idx="534">
                  <c:v>#N/A</c:v>
                </c:pt>
                <c:pt idx="535">
                  <c:v>#N/A</c:v>
                </c:pt>
                <c:pt idx="536">
                  <c:v>#N/A</c:v>
                </c:pt>
                <c:pt idx="537">
                  <c:v>#N/A</c:v>
                </c:pt>
                <c:pt idx="538">
                  <c:v>#N/A</c:v>
                </c:pt>
                <c:pt idx="539">
                  <c:v>#N/A</c:v>
                </c:pt>
                <c:pt idx="540">
                  <c:v>418.07218733446996</c:v>
                </c:pt>
                <c:pt idx="541">
                  <c:v>#N/A</c:v>
                </c:pt>
                <c:pt idx="542">
                  <c:v>#N/A</c:v>
                </c:pt>
                <c:pt idx="543">
                  <c:v>#N/A</c:v>
                </c:pt>
                <c:pt idx="544">
                  <c:v>#N/A</c:v>
                </c:pt>
                <c:pt idx="545">
                  <c:v>#N/A</c:v>
                </c:pt>
                <c:pt idx="546">
                  <c:v>#N/A</c:v>
                </c:pt>
                <c:pt idx="547">
                  <c:v>#N/A</c:v>
                </c:pt>
                <c:pt idx="548">
                  <c:v>#N/A</c:v>
                </c:pt>
                <c:pt idx="549">
                  <c:v>#N/A</c:v>
                </c:pt>
                <c:pt idx="550">
                  <c:v>467.5609805400386</c:v>
                </c:pt>
                <c:pt idx="551">
                  <c:v>#N/A</c:v>
                </c:pt>
                <c:pt idx="552">
                  <c:v>#N/A</c:v>
                </c:pt>
                <c:pt idx="553">
                  <c:v>#N/A</c:v>
                </c:pt>
                <c:pt idx="554">
                  <c:v>#N/A</c:v>
                </c:pt>
                <c:pt idx="555">
                  <c:v>#N/A</c:v>
                </c:pt>
                <c:pt idx="556">
                  <c:v>#N/A</c:v>
                </c:pt>
                <c:pt idx="557">
                  <c:v>#N/A</c:v>
                </c:pt>
                <c:pt idx="558">
                  <c:v>#N/A</c:v>
                </c:pt>
                <c:pt idx="559">
                  <c:v>#N/A</c:v>
                </c:pt>
                <c:pt idx="560">
                  <c:v>515.19110074998378</c:v>
                </c:pt>
                <c:pt idx="561">
                  <c:v>#N/A</c:v>
                </c:pt>
                <c:pt idx="562">
                  <c:v>#N/A</c:v>
                </c:pt>
                <c:pt idx="563">
                  <c:v>#N/A</c:v>
                </c:pt>
                <c:pt idx="564">
                  <c:v>#N/A</c:v>
                </c:pt>
                <c:pt idx="565">
                  <c:v>#N/A</c:v>
                </c:pt>
                <c:pt idx="566">
                  <c:v>#N/A</c:v>
                </c:pt>
                <c:pt idx="567">
                  <c:v>#N/A</c:v>
                </c:pt>
                <c:pt idx="568">
                  <c:v>#N/A</c:v>
                </c:pt>
                <c:pt idx="569">
                  <c:v>#N/A</c:v>
                </c:pt>
                <c:pt idx="570">
                  <c:v>561.22053681045406</c:v>
                </c:pt>
                <c:pt idx="571">
                  <c:v>#N/A</c:v>
                </c:pt>
                <c:pt idx="572">
                  <c:v>#N/A</c:v>
                </c:pt>
                <c:pt idx="573">
                  <c:v>#N/A</c:v>
                </c:pt>
                <c:pt idx="574">
                  <c:v>#N/A</c:v>
                </c:pt>
                <c:pt idx="575">
                  <c:v>#N/A</c:v>
                </c:pt>
                <c:pt idx="576">
                  <c:v>#N/A</c:v>
                </c:pt>
                <c:pt idx="577">
                  <c:v>#N/A</c:v>
                </c:pt>
                <c:pt idx="578">
                  <c:v>#N/A</c:v>
                </c:pt>
                <c:pt idx="579">
                  <c:v>#N/A</c:v>
                </c:pt>
                <c:pt idx="580">
                  <c:v>605.8668733453552</c:v>
                </c:pt>
                <c:pt idx="581">
                  <c:v>#N/A</c:v>
                </c:pt>
                <c:pt idx="582">
                  <c:v>#N/A</c:v>
                </c:pt>
                <c:pt idx="583">
                  <c:v>#N/A</c:v>
                </c:pt>
                <c:pt idx="584">
                  <c:v>#N/A</c:v>
                </c:pt>
                <c:pt idx="585">
                  <c:v>#N/A</c:v>
                </c:pt>
                <c:pt idx="586">
                  <c:v>#N/A</c:v>
                </c:pt>
                <c:pt idx="587">
                  <c:v>#N/A</c:v>
                </c:pt>
                <c:pt idx="588">
                  <c:v>#N/A</c:v>
                </c:pt>
                <c:pt idx="589">
                  <c:v>#N/A</c:v>
                </c:pt>
                <c:pt idx="590">
                  <c:v>649.31588815849761</c:v>
                </c:pt>
                <c:pt idx="591">
                  <c:v>#N/A</c:v>
                </c:pt>
                <c:pt idx="592">
                  <c:v>#N/A</c:v>
                </c:pt>
                <c:pt idx="593">
                  <c:v>#N/A</c:v>
                </c:pt>
                <c:pt idx="594">
                  <c:v>#N/A</c:v>
                </c:pt>
                <c:pt idx="595">
                  <c:v>#N/A</c:v>
                </c:pt>
                <c:pt idx="596">
                  <c:v>#N/A</c:v>
                </c:pt>
                <c:pt idx="597">
                  <c:v>#N/A</c:v>
                </c:pt>
                <c:pt idx="598">
                  <c:v>#N/A</c:v>
                </c:pt>
                <c:pt idx="599">
                  <c:v>#N/A</c:v>
                </c:pt>
                <c:pt idx="600">
                  <c:v>691.72791333307612</c:v>
                </c:pt>
                <c:pt idx="601">
                  <c:v>#N/A</c:v>
                </c:pt>
                <c:pt idx="602">
                  <c:v>#N/A</c:v>
                </c:pt>
                <c:pt idx="603">
                  <c:v>#N/A</c:v>
                </c:pt>
                <c:pt idx="604">
                  <c:v>#N/A</c:v>
                </c:pt>
                <c:pt idx="605">
                  <c:v>#N/A</c:v>
                </c:pt>
                <c:pt idx="606">
                  <c:v>#N/A</c:v>
                </c:pt>
                <c:pt idx="607">
                  <c:v>#N/A</c:v>
                </c:pt>
                <c:pt idx="608">
                  <c:v>#N/A</c:v>
                </c:pt>
                <c:pt idx="609">
                  <c:v>#N/A</c:v>
                </c:pt>
                <c:pt idx="610">
                  <c:v>733.24256833151208</c:v>
                </c:pt>
                <c:pt idx="611">
                  <c:v>#N/A</c:v>
                </c:pt>
                <c:pt idx="612">
                  <c:v>#N/A</c:v>
                </c:pt>
                <c:pt idx="613">
                  <c:v>#N/A</c:v>
                </c:pt>
                <c:pt idx="614">
                  <c:v>#N/A</c:v>
                </c:pt>
                <c:pt idx="615">
                  <c:v>#N/A</c:v>
                </c:pt>
                <c:pt idx="616">
                  <c:v>#N/A</c:v>
                </c:pt>
                <c:pt idx="617">
                  <c:v>#N/A</c:v>
                </c:pt>
                <c:pt idx="618">
                  <c:v>#N/A</c:v>
                </c:pt>
                <c:pt idx="619">
                  <c:v>#N/A</c:v>
                </c:pt>
                <c:pt idx="620">
                  <c:v>773.98225046040398</c:v>
                </c:pt>
                <c:pt idx="621">
                  <c:v>#N/A</c:v>
                </c:pt>
                <c:pt idx="622">
                  <c:v>#N/A</c:v>
                </c:pt>
                <c:pt idx="623">
                  <c:v>#N/A</c:v>
                </c:pt>
                <c:pt idx="624">
                  <c:v>#N/A</c:v>
                </c:pt>
                <c:pt idx="625">
                  <c:v>#N/A</c:v>
                </c:pt>
                <c:pt idx="626">
                  <c:v>#N/A</c:v>
                </c:pt>
                <c:pt idx="627">
                  <c:v>#N/A</c:v>
                </c:pt>
                <c:pt idx="628">
                  <c:v>#N/A</c:v>
                </c:pt>
                <c:pt idx="629">
                  <c:v>#N/A</c:v>
                </c:pt>
                <c:pt idx="630">
                  <c:v>814.05460739852299</c:v>
                </c:pt>
                <c:pt idx="631">
                  <c:v>#N/A</c:v>
                </c:pt>
                <c:pt idx="632">
                  <c:v>#N/A</c:v>
                </c:pt>
                <c:pt idx="633">
                  <c:v>#N/A</c:v>
                </c:pt>
                <c:pt idx="634">
                  <c:v>#N/A</c:v>
                </c:pt>
                <c:pt idx="635">
                  <c:v>#N/A</c:v>
                </c:pt>
                <c:pt idx="636">
                  <c:v>#N/A</c:v>
                </c:pt>
                <c:pt idx="637">
                  <c:v>#N/A</c:v>
                </c:pt>
                <c:pt idx="638">
                  <c:v>#N/A</c:v>
                </c:pt>
                <c:pt idx="639">
                  <c:v>#N/A</c:v>
                </c:pt>
                <c:pt idx="640">
                  <c:v>853.55408404830109</c:v>
                </c:pt>
                <c:pt idx="641">
                  <c:v>#N/A</c:v>
                </c:pt>
                <c:pt idx="642">
                  <c:v>#N/A</c:v>
                </c:pt>
                <c:pt idx="643">
                  <c:v>#N/A</c:v>
                </c:pt>
                <c:pt idx="644">
                  <c:v>#N/A</c:v>
                </c:pt>
                <c:pt idx="645">
                  <c:v>#N/A</c:v>
                </c:pt>
                <c:pt idx="646">
                  <c:v>#N/A</c:v>
                </c:pt>
                <c:pt idx="647">
                  <c:v>#N/A</c:v>
                </c:pt>
                <c:pt idx="648">
                  <c:v>#N/A</c:v>
                </c:pt>
                <c:pt idx="649">
                  <c:v>#N/A</c:v>
                </c:pt>
                <c:pt idx="650">
                  <c:v>892.56251114113491</c:v>
                </c:pt>
                <c:pt idx="651">
                  <c:v>#N/A</c:v>
                </c:pt>
                <c:pt idx="652">
                  <c:v>#N/A</c:v>
                </c:pt>
                <c:pt idx="653">
                  <c:v>#N/A</c:v>
                </c:pt>
                <c:pt idx="654">
                  <c:v>#N/A</c:v>
                </c:pt>
                <c:pt idx="655">
                  <c:v>#N/A</c:v>
                </c:pt>
                <c:pt idx="656">
                  <c:v>#N/A</c:v>
                </c:pt>
                <c:pt idx="657">
                  <c:v>#N/A</c:v>
                </c:pt>
                <c:pt idx="658">
                  <c:v>#N/A</c:v>
                </c:pt>
                <c:pt idx="659">
                  <c:v>#N/A</c:v>
                </c:pt>
                <c:pt idx="660">
                  <c:v>931.14859175539277</c:v>
                </c:pt>
                <c:pt idx="661">
                  <c:v>#N/A</c:v>
                </c:pt>
                <c:pt idx="662">
                  <c:v>#N/A</c:v>
                </c:pt>
                <c:pt idx="663">
                  <c:v>#N/A</c:v>
                </c:pt>
                <c:pt idx="664">
                  <c:v>#N/A</c:v>
                </c:pt>
                <c:pt idx="665">
                  <c:v>#N/A</c:v>
                </c:pt>
                <c:pt idx="666">
                  <c:v>#N/A</c:v>
                </c:pt>
                <c:pt idx="667">
                  <c:v>#N/A</c:v>
                </c:pt>
                <c:pt idx="668">
                  <c:v>#N/A</c:v>
                </c:pt>
                <c:pt idx="669">
                  <c:v>#N/A</c:v>
                </c:pt>
                <c:pt idx="670">
                  <c:v>969.36613154664178</c:v>
                </c:pt>
                <c:pt idx="671">
                  <c:v>#N/A</c:v>
                </c:pt>
                <c:pt idx="672">
                  <c:v>#N/A</c:v>
                </c:pt>
                <c:pt idx="673">
                  <c:v>#N/A</c:v>
                </c:pt>
                <c:pt idx="674">
                  <c:v>#N/A</c:v>
                </c:pt>
                <c:pt idx="675">
                  <c:v>#N/A</c:v>
                </c:pt>
                <c:pt idx="676">
                  <c:v>#N/A</c:v>
                </c:pt>
                <c:pt idx="677">
                  <c:v>#N/A</c:v>
                </c:pt>
                <c:pt idx="678">
                  <c:v>#N/A</c:v>
                </c:pt>
                <c:pt idx="679">
                  <c:v>#N/A</c:v>
                </c:pt>
                <c:pt idx="680">
                  <c:v>1007.2512048706483</c:v>
                </c:pt>
                <c:pt idx="681">
                  <c:v>#N/A</c:v>
                </c:pt>
                <c:pt idx="682">
                  <c:v>#N/A</c:v>
                </c:pt>
                <c:pt idx="683">
                  <c:v>#N/A</c:v>
                </c:pt>
                <c:pt idx="684">
                  <c:v>#N/A</c:v>
                </c:pt>
                <c:pt idx="685">
                  <c:v>#N/A</c:v>
                </c:pt>
                <c:pt idx="686">
                  <c:v>#N/A</c:v>
                </c:pt>
                <c:pt idx="687">
                  <c:v>#N/A</c:v>
                </c:pt>
                <c:pt idx="688">
                  <c:v>#N/A</c:v>
                </c:pt>
                <c:pt idx="689">
                  <c:v>#N/A</c:v>
                </c:pt>
                <c:pt idx="690">
                  <c:v>1044.8194050102229</c:v>
                </c:pt>
                <c:pt idx="691">
                  <c:v>#N/A</c:v>
                </c:pt>
                <c:pt idx="692">
                  <c:v>#N/A</c:v>
                </c:pt>
                <c:pt idx="693">
                  <c:v>#N/A</c:v>
                </c:pt>
                <c:pt idx="694">
                  <c:v>#N/A</c:v>
                </c:pt>
                <c:pt idx="695">
                  <c:v>#N/A</c:v>
                </c:pt>
                <c:pt idx="696">
                  <c:v>#N/A</c:v>
                </c:pt>
                <c:pt idx="697">
                  <c:v>#N/A</c:v>
                </c:pt>
                <c:pt idx="698">
                  <c:v>#N/A</c:v>
                </c:pt>
                <c:pt idx="699">
                  <c:v>#N/A</c:v>
                </c:pt>
                <c:pt idx="700">
                  <c:v>1082.0652200143343</c:v>
                </c:pt>
                <c:pt idx="701">
                  <c:v>#N/A</c:v>
                </c:pt>
                <c:pt idx="702">
                  <c:v>#N/A</c:v>
                </c:pt>
                <c:pt idx="703">
                  <c:v>#N/A</c:v>
                </c:pt>
                <c:pt idx="704">
                  <c:v>#N/A</c:v>
                </c:pt>
                <c:pt idx="705">
                  <c:v>#N/A</c:v>
                </c:pt>
                <c:pt idx="706">
                  <c:v>#N/A</c:v>
                </c:pt>
                <c:pt idx="707">
                  <c:v>#N/A</c:v>
                </c:pt>
                <c:pt idx="708">
                  <c:v>#N/A</c:v>
                </c:pt>
                <c:pt idx="709">
                  <c:v>#N/A</c:v>
                </c:pt>
                <c:pt idx="710">
                  <c:v>1118.9646931264315</c:v>
                </c:pt>
                <c:pt idx="711">
                  <c:v>#N/A</c:v>
                </c:pt>
                <c:pt idx="712">
                  <c:v>#N/A</c:v>
                </c:pt>
                <c:pt idx="713">
                  <c:v>#N/A</c:v>
                </c:pt>
                <c:pt idx="714">
                  <c:v>#N/A</c:v>
                </c:pt>
                <c:pt idx="715">
                  <c:v>#N/A</c:v>
                </c:pt>
                <c:pt idx="716">
                  <c:v>#N/A</c:v>
                </c:pt>
                <c:pt idx="717">
                  <c:v>#N/A</c:v>
                </c:pt>
                <c:pt idx="718">
                  <c:v>#N/A</c:v>
                </c:pt>
                <c:pt idx="719">
                  <c:v>#N/A</c:v>
                </c:pt>
                <c:pt idx="720">
                  <c:v>1155.4802313214084</c:v>
                </c:pt>
                <c:pt idx="721">
                  <c:v>#N/A</c:v>
                </c:pt>
                <c:pt idx="722">
                  <c:v>#N/A</c:v>
                </c:pt>
                <c:pt idx="723">
                  <c:v>#N/A</c:v>
                </c:pt>
                <c:pt idx="724">
                  <c:v>#N/A</c:v>
                </c:pt>
                <c:pt idx="725">
                  <c:v>#N/A</c:v>
                </c:pt>
                <c:pt idx="726">
                  <c:v>#N/A</c:v>
                </c:pt>
                <c:pt idx="727">
                  <c:v>#N/A</c:v>
                </c:pt>
                <c:pt idx="728">
                  <c:v>#N/A</c:v>
                </c:pt>
                <c:pt idx="729">
                  <c:v>#N/A</c:v>
                </c:pt>
                <c:pt idx="730">
                  <c:v>1191.5655274594005</c:v>
                </c:pt>
                <c:pt idx="731">
                  <c:v>#N/A</c:v>
                </c:pt>
                <c:pt idx="732">
                  <c:v>#N/A</c:v>
                </c:pt>
                <c:pt idx="733">
                  <c:v>#N/A</c:v>
                </c:pt>
                <c:pt idx="734">
                  <c:v>#N/A</c:v>
                </c:pt>
                <c:pt idx="735">
                  <c:v>#N/A</c:v>
                </c:pt>
                <c:pt idx="736">
                  <c:v>#N/A</c:v>
                </c:pt>
                <c:pt idx="737">
                  <c:v>#N/A</c:v>
                </c:pt>
                <c:pt idx="738">
                  <c:v>#N/A</c:v>
                </c:pt>
                <c:pt idx="739">
                  <c:v>#N/A</c:v>
                </c:pt>
                <c:pt idx="740">
                  <c:v>1227.169486178052</c:v>
                </c:pt>
                <c:pt idx="741">
                  <c:v>#N/A</c:v>
                </c:pt>
                <c:pt idx="742">
                  <c:v>#N/A</c:v>
                </c:pt>
                <c:pt idx="743">
                  <c:v>#N/A</c:v>
                </c:pt>
                <c:pt idx="744">
                  <c:v>#N/A</c:v>
                </c:pt>
                <c:pt idx="745">
                  <c:v>#N/A</c:v>
                </c:pt>
                <c:pt idx="746">
                  <c:v>#N/A</c:v>
                </c:pt>
                <c:pt idx="747">
                  <c:v>#N/A</c:v>
                </c:pt>
                <c:pt idx="748">
                  <c:v>#N/A</c:v>
                </c:pt>
                <c:pt idx="749">
                  <c:v>#N/A</c:v>
                </c:pt>
                <c:pt idx="750">
                  <c:v>1262.2390440007077</c:v>
                </c:pt>
                <c:pt idx="751">
                  <c:v>#N/A</c:v>
                </c:pt>
                <c:pt idx="752">
                  <c:v>#N/A</c:v>
                </c:pt>
                <c:pt idx="753">
                  <c:v>#N/A</c:v>
                </c:pt>
                <c:pt idx="754">
                  <c:v>#N/A</c:v>
                </c:pt>
                <c:pt idx="755">
                  <c:v>#N/A</c:v>
                </c:pt>
                <c:pt idx="756">
                  <c:v>#N/A</c:v>
                </c:pt>
                <c:pt idx="757">
                  <c:v>#N/A</c:v>
                </c:pt>
                <c:pt idx="758">
                  <c:v>#N/A</c:v>
                </c:pt>
                <c:pt idx="759">
                  <c:v>#N/A</c:v>
                </c:pt>
                <c:pt idx="760">
                  <c:v>1296.7211446293923</c:v>
                </c:pt>
                <c:pt idx="761">
                  <c:v>#N/A</c:v>
                </c:pt>
                <c:pt idx="762">
                  <c:v>#N/A</c:v>
                </c:pt>
                <c:pt idx="763">
                  <c:v>#N/A</c:v>
                </c:pt>
                <c:pt idx="764">
                  <c:v>#N/A</c:v>
                </c:pt>
                <c:pt idx="765">
                  <c:v>#N/A</c:v>
                </c:pt>
                <c:pt idx="766">
                  <c:v>#N/A</c:v>
                </c:pt>
                <c:pt idx="767">
                  <c:v>#N/A</c:v>
                </c:pt>
                <c:pt idx="768">
                  <c:v>#N/A</c:v>
                </c:pt>
                <c:pt idx="769">
                  <c:v>#N/A</c:v>
                </c:pt>
                <c:pt idx="770">
                  <c:v>1330.5641390252511</c:v>
                </c:pt>
                <c:pt idx="771">
                  <c:v>#N/A</c:v>
                </c:pt>
                <c:pt idx="772">
                  <c:v>#N/A</c:v>
                </c:pt>
                <c:pt idx="773">
                  <c:v>#N/A</c:v>
                </c:pt>
                <c:pt idx="774">
                  <c:v>#N/A</c:v>
                </c:pt>
                <c:pt idx="775">
                  <c:v>#N/A</c:v>
                </c:pt>
                <c:pt idx="776">
                  <c:v>#N/A</c:v>
                </c:pt>
                <c:pt idx="777">
                  <c:v>#N/A</c:v>
                </c:pt>
                <c:pt idx="778">
                  <c:v>#N/A</c:v>
                </c:pt>
                <c:pt idx="779">
                  <c:v>#N/A</c:v>
                </c:pt>
                <c:pt idx="780">
                  <c:v>1363.7188005320972</c:v>
                </c:pt>
                <c:pt idx="781">
                  <c:v>#N/A</c:v>
                </c:pt>
                <c:pt idx="782">
                  <c:v>#N/A</c:v>
                </c:pt>
                <c:pt idx="783">
                  <c:v>#N/A</c:v>
                </c:pt>
                <c:pt idx="784">
                  <c:v>#N/A</c:v>
                </c:pt>
                <c:pt idx="785">
                  <c:v>#N/A</c:v>
                </c:pt>
                <c:pt idx="786">
                  <c:v>#N/A</c:v>
                </c:pt>
                <c:pt idx="787">
                  <c:v>#N/A</c:v>
                </c:pt>
                <c:pt idx="788">
                  <c:v>#N/A</c:v>
                </c:pt>
                <c:pt idx="789">
                  <c:v>#N/A</c:v>
                </c:pt>
                <c:pt idx="790">
                  <c:v>1396.1390747439384</c:v>
                </c:pt>
                <c:pt idx="791">
                  <c:v>#N/A</c:v>
                </c:pt>
                <c:pt idx="792">
                  <c:v>#N/A</c:v>
                </c:pt>
                <c:pt idx="793">
                  <c:v>#N/A</c:v>
                </c:pt>
                <c:pt idx="794">
                  <c:v>#N/A</c:v>
                </c:pt>
                <c:pt idx="795">
                  <c:v>#N/A</c:v>
                </c:pt>
                <c:pt idx="796">
                  <c:v>#N/A</c:v>
                </c:pt>
                <c:pt idx="797">
                  <c:v>#N/A</c:v>
                </c:pt>
                <c:pt idx="798">
                  <c:v>#N/A</c:v>
                </c:pt>
                <c:pt idx="799">
                  <c:v>#N/A</c:v>
                </c:pt>
                <c:pt idx="800">
                  <c:v>1427.7826370773003</c:v>
                </c:pt>
                <c:pt idx="801">
                  <c:v>#N/A</c:v>
                </c:pt>
                <c:pt idx="802">
                  <c:v>#N/A</c:v>
                </c:pt>
                <c:pt idx="803">
                  <c:v>#N/A</c:v>
                </c:pt>
                <c:pt idx="804">
                  <c:v>#N/A</c:v>
                </c:pt>
                <c:pt idx="805">
                  <c:v>#N/A</c:v>
                </c:pt>
                <c:pt idx="806">
                  <c:v>#N/A</c:v>
                </c:pt>
                <c:pt idx="807">
                  <c:v>#N/A</c:v>
                </c:pt>
                <c:pt idx="808">
                  <c:v>#N/A</c:v>
                </c:pt>
                <c:pt idx="809">
                  <c:v>#N/A</c:v>
                </c:pt>
                <c:pt idx="810">
                  <c:v>1458.6113027791932</c:v>
                </c:pt>
                <c:pt idx="811">
                  <c:v>#N/A</c:v>
                </c:pt>
                <c:pt idx="812">
                  <c:v>#N/A</c:v>
                </c:pt>
                <c:pt idx="813">
                  <c:v>#N/A</c:v>
                </c:pt>
                <c:pt idx="814">
                  <c:v>#N/A</c:v>
                </c:pt>
                <c:pt idx="815">
                  <c:v>#N/A</c:v>
                </c:pt>
                <c:pt idx="816">
                  <c:v>#N/A</c:v>
                </c:pt>
                <c:pt idx="817">
                  <c:v>#N/A</c:v>
                </c:pt>
                <c:pt idx="818">
                  <c:v>#N/A</c:v>
                </c:pt>
                <c:pt idx="819">
                  <c:v>#N/A</c:v>
                </c:pt>
                <c:pt idx="820">
                  <c:v>1488.5913176172498</c:v>
                </c:pt>
                <c:pt idx="821">
                  <c:v>#N/A</c:v>
                </c:pt>
                <c:pt idx="822">
                  <c:v>#N/A</c:v>
                </c:pt>
                <c:pt idx="823">
                  <c:v>#N/A</c:v>
                </c:pt>
                <c:pt idx="824">
                  <c:v>#N/A</c:v>
                </c:pt>
                <c:pt idx="825">
                  <c:v>#N/A</c:v>
                </c:pt>
                <c:pt idx="826">
                  <c:v>#N/A</c:v>
                </c:pt>
                <c:pt idx="827">
                  <c:v>#N/A</c:v>
                </c:pt>
                <c:pt idx="828">
                  <c:v>#N/A</c:v>
                </c:pt>
                <c:pt idx="829">
                  <c:v>#N/A</c:v>
                </c:pt>
                <c:pt idx="830">
                  <c:v>1517.6935480210559</c:v>
                </c:pt>
                <c:pt idx="831">
                  <c:v>#N/A</c:v>
                </c:pt>
                <c:pt idx="832">
                  <c:v>#N/A</c:v>
                </c:pt>
                <c:pt idx="833">
                  <c:v>#N/A</c:v>
                </c:pt>
                <c:pt idx="834">
                  <c:v>#N/A</c:v>
                </c:pt>
                <c:pt idx="835">
                  <c:v>#N/A</c:v>
                </c:pt>
                <c:pt idx="836">
                  <c:v>#N/A</c:v>
                </c:pt>
                <c:pt idx="837">
                  <c:v>#N/A</c:v>
                </c:pt>
                <c:pt idx="838">
                  <c:v>#N/A</c:v>
                </c:pt>
                <c:pt idx="839">
                  <c:v>#N/A</c:v>
                </c:pt>
                <c:pt idx="840">
                  <c:v>1545.8935840741592</c:v>
                </c:pt>
                <c:pt idx="841">
                  <c:v>#N/A</c:v>
                </c:pt>
                <c:pt idx="842">
                  <c:v>#N/A</c:v>
                </c:pt>
                <c:pt idx="843">
                  <c:v>#N/A</c:v>
                </c:pt>
                <c:pt idx="844">
                  <c:v>#N/A</c:v>
                </c:pt>
                <c:pt idx="845">
                  <c:v>#N/A</c:v>
                </c:pt>
                <c:pt idx="846">
                  <c:v>#N/A</c:v>
                </c:pt>
                <c:pt idx="847">
                  <c:v>#N/A</c:v>
                </c:pt>
                <c:pt idx="848">
                  <c:v>#N/A</c:v>
                </c:pt>
                <c:pt idx="849">
                  <c:v>#N/A</c:v>
                </c:pt>
                <c:pt idx="850">
                  <c:v>1573.1717657855411</c:v>
                </c:pt>
                <c:pt idx="851">
                  <c:v>#N/A</c:v>
                </c:pt>
                <c:pt idx="852">
                  <c:v>#N/A</c:v>
                </c:pt>
                <c:pt idx="853">
                  <c:v>#N/A</c:v>
                </c:pt>
                <c:pt idx="854">
                  <c:v>#N/A</c:v>
                </c:pt>
                <c:pt idx="855">
                  <c:v>#N/A</c:v>
                </c:pt>
                <c:pt idx="856">
                  <c:v>#N/A</c:v>
                </c:pt>
                <c:pt idx="857">
                  <c:v>#N/A</c:v>
                </c:pt>
                <c:pt idx="858">
                  <c:v>#N/A</c:v>
                </c:pt>
                <c:pt idx="859">
                  <c:v>#N/A</c:v>
                </c:pt>
                <c:pt idx="860">
                  <c:v>1599.5131414907066</c:v>
                </c:pt>
                <c:pt idx="861">
                  <c:v>#N/A</c:v>
                </c:pt>
                <c:pt idx="862">
                  <c:v>#N/A</c:v>
                </c:pt>
                <c:pt idx="863">
                  <c:v>#N/A</c:v>
                </c:pt>
                <c:pt idx="864">
                  <c:v>#N/A</c:v>
                </c:pt>
                <c:pt idx="865">
                  <c:v>#N/A</c:v>
                </c:pt>
                <c:pt idx="866">
                  <c:v>#N/A</c:v>
                </c:pt>
                <c:pt idx="867">
                  <c:v>#N/A</c:v>
                </c:pt>
                <c:pt idx="868">
                  <c:v>#N/A</c:v>
                </c:pt>
                <c:pt idx="869">
                  <c:v>#N/A</c:v>
                </c:pt>
                <c:pt idx="870">
                  <c:v>1624.9073664439873</c:v>
                </c:pt>
                <c:pt idx="871">
                  <c:v>#N/A</c:v>
                </c:pt>
                <c:pt idx="872">
                  <c:v>#N/A</c:v>
                </c:pt>
                <c:pt idx="873">
                  <c:v>#N/A</c:v>
                </c:pt>
                <c:pt idx="874">
                  <c:v>#N/A</c:v>
                </c:pt>
                <c:pt idx="875">
                  <c:v>#N/A</c:v>
                </c:pt>
                <c:pt idx="876">
                  <c:v>#N/A</c:v>
                </c:pt>
                <c:pt idx="877">
                  <c:v>#N/A</c:v>
                </c:pt>
                <c:pt idx="878">
                  <c:v>#N/A</c:v>
                </c:pt>
                <c:pt idx="879">
                  <c:v>#N/A</c:v>
                </c:pt>
                <c:pt idx="880">
                  <c:v>1649.3485492985658</c:v>
                </c:pt>
                <c:pt idx="881">
                  <c:v>#N/A</c:v>
                </c:pt>
                <c:pt idx="882">
                  <c:v>#N/A</c:v>
                </c:pt>
                <c:pt idx="883">
                  <c:v>#N/A</c:v>
                </c:pt>
                <c:pt idx="884">
                  <c:v>#N/A</c:v>
                </c:pt>
                <c:pt idx="885">
                  <c:v>#N/A</c:v>
                </c:pt>
                <c:pt idx="886">
                  <c:v>#N/A</c:v>
                </c:pt>
                <c:pt idx="887">
                  <c:v>#N/A</c:v>
                </c:pt>
                <c:pt idx="888">
                  <c:v>#N/A</c:v>
                </c:pt>
                <c:pt idx="889">
                  <c:v>#N/A</c:v>
                </c:pt>
                <c:pt idx="890">
                  <c:v>1672.8350540025665</c:v>
                </c:pt>
                <c:pt idx="891">
                  <c:v>#N/A</c:v>
                </c:pt>
                <c:pt idx="892">
                  <c:v>#N/A</c:v>
                </c:pt>
                <c:pt idx="893">
                  <c:v>#N/A</c:v>
                </c:pt>
                <c:pt idx="894">
                  <c:v>#N/A</c:v>
                </c:pt>
                <c:pt idx="895">
                  <c:v>#N/A</c:v>
                </c:pt>
                <c:pt idx="896">
                  <c:v>#N/A</c:v>
                </c:pt>
                <c:pt idx="897">
                  <c:v>#N/A</c:v>
                </c:pt>
                <c:pt idx="898">
                  <c:v>#N/A</c:v>
                </c:pt>
                <c:pt idx="899">
                  <c:v>#N/A</c:v>
                </c:pt>
                <c:pt idx="900">
                  <c:v>1695.3692645280767</c:v>
                </c:pt>
                <c:pt idx="901">
                  <c:v>#N/A</c:v>
                </c:pt>
                <c:pt idx="902">
                  <c:v>#N/A</c:v>
                </c:pt>
                <c:pt idx="903">
                  <c:v>#N/A</c:v>
                </c:pt>
                <c:pt idx="904">
                  <c:v>#N/A</c:v>
                </c:pt>
                <c:pt idx="905">
                  <c:v>#N/A</c:v>
                </c:pt>
                <c:pt idx="906">
                  <c:v>#N/A</c:v>
                </c:pt>
                <c:pt idx="907">
                  <c:v>#N/A</c:v>
                </c:pt>
                <c:pt idx="908">
                  <c:v>#N/A</c:v>
                </c:pt>
                <c:pt idx="909">
                  <c:v>#N/A</c:v>
                </c:pt>
                <c:pt idx="910">
                  <c:v>1716.957319710616</c:v>
                </c:pt>
                <c:pt idx="911">
                  <c:v>#N/A</c:v>
                </c:pt>
                <c:pt idx="912">
                  <c:v>#N/A</c:v>
                </c:pt>
                <c:pt idx="913">
                  <c:v>#N/A</c:v>
                </c:pt>
                <c:pt idx="914">
                  <c:v>#N/A</c:v>
                </c:pt>
                <c:pt idx="915">
                  <c:v>#N/A</c:v>
                </c:pt>
                <c:pt idx="916">
                  <c:v>#N/A</c:v>
                </c:pt>
                <c:pt idx="917">
                  <c:v>#N/A</c:v>
                </c:pt>
                <c:pt idx="918">
                  <c:v>#N/A</c:v>
                </c:pt>
                <c:pt idx="919">
                  <c:v>#N/A</c:v>
                </c:pt>
                <c:pt idx="920">
                  <c:v>1737.6088252618508</c:v>
                </c:pt>
                <c:pt idx="921">
                  <c:v>#N/A</c:v>
                </c:pt>
                <c:pt idx="922">
                  <c:v>#N/A</c:v>
                </c:pt>
                <c:pt idx="923">
                  <c:v>#N/A</c:v>
                </c:pt>
                <c:pt idx="924">
                  <c:v>#N/A</c:v>
                </c:pt>
                <c:pt idx="925">
                  <c:v>#N/A</c:v>
                </c:pt>
                <c:pt idx="926">
                  <c:v>#N/A</c:v>
                </c:pt>
                <c:pt idx="927">
                  <c:v>#N/A</c:v>
                </c:pt>
                <c:pt idx="928">
                  <c:v>#N/A</c:v>
                </c:pt>
                <c:pt idx="929">
                  <c:v>#N/A</c:v>
                </c:pt>
                <c:pt idx="930">
                  <c:v>1757.3365497064863</c:v>
                </c:pt>
                <c:pt idx="931">
                  <c:v>#N/A</c:v>
                </c:pt>
                <c:pt idx="932">
                  <c:v>#N/A</c:v>
                </c:pt>
                <c:pt idx="933">
                  <c:v>#N/A</c:v>
                </c:pt>
                <c:pt idx="934">
                  <c:v>#N/A</c:v>
                </c:pt>
                <c:pt idx="935">
                  <c:v>#N/A</c:v>
                </c:pt>
                <c:pt idx="936">
                  <c:v>#N/A</c:v>
                </c:pt>
                <c:pt idx="937">
                  <c:v>#N/A</c:v>
                </c:pt>
                <c:pt idx="938">
                  <c:v>#N/A</c:v>
                </c:pt>
                <c:pt idx="939">
                  <c:v>#N/A</c:v>
                </c:pt>
                <c:pt idx="940">
                  <c:v>1776.1561105813587</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2682.0954118470786</c:v>
                </c:pt>
                <c:pt idx="661">
                  <c:v>2683.9540607711888</c:v>
                </c:pt>
                <c:pt idx="662">
                  <c:v>2685.712853294111</c:v>
                </c:pt>
                <c:pt idx="663">
                  <c:v>2687.3719019504256</c:v>
                </c:pt>
                <c:pt idx="664">
                  <c:v>2688.9313163605293</c:v>
                </c:pt>
                <c:pt idx="665">
                  <c:v>2690.3912033542838</c:v>
                </c:pt>
                <c:pt idx="666">
                  <c:v>2691.7516670986306</c:v>
                </c:pt>
                <c:pt idx="667">
                  <c:v>2693.0128092292161</c:v>
                </c:pt>
                <c:pt idx="668">
                  <c:v>2694.1747289860391</c:v>
                </c:pt>
                <c:pt idx="669">
                  <c:v>2695.2375233530906</c:v>
                </c:pt>
                <c:pt idx="670">
                  <c:v>2696.2012872019259</c:v>
                </c:pt>
                <c:pt idx="671">
                  <c:v>2697.0661134390543</c:v>
                </c:pt>
                <c:pt idx="672">
                  <c:v>2697.8320931569942</c:v>
                </c:pt>
                <c:pt idx="673">
                  <c:v>2698.499315788792</c:v>
                </c:pt>
                <c:pt idx="674">
                  <c:v>2699.0678692657575</c:v>
                </c:pt>
                <c:pt idx="675">
                  <c:v>2699.537840178119</c:v>
                </c:pt>
                <c:pt idx="676">
                  <c:v>2699.9093139382608</c:v>
                </c:pt>
                <c:pt idx="677">
                  <c:v>2700.1823749461578</c:v>
                </c:pt>
                <c:pt idx="678">
                  <c:v>2700.3571067565831</c:v>
                </c:pt>
                <c:pt idx="679">
                  <c:v>2700.4335922476339</c:v>
                </c:pt>
                <c:pt idx="680">
                  <c:v>2700.4119137900852</c:v>
                </c:pt>
                <c:pt idx="681">
                  <c:v>2700.2921534170632</c:v>
                </c:pt>
                <c:pt idx="682">
                  <c:v>2700.074392993507</c:v>
                </c:pt>
                <c:pt idx="683">
                  <c:v>2699.7587143848855</c:v>
                </c:pt>
                <c:pt idx="684">
                  <c:v>2699.3451996246336</c:v>
                </c:pt>
                <c:pt idx="685">
                  <c:v>2698.833931079771</c:v>
                </c:pt>
                <c:pt idx="686">
                  <c:v>2698.2249916141932</c:v>
                </c:pt>
                <c:pt idx="687">
                  <c:v>2697.5184647491346</c:v>
                </c:pt>
                <c:pt idx="688">
                  <c:v>2696.7144348203387</c:v>
                </c:pt>
                <c:pt idx="689">
                  <c:v>2695.8129871315009</c:v>
                </c:pt>
                <c:pt idx="690">
                  <c:v>2694.8142081035871</c:v>
                </c:pt>
                <c:pt idx="691">
                  <c:v>2693.7181854196765</c:v>
                </c:pt>
                <c:pt idx="692">
                  <c:v>2692.525008165017</c:v>
                </c:pt>
                <c:pt idx="693">
                  <c:v>2691.2347669620358</c:v>
                </c:pt>
                <c:pt idx="694">
                  <c:v>2689.8475541000839</c:v>
                </c:pt>
                <c:pt idx="695">
                  <c:v>2688.363463659754</c:v>
                </c:pt>
                <c:pt idx="696">
                  <c:v>2686.782591631641</c:v>
                </c:pt>
                <c:pt idx="697">
                  <c:v>2685.105036029473</c:v>
                </c:pt>
                <c:pt idx="698">
                  <c:v>2683.3308969975724</c:v>
                </c:pt>
                <c:pt idx="699">
                  <c:v>2681.4602769126445</c:v>
                </c:pt>
                <c:pt idx="700">
                  <c:v>2679.4932804799323</c:v>
                </c:pt>
                <c:pt idx="701">
                  <c:v>2677.4300148237985</c:v>
                </c:pt>
                <c:pt idx="702">
                  <c:v>2675.2705895728318</c:v>
                </c:pt>
                <c:pt idx="703">
                  <c:v>2673.015116939589</c:v>
                </c:pt>
                <c:pt idx="704">
                  <c:v>2670.6637117951072</c:v>
                </c:pt>
                <c:pt idx="705">
                  <c:v>2668.2164917383434</c:v>
                </c:pt>
                <c:pt idx="706">
                  <c:v>2665.6735771606982</c:v>
                </c:pt>
                <c:pt idx="707">
                  <c:v>2663.0350913058019</c:v>
                </c:pt>
                <c:pt idx="708">
                  <c:v>2660.3011603247405</c:v>
                </c:pt>
                <c:pt idx="709">
                  <c:v>2657.47191332691</c:v>
                </c:pt>
                <c:pt idx="710">
                  <c:v>2654.5474824266817</c:v>
                </c:pt>
                <c:pt idx="711">
                  <c:v>2651.528002786069</c:v>
                </c:pt>
                <c:pt idx="712">
                  <c:v>2648.4136126535791</c:v>
                </c:pt>
                <c:pt idx="713">
                  <c:v>2645.2044533994349</c:v>
                </c:pt>
                <c:pt idx="714">
                  <c:v>2641.9006695473449</c:v>
                </c:pt>
                <c:pt idx="715">
                  <c:v>2638.5024088029941</c:v>
                </c:pt>
                <c:pt idx="716">
                  <c:v>2635.0098220794266</c:v>
                </c:pt>
                <c:pt idx="717">
                  <c:v>2631.4230635194826</c:v>
                </c:pt>
                <c:pt idx="718">
                  <c:v>2627.7422905154408</c:v>
                </c:pt>
                <c:pt idx="719">
                  <c:v>2623.9676637260231</c:v>
                </c:pt>
                <c:pt idx="720">
                  <c:v>2620.0993470908975</c:v>
                </c:pt>
                <c:pt idx="721">
                  <c:v>2616.1375078428159</c:v>
                </c:pt>
                <c:pt idx="722">
                  <c:v>2612.0823165175193</c:v>
                </c:pt>
                <c:pt idx="723">
                  <c:v>2607.9339469615234</c:v>
                </c:pt>
                <c:pt idx="724">
                  <c:v>2603.6925763379077</c:v>
                </c:pt>
                <c:pt idx="725">
                  <c:v>2599.3583851302124</c:v>
                </c:pt>
                <c:pt idx="726">
                  <c:v>2594.9315571445441</c:v>
                </c:pt>
                <c:pt idx="727">
                  <c:v>2590.4122795099893</c:v>
                </c:pt>
                <c:pt idx="728">
                  <c:v>2585.8007426774225</c:v>
                </c:pt>
                <c:pt idx="729">
                  <c:v>2581.0971404167985</c:v>
                </c:pt>
                <c:pt idx="730">
                  <c:v>2576.3016698130014</c:v>
                </c:pt>
                <c:pt idx="731">
                  <c:v>2571.4145312603314</c:v>
                </c:pt>
                <c:pt idx="732">
                  <c:v>2566.4359284556972</c:v>
                </c:pt>
                <c:pt idx="733">
                  <c:v>2561.3660683905764</c:v>
                </c:pt>
                <c:pt idx="734">
                  <c:v>2556.2051613418103</c:v>
                </c:pt>
                <c:pt idx="735">
                  <c:v>2550.9534208612872</c:v>
                </c:pt>
                <c:pt idx="736">
                  <c:v>2545.6110637645711</c:v>
                </c:pt>
                <c:pt idx="737">
                  <c:v>2540.178310118521</c:v>
                </c:pt>
                <c:pt idx="738">
                  <c:v>2534.6553832279569</c:v>
                </c:pt>
                <c:pt idx="739">
                  <c:v>2529.0425096214067</c:v>
                </c:pt>
                <c:pt idx="740">
                  <c:v>2523.3399190359846</c:v>
                </c:pt>
                <c:pt idx="741">
                  <c:v>2517.5478444014348</c:v>
                </c:pt>
                <c:pt idx="742">
                  <c:v>2511.6665218233802</c:v>
                </c:pt>
                <c:pt idx="743">
                  <c:v>2505.6961905658077</c:v>
                </c:pt>
                <c:pt idx="744">
                  <c:v>2499.6370930328267</c:v>
                </c:pt>
                <c:pt idx="745">
                  <c:v>2493.4894747497269</c:v>
                </c:pt>
                <c:pt idx="746">
                  <c:v>2487.2535843433684</c:v>
                </c:pt>
                <c:pt idx="747">
                  <c:v>2480.9296735219282</c:v>
                </c:pt>
                <c:pt idx="748">
                  <c:v>2474.5179970540307</c:v>
                </c:pt>
                <c:pt idx="749">
                  <c:v>2468.0188127472857</c:v>
                </c:pt>
                <c:pt idx="750">
                  <c:v>2461.4323814262575</c:v>
                </c:pt>
                <c:pt idx="751">
                  <c:v>2454.7589669098847</c:v>
                </c:pt>
                <c:pt idx="752">
                  <c:v>2447.998835988376</c:v>
                </c:pt>
                <c:pt idx="753">
                  <c:v>2441.1522583995957</c:v>
                </c:pt>
                <c:pt idx="754">
                  <c:v>2434.2195068049618</c:v>
                </c:pt>
                <c:pt idx="755">
                  <c:v>2427.2008567648736</c:v>
                </c:pt>
                <c:pt idx="756">
                  <c:v>2420.0965867136847</c:v>
                </c:pt>
                <c:pt idx="757">
                  <c:v>2412.9069779342376</c:v>
                </c:pt>
                <c:pt idx="758">
                  <c:v>2405.632314531977</c:v>
                </c:pt>
                <c:pt idx="759">
                  <c:v>2398.2728834086556</c:v>
                </c:pt>
                <c:pt idx="760">
                  <c:v>2390.8289742356442</c:v>
                </c:pt>
                <c:pt idx="761">
                  <c:v>2383.3008794268649</c:v>
                </c:pt>
                <c:pt idx="762">
                  <c:v>2375.6888941113552</c:v>
                </c:pt>
                <c:pt idx="763">
                  <c:v>2367.9933161054796</c:v>
                </c:pt>
                <c:pt idx="764">
                  <c:v>2360.2144458847984</c:v>
                </c:pt>
                <c:pt idx="765">
                  <c:v>2352.3525865556057</c:v>
                </c:pt>
                <c:pt idx="766">
                  <c:v>2344.4080438261503</c:v>
                </c:pt>
                <c:pt idx="767">
                  <c:v>2336.3811259775462</c:v>
                </c:pt>
                <c:pt idx="768">
                  <c:v>2328.2721438343874</c:v>
                </c:pt>
                <c:pt idx="769">
                  <c:v>2320.081410735077</c:v>
                </c:pt>
                <c:pt idx="770">
                  <c:v>2311.8092425018754</c:v>
                </c:pt>
                <c:pt idx="771">
                  <c:v>2303.4559574106861</c:v>
                </c:pt>
                <c:pt idx="772">
                  <c:v>2295.0218761605806</c:v>
                </c:pt>
                <c:pt idx="773">
                  <c:v>2286.5073218430762</c:v>
                </c:pt>
                <c:pt idx="774">
                  <c:v>2277.9126199111756</c:v>
                </c:pt>
                <c:pt idx="775">
                  <c:v>2269.2380981481742</c:v>
                </c:pt>
                <c:pt idx="776">
                  <c:v>2260.4840866362479</c:v>
                </c:pt>
                <c:pt idx="777">
                  <c:v>2251.6509177248263</c:v>
                </c:pt>
                <c:pt idx="778">
                  <c:v>2242.7389259987626</c:v>
                </c:pt>
                <c:pt idx="779">
                  <c:v>2233.7484482463055</c:v>
                </c:pt>
                <c:pt idx="780">
                  <c:v>2224.6798234268854</c:v>
                </c:pt>
                <c:pt idx="781">
                  <c:v>2215.5333926387157</c:v>
                </c:pt>
                <c:pt idx="782">
                  <c:v>2206.3094990862269</c:v>
                </c:pt>
                <c:pt idx="783">
                  <c:v>2197.0084880473314</c:v>
                </c:pt>
                <c:pt idx="784">
                  <c:v>2187.6307068405335</c:v>
                </c:pt>
                <c:pt idx="785">
                  <c:v>2178.1765047918884</c:v>
                </c:pt>
                <c:pt idx="786">
                  <c:v>2168.6462332018191</c:v>
                </c:pt>
                <c:pt idx="787">
                  <c:v>2159.0402453117981</c:v>
                </c:pt>
                <c:pt idx="788">
                  <c:v>2149.3588962709014</c:v>
                </c:pt>
                <c:pt idx="789">
                  <c:v>2139.6025431022413</c:v>
                </c:pt>
                <c:pt idx="790">
                  <c:v>2129.7715446692846</c:v>
                </c:pt>
                <c:pt idx="791">
                  <c:v>2119.866261642067</c:v>
                </c:pt>
                <c:pt idx="792">
                  <c:v>2109.8870564633025</c:v>
                </c:pt>
                <c:pt idx="793">
                  <c:v>2099.8342933144049</c:v>
                </c:pt>
                <c:pt idx="794">
                  <c:v>2089.7083380814192</c:v>
                </c:pt>
                <c:pt idx="795">
                  <c:v>2079.5095583208749</c:v>
                </c:pt>
                <c:pt idx="796">
                  <c:v>2069.238323225567</c:v>
                </c:pt>
                <c:pt idx="797">
                  <c:v>2058.8950035902676</c:v>
                </c:pt>
                <c:pt idx="798">
                  <c:v>2048.4799717773808</c:v>
                </c:pt>
                <c:pt idx="799">
                  <c:v>2037.9936016825429</c:v>
                </c:pt>
                <c:pt idx="800">
                  <c:v>2027.4362687001744</c:v>
                </c:pt>
                <c:pt idx="801">
                  <c:v>2016.8083496889924</c:v>
                </c:pt>
                <c:pt idx="802">
                  <c:v>2006.1102229374883</c:v>
                </c:pt>
                <c:pt idx="803">
                  <c:v>1995.3422681293771</c:v>
                </c:pt>
                <c:pt idx="804">
                  <c:v>1984.5048663090251</c:v>
                </c:pt>
                <c:pt idx="805">
                  <c:v>1973.5983998468614</c:v>
                </c:pt>
                <c:pt idx="806">
                  <c:v>1962.6232524047784</c:v>
                </c:pt>
                <c:pt idx="807">
                  <c:v>1951.5798089015314</c:v>
                </c:pt>
                <c:pt idx="808">
                  <c:v>1940.4684554781375</c:v>
                </c:pt>
                <c:pt idx="809">
                  <c:v>1929.2895794632843</c:v>
                </c:pt>
                <c:pt idx="810">
                  <c:v>1918.0435693387528</c:v>
                </c:pt>
                <c:pt idx="811">
                  <c:v>1906.7308147048586</c:v>
                </c:pt>
                <c:pt idx="812">
                  <c:v>1895.3517062459209</c:v>
                </c:pt>
                <c:pt idx="813">
                  <c:v>1883.9066356957617</c:v>
                </c:pt>
                <c:pt idx="814">
                  <c:v>1872.3959958032426</c:v>
                </c:pt>
                <c:pt idx="815">
                  <c:v>1860.8201802978444</c:v>
                </c:pt>
                <c:pt idx="816">
                  <c:v>1849.1795838552948</c:v>
                </c:pt>
                <c:pt idx="817">
                  <c:v>1837.4746020632508</c:v>
                </c:pt>
                <c:pt idx="818">
                  <c:v>1825.7056313870403</c:v>
                </c:pt>
                <c:pt idx="819">
                  <c:v>1813.8730691354679</c:v>
                </c:pt>
                <c:pt idx="820">
                  <c:v>1801.9773134266925</c:v>
                </c:pt>
                <c:pt idx="821">
                  <c:v>1790.0187631541794</c:v>
                </c:pt>
                <c:pt idx="822">
                  <c:v>1777.9978179527341</c:v>
                </c:pt>
                <c:pt idx="823">
                  <c:v>1765.9148781646222</c:v>
                </c:pt>
                <c:pt idx="824">
                  <c:v>1753.7703448057807</c:v>
                </c:pt>
                <c:pt idx="825">
                  <c:v>1741.5646195321256</c:v>
                </c:pt>
                <c:pt idx="826">
                  <c:v>1729.2981046059617</c:v>
                </c:pt>
                <c:pt idx="827">
                  <c:v>1716.9712028624995</c:v>
                </c:pt>
                <c:pt idx="828">
                  <c:v>1704.5843176764822</c:v>
                </c:pt>
                <c:pt idx="829">
                  <c:v>1692.1378529289314</c:v>
                </c:pt>
                <c:pt idx="830">
                  <c:v>1679.6322129740126</c:v>
                </c:pt>
                <c:pt idx="831">
                  <c:v>1667.067802606028</c:v>
                </c:pt>
                <c:pt idx="832">
                  <c:v>1654.4450270265397</c:v>
                </c:pt>
                <c:pt idx="833">
                  <c:v>1641.7642918116294</c:v>
                </c:pt>
                <c:pt idx="834">
                  <c:v>1629.0260028792977</c:v>
                </c:pt>
                <c:pt idx="835">
                  <c:v>1616.2305664570092</c:v>
                </c:pt>
                <c:pt idx="836">
                  <c:v>1603.3783890493855</c:v>
                </c:pt>
                <c:pt idx="837">
                  <c:v>1590.4698774060546</c:v>
                </c:pt>
                <c:pt idx="838">
                  <c:v>1577.5054384896557</c:v>
                </c:pt>
                <c:pt idx="839">
                  <c:v>1564.4854794440091</c:v>
                </c:pt>
                <c:pt idx="840">
                  <c:v>1551.4104075624516</c:v>
                </c:pt>
                <c:pt idx="841">
                  <c:v>1538.2806302563433</c:v>
                </c:pt>
                <c:pt idx="842">
                  <c:v>1525.0965550237499</c:v>
                </c:pt>
                <c:pt idx="843">
                  <c:v>1511.8585894183038</c:v>
                </c:pt>
                <c:pt idx="844">
                  <c:v>1498.567141018249</c:v>
                </c:pt>
                <c:pt idx="845">
                  <c:v>1485.2226173956726</c:v>
                </c:pt>
                <c:pt idx="846">
                  <c:v>1471.8254260859287</c:v>
                </c:pt>
                <c:pt idx="847">
                  <c:v>1458.3759745572552</c:v>
                </c:pt>
                <c:pt idx="848">
                  <c:v>1444.8746701805908</c:v>
                </c:pt>
                <c:pt idx="849">
                  <c:v>1431.3219201995944</c:v>
                </c:pt>
                <c:pt idx="850">
                  <c:v>1417.7181317008692</c:v>
                </c:pt>
                <c:pt idx="851">
                  <c:v>1404.0637115843974</c:v>
                </c:pt>
                <c:pt idx="852">
                  <c:v>1390.3590665341871</c:v>
                </c:pt>
                <c:pt idx="853">
                  <c:v>1376.6046029891359</c:v>
                </c:pt>
                <c:pt idx="854">
                  <c:v>1362.8007271141134</c:v>
                </c:pt>
                <c:pt idx="855">
                  <c:v>1348.9478447712686</c:v>
                </c:pt>
                <c:pt idx="856">
                  <c:v>1335.0463614915604</c:v>
                </c:pt>
                <c:pt idx="857">
                  <c:v>1321.0966824465195</c:v>
                </c:pt>
                <c:pt idx="858">
                  <c:v>1307.0992124202414</c:v>
                </c:pt>
                <c:pt idx="859">
                  <c:v>1293.0543557816156</c:v>
                </c:pt>
                <c:pt idx="860">
                  <c:v>1278.9625164567913</c:v>
                </c:pt>
                <c:pt idx="861">
                  <c:v>1264.8240979018854</c:v>
                </c:pt>
                <c:pt idx="862">
                  <c:v>1250.6395030759331</c:v>
                </c:pt>
                <c:pt idx="863">
                  <c:v>1236.4091344140861</c:v>
                </c:pt>
                <c:pt idx="864">
                  <c:v>1222.1333938010575</c:v>
                </c:pt>
                <c:pt idx="865">
                  <c:v>1207.8126825448203</c:v>
                </c:pt>
                <c:pt idx="866">
                  <c:v>1193.4474013505587</c:v>
                </c:pt>
                <c:pt idx="867">
                  <c:v>1179.0379502948756</c:v>
                </c:pt>
                <c:pt idx="868">
                  <c:v>1164.584728800259</c:v>
                </c:pt>
                <c:pt idx="869">
                  <c:v>1150.0881356098089</c:v>
                </c:pt>
                <c:pt idx="870">
                  <c:v>1135.5485687622272</c:v>
                </c:pt>
                <c:pt idx="871">
                  <c:v>1120.9664255670725</c:v>
                </c:pt>
                <c:pt idx="872">
                  <c:v>1106.3421025802825</c:v>
                </c:pt>
                <c:pt idx="873">
                  <c:v>1091.6759955799641</c:v>
                </c:pt>
                <c:pt idx="874">
                  <c:v>1076.9684995424557</c:v>
                </c:pt>
                <c:pt idx="875">
                  <c:v>1062.2200086186608</c:v>
                </c:pt>
                <c:pt idx="876">
                  <c:v>1047.4309161106571</c:v>
                </c:pt>
                <c:pt idx="877">
                  <c:v>1032.6016144485809</c:v>
                </c:pt>
                <c:pt idx="878">
                  <c:v>1017.7324951677889</c:v>
                </c:pt>
                <c:pt idx="879">
                  <c:v>1002.823948886299</c:v>
                </c:pt>
                <c:pt idx="880">
                  <c:v>987.87636528251198</c:v>
                </c:pt>
                <c:pt idx="881">
                  <c:v>972.89013307321432</c:v>
                </c:pt>
                <c:pt idx="882">
                  <c:v>957.86563999186455</c:v>
                </c:pt>
                <c:pt idx="883">
                  <c:v>942.80327276716332</c:v>
                </c:pt>
                <c:pt idx="884">
                  <c:v>927.70341710190951</c:v>
                </c:pt>
                <c:pt idx="885">
                  <c:v>912.56645765214182</c:v>
                </c:pt>
                <c:pt idx="886">
                  <c:v>897.39277800656873</c:v>
                </c:pt>
                <c:pt idx="887">
                  <c:v>882.18276066628584</c:v>
                </c:pt>
                <c:pt idx="888">
                  <c:v>866.93678702478326</c:v>
                </c:pt>
                <c:pt idx="889">
                  <c:v>851.65523734824205</c:v>
                </c:pt>
                <c:pt idx="890">
                  <c:v>836.3384907561217</c:v>
                </c:pt>
                <c:pt idx="891">
                  <c:v>820.98692520203917</c:v>
                </c:pt>
                <c:pt idx="892">
                  <c:v>805.60091745493901</c:v>
                </c:pt>
                <c:pt idx="893">
                  <c:v>790.18084308055631</c:v>
                </c:pt>
                <c:pt idx="894">
                  <c:v>774.72707642317221</c:v>
                </c:pt>
                <c:pt idx="895">
                  <c:v>759.23999058766253</c:v>
                </c:pt>
                <c:pt idx="896">
                  <c:v>743.71995742183981</c:v>
                </c:pt>
                <c:pt idx="897">
                  <c:v>728.16734749908892</c:v>
                </c:pt>
                <c:pt idx="898">
                  <c:v>712.58253010129613</c:v>
                </c:pt>
                <c:pt idx="899">
                  <c:v>696.96587320207277</c:v>
                </c:pt>
                <c:pt idx="900">
                  <c:v>681.31774345027191</c:v>
                </c:pt>
                <c:pt idx="901">
                  <c:v>665.63850615379965</c:v>
                </c:pt>
                <c:pt idx="902">
                  <c:v>649.92852526371951</c:v>
                </c:pt>
                <c:pt idx="903">
                  <c:v>634.18816335865085</c:v>
                </c:pt>
                <c:pt idx="904">
                  <c:v>618.41778162946071</c:v>
                </c:pt>
                <c:pt idx="905">
                  <c:v>602.61773986424805</c:v>
                </c:pt>
                <c:pt idx="906">
                  <c:v>586.78839643362164</c:v>
                </c:pt>
                <c:pt idx="907">
                  <c:v>570.93010827626961</c:v>
                </c:pt>
                <c:pt idx="908">
                  <c:v>555.04323088482101</c:v>
                </c:pt>
                <c:pt idx="909">
                  <c:v>539.12811829199927</c:v>
                </c:pt>
                <c:pt idx="910">
                  <c:v>523.1851230570652</c:v>
                </c:pt>
                <c:pt idx="911">
                  <c:v>507.21459625255142</c:v>
                </c:pt>
                <c:pt idx="912">
                  <c:v>491.2168874512854</c:v>
                </c:pt>
                <c:pt idx="913">
                  <c:v>475.1923447137014</c:v>
                </c:pt>
                <c:pt idx="914">
                  <c:v>459.14131457544033</c:v>
                </c:pt>
                <c:pt idx="915">
                  <c:v>443.06414203523644</c:v>
                </c:pt>
                <c:pt idx="916">
                  <c:v>426.96117054309047</c:v>
                </c:pt>
                <c:pt idx="917">
                  <c:v>410.83274198872743</c:v>
                </c:pt>
                <c:pt idx="918">
                  <c:v>394.67919669033893</c:v>
                </c:pt>
                <c:pt idx="919">
                  <c:v>378.50087338360828</c:v>
                </c:pt>
                <c:pt idx="920">
                  <c:v>362.29810921101785</c:v>
                </c:pt>
                <c:pt idx="921">
                  <c:v>346.0712397114367</c:v>
                </c:pt>
                <c:pt idx="922">
                  <c:v>329.82059880998827</c:v>
                </c:pt>
                <c:pt idx="923">
                  <c:v>313.54651880819614</c:v>
                </c:pt>
                <c:pt idx="924">
                  <c:v>297.24933037440678</c:v>
                </c:pt>
                <c:pt idx="925">
                  <c:v>280.92936253448801</c:v>
                </c:pt>
                <c:pt idx="926">
                  <c:v>264.58694266280162</c:v>
                </c:pt>
                <c:pt idx="927">
                  <c:v>248.22239647344895</c:v>
                </c:pt>
                <c:pt idx="928">
                  <c:v>231.8360480117878</c:v>
                </c:pt>
                <c:pt idx="929">
                  <c:v>215.42821964621891</c:v>
                </c:pt>
                <c:pt idx="930">
                  <c:v>198.99923206024107</c:v>
                </c:pt>
                <c:pt idx="931">
                  <c:v>182.54940424477255</c:v>
                </c:pt>
                <c:pt idx="932">
                  <c:v>166.07905349073775</c:v>
                </c:pt>
                <c:pt idx="933">
                  <c:v>149.58849538191711</c:v>
                </c:pt>
                <c:pt idx="934">
                  <c:v>133.07804378805864</c:v>
                </c:pt>
                <c:pt idx="935">
                  <c:v>116.5480108582493</c:v>
                </c:pt>
                <c:pt idx="936">
                  <c:v>99.998707014544564</c:v>
                </c:pt>
                <c:pt idx="937">
                  <c:v>83.430440945854102</c:v>
                </c:pt>
                <c:pt idx="938">
                  <c:v>66.843519602081969</c:v>
                </c:pt>
                <c:pt idx="939">
                  <c:v>50.238248188519286</c:v>
                </c:pt>
                <c:pt idx="940">
                  <c:v>33.614930160487539</c:v>
                </c:pt>
                <c:pt idx="941">
                  <c:v>16.973867218230524</c:v>
                </c:pt>
                <c:pt idx="942">
                  <c:v>0.31535930205298612</c:v>
                </c:pt>
                <c:pt idx="943">
                  <c:v>-16.360295412296061</c:v>
                </c:pt>
                <c:pt idx="944">
                  <c:v>-16.376979574437723</c:v>
                </c:pt>
                <c:pt idx="945">
                  <c:v>-16.393663753281871</c:v>
                </c:pt>
                <c:pt idx="946">
                  <c:v>-16.41034794882821</c:v>
                </c:pt>
                <c:pt idx="947">
                  <c:v>-16.427032161076447</c:v>
                </c:pt>
                <c:pt idx="948">
                  <c:v>-16.443716390026289</c:v>
                </c:pt>
                <c:pt idx="949">
                  <c:v>-16.460400635677441</c:v>
                </c:pt>
                <c:pt idx="950">
                  <c:v>-16.477084898029609</c:v>
                </c:pt>
                <c:pt idx="951">
                  <c:v>-16.493769177082505</c:v>
                </c:pt>
                <c:pt idx="952">
                  <c:v>-16.510453472835831</c:v>
                </c:pt>
                <c:pt idx="953">
                  <c:v>-16.527137785289295</c:v>
                </c:pt>
                <c:pt idx="954">
                  <c:v>-16.543822114442605</c:v>
                </c:pt>
                <c:pt idx="955">
                  <c:v>-16.560506460295468</c:v>
                </c:pt>
                <c:pt idx="956">
                  <c:v>-16.577190822847587</c:v>
                </c:pt>
                <c:pt idx="957">
                  <c:v>-16.593875202098673</c:v>
                </c:pt>
                <c:pt idx="958">
                  <c:v>-16.610559598048432</c:v>
                </c:pt>
                <c:pt idx="959">
                  <c:v>-16.627244010696572</c:v>
                </c:pt>
                <c:pt idx="960">
                  <c:v>-16.643928440042796</c:v>
                </c:pt>
                <c:pt idx="961">
                  <c:v>-16.660612886086813</c:v>
                </c:pt>
                <c:pt idx="962">
                  <c:v>-16.677297348828329</c:v>
                </c:pt>
                <c:pt idx="963">
                  <c:v>-16.693981828267052</c:v>
                </c:pt>
                <c:pt idx="964">
                  <c:v>-16.710666324402691</c:v>
                </c:pt>
                <c:pt idx="965">
                  <c:v>-16.727350837234948</c:v>
                </c:pt>
                <c:pt idx="966">
                  <c:v>-16.744035366763534</c:v>
                </c:pt>
                <c:pt idx="967">
                  <c:v>-16.760719912988151</c:v>
                </c:pt>
                <c:pt idx="968">
                  <c:v>-16.777404475908511</c:v>
                </c:pt>
                <c:pt idx="969">
                  <c:v>-16.794089055524317</c:v>
                </c:pt>
                <c:pt idx="970">
                  <c:v>-16.81077365183528</c:v>
                </c:pt>
                <c:pt idx="971">
                  <c:v>-16.827458264841102</c:v>
                </c:pt>
                <c:pt idx="972">
                  <c:v>-16.844142894541491</c:v>
                </c:pt>
                <c:pt idx="973">
                  <c:v>-16.860827540936157</c:v>
                </c:pt>
                <c:pt idx="974">
                  <c:v>-16.877512204024804</c:v>
                </c:pt>
                <c:pt idx="975">
                  <c:v>-16.89419688380714</c:v>
                </c:pt>
                <c:pt idx="976">
                  <c:v>-16.910881580282872</c:v>
                </c:pt>
                <c:pt idx="977">
                  <c:v>-16.927566293451704</c:v>
                </c:pt>
                <c:pt idx="978">
                  <c:v>-16.944251023313349</c:v>
                </c:pt>
                <c:pt idx="979">
                  <c:v>-16.960935769867508</c:v>
                </c:pt>
                <c:pt idx="980">
                  <c:v>-16.977620533113889</c:v>
                </c:pt>
                <c:pt idx="981">
                  <c:v>-16.994305313052202</c:v>
                </c:pt>
                <c:pt idx="982">
                  <c:v>-17.010990109682151</c:v>
                </c:pt>
                <c:pt idx="983">
                  <c:v>-17.027674923003442</c:v>
                </c:pt>
                <c:pt idx="984">
                  <c:v>-17.044359753015783</c:v>
                </c:pt>
                <c:pt idx="985">
                  <c:v>-17.061044599718883</c:v>
                </c:pt>
                <c:pt idx="986">
                  <c:v>-17.077729463112448</c:v>
                </c:pt>
                <c:pt idx="987">
                  <c:v>-17.094414343196181</c:v>
                </c:pt>
                <c:pt idx="988">
                  <c:v>-17.111099239969793</c:v>
                </c:pt>
                <c:pt idx="989">
                  <c:v>-17.127784153432987</c:v>
                </c:pt>
                <c:pt idx="990">
                  <c:v>-17.144469083585474</c:v>
                </c:pt>
                <c:pt idx="991">
                  <c:v>-17.16115403042696</c:v>
                </c:pt>
                <c:pt idx="992">
                  <c:v>-17.177838993957153</c:v>
                </c:pt>
                <c:pt idx="993">
                  <c:v>-17.194523974175755</c:v>
                </c:pt>
                <c:pt idx="994">
                  <c:v>-17.211208971082478</c:v>
                </c:pt>
                <c:pt idx="995">
                  <c:v>-17.227893984677024</c:v>
                </c:pt>
                <c:pt idx="996">
                  <c:v>-17.244579014959104</c:v>
                </c:pt>
                <c:pt idx="997">
                  <c:v>-17.261264061928426</c:v>
                </c:pt>
                <c:pt idx="998">
                  <c:v>-17.277949125584691</c:v>
                </c:pt>
                <c:pt idx="999">
                  <c:v>-17.294634205927611</c:v>
                </c:pt>
                <c:pt idx="1000">
                  <c:v>-17.311319302956893</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7.8068751954264885E-5</c:v>
                </c:pt>
                <c:pt idx="2">
                  <c:v>4.9095286462302E-4</c:v>
                </c:pt>
                <c:pt idx="3">
                  <c:v>1.491499648462318E-3</c:v>
                </c:pt>
                <c:pt idx="4">
                  <c:v>3.2281037998809397E-3</c:v>
                </c:pt>
                <c:pt idx="5">
                  <c:v>5.8492807523010653E-3</c:v>
                </c:pt>
                <c:pt idx="6">
                  <c:v>9.5036849283488649E-3</c:v>
                </c:pt>
                <c:pt idx="7">
                  <c:v>1.4340127864657718E-2</c:v>
                </c:pt>
                <c:pt idx="8">
                  <c:v>2.0507596216029399E-2</c:v>
                </c:pt>
                <c:pt idx="9">
                  <c:v>2.8155269645527378E-2</c:v>
                </c:pt>
                <c:pt idx="10">
                  <c:v>3.7432538606911911E-2</c:v>
                </c:pt>
                <c:pt idx="11">
                  <c:v>4.844633564922908E-2</c:v>
                </c:pt>
                <c:pt idx="12">
                  <c:v>6.1218365000211009E-2</c:v>
                </c:pt>
                <c:pt idx="13">
                  <c:v>7.5727323644137812E-2</c:v>
                </c:pt>
                <c:pt idx="14">
                  <c:v>9.1951214893689209E-2</c:v>
                </c:pt>
                <c:pt idx="15">
                  <c:v>0.10986767309825565</c:v>
                </c:pt>
                <c:pt idx="16">
                  <c:v>0.12945428906740214</c:v>
                </c:pt>
                <c:pt idx="17">
                  <c:v>0.1506886107768757</c:v>
                </c:pt>
                <c:pt idx="18">
                  <c:v>0.17354814407439006</c:v>
                </c:pt>
                <c:pt idx="19">
                  <c:v>0.19801035338509218</c:v>
                </c:pt>
                <c:pt idx="20">
                  <c:v>0.22405266241661514</c:v>
                </c:pt>
                <c:pt idx="21">
                  <c:v>0.25165245486362342</c:v>
                </c:pt>
                <c:pt idx="22">
                  <c:v>0.28078707511175599</c:v>
                </c:pt>
                <c:pt idx="23">
                  <c:v>0.31143382894087418</c:v>
                </c:pt>
                <c:pt idx="24">
                  <c:v>0.34356998422752133</c:v>
                </c:pt>
                <c:pt idx="25">
                  <c:v>0.37717277164650181</c:v>
                </c:pt>
                <c:pt idx="26">
                  <c:v>0.41221938537148817</c:v>
                </c:pt>
                <c:pt idx="27">
                  <c:v>0.44869272071940014</c:v>
                </c:pt>
                <c:pt idx="28">
                  <c:v>0.48658712154688871</c:v>
                </c:pt>
                <c:pt idx="29">
                  <c:v>0.52590265808600734</c:v>
                </c:pt>
                <c:pt idx="30">
                  <c:v>0.56663939467391855</c:v>
                </c:pt>
                <c:pt idx="31">
                  <c:v>0.6087973897453286</c:v>
                </c:pt>
                <c:pt idx="32">
                  <c:v>0.6523766958250371</c:v>
                </c:pt>
                <c:pt idx="33">
                  <c:v>0.6973773595206022</c:v>
                </c:pt>
                <c:pt idx="34">
                  <c:v>0.74388334048300531</c:v>
                </c:pt>
                <c:pt idx="35">
                  <c:v>0.79198137868783935</c:v>
                </c:pt>
                <c:pt idx="36">
                  <c:v>0.84167704391527187</c:v>
                </c:pt>
                <c:pt idx="37">
                  <c:v>0.89297579911410474</c:v>
                </c:pt>
                <c:pt idx="38">
                  <c:v>0.94588296618105772</c:v>
                </c:pt>
                <c:pt idx="39">
                  <c:v>1.0004037328389408</c:v>
                </c:pt>
                <c:pt idx="40">
                  <c:v>1.0565431589862955</c:v>
                </c:pt>
                <c:pt idx="41">
                  <c:v>1.1143061825716356</c:v>
                </c:pt>
                <c:pt idx="42">
                  <c:v>1.173697625038876</c:v>
                </c:pt>
                <c:pt idx="43">
                  <c:v>1.2347221963849404</c:v>
                </c:pt>
                <c:pt idx="44">
                  <c:v>1.2973844998657351</c:v>
                </c:pt>
                <c:pt idx="45">
                  <c:v>1.3616890363825316</c:v>
                </c:pt>
                <c:pt idx="46">
                  <c:v>1.4276402085772157</c:v>
                </c:pt>
                <c:pt idx="47">
                  <c:v>1.4952423246617521</c:v>
                </c:pt>
                <c:pt idx="48">
                  <c:v>1.5644996020044948</c:v>
                </c:pt>
                <c:pt idx="49">
                  <c:v>1.6354161704936148</c:v>
                </c:pt>
                <c:pt idx="50">
                  <c:v>1.7079960756958288</c:v>
                </c:pt>
                <c:pt idx="51">
                  <c:v>1.7822432818267948</c:v>
                </c:pt>
                <c:pt idx="52">
                  <c:v>1.8581616745479266</c:v>
                </c:pt>
                <c:pt idx="53">
                  <c:v>1.9357550636029592</c:v>
                </c:pt>
                <c:pt idx="54">
                  <c:v>2.015027185306336</c:v>
                </c:pt>
                <c:pt idx="55">
                  <c:v>2.0959817048943674</c:v>
                </c:pt>
                <c:pt idx="56">
                  <c:v>2.178622218749116</c:v>
                </c:pt>
                <c:pt idx="57">
                  <c:v>2.2629522565040712</c:v>
                </c:pt>
                <c:pt idx="58">
                  <c:v>2.3489752830398851</c:v>
                </c:pt>
                <c:pt idx="59">
                  <c:v>2.436694700377724</c:v>
                </c:pt>
                <c:pt idx="60">
                  <c:v>2.5261138494771478</c:v>
                </c:pt>
                <c:pt idx="61">
                  <c:v>2.6172360119448665</c:v>
                </c:pt>
                <c:pt idx="62">
                  <c:v>2.7100644116601842</c:v>
                </c:pt>
                <c:pt idx="63">
                  <c:v>2.8046022163224889</c:v>
                </c:pt>
                <c:pt idx="64">
                  <c:v>2.9008525389257134</c:v>
                </c:pt>
                <c:pt idx="65">
                  <c:v>2.9988184391643138</c:v>
                </c:pt>
                <c:pt idx="66">
                  <c:v>3.098502924774956</c:v>
                </c:pt>
                <c:pt idx="67">
                  <c:v>3.1999089528177938</c:v>
                </c:pt>
                <c:pt idx="68">
                  <c:v>3.3030394309009217</c:v>
                </c:pt>
                <c:pt idx="69">
                  <c:v>3.407897218351335</c:v>
                </c:pt>
                <c:pt idx="70">
                  <c:v>3.5144851273354796</c:v>
                </c:pt>
                <c:pt idx="71">
                  <c:v>3.6228059239322579</c:v>
                </c:pt>
                <c:pt idx="72">
                  <c:v>3.7328622572600776</c:v>
                </c:pt>
                <c:pt idx="73">
                  <c:v>3.8446565880950163</c:v>
                </c:pt>
                <c:pt idx="74">
                  <c:v>3.9581912610983387</c:v>
                </c:pt>
                <c:pt idx="75">
                  <c:v>4.0734685774853139</c:v>
                </c:pt>
                <c:pt idx="76">
                  <c:v>4.1904907959219866</c:v>
                </c:pt>
                <c:pt idx="77">
                  <c:v>4.3092601333869451</c:v>
                </c:pt>
                <c:pt idx="78">
                  <c:v>4.4297787659999059</c:v>
                </c:pt>
                <c:pt idx="79">
                  <c:v>4.5520488298188102</c:v>
                </c:pt>
                <c:pt idx="80">
                  <c:v>4.6760724216070404</c:v>
                </c:pt>
                <c:pt idx="81">
                  <c:v>4.8018515995722417</c:v>
                </c:pt>
                <c:pt idx="82">
                  <c:v>4.9293883840781634</c:v>
                </c:pt>
                <c:pt idx="83">
                  <c:v>5.0586847583308279</c:v>
                </c:pt>
                <c:pt idx="84">
                  <c:v>5.1897426690402728</c:v>
                </c:pt>
                <c:pt idx="85">
                  <c:v>5.3225640270590313</c:v>
                </c:pt>
                <c:pt idx="86">
                  <c:v>5.4571507079984451</c:v>
                </c:pt>
                <c:pt idx="87">
                  <c:v>5.5935045528238465</c:v>
                </c:pt>
                <c:pt idx="88">
                  <c:v>5.7316273684295806</c:v>
                </c:pt>
                <c:pt idx="89">
                  <c:v>5.8715209281947871</c:v>
                </c:pt>
                <c:pt idx="90">
                  <c:v>6.0131869725208116</c:v>
                </c:pt>
                <c:pt idx="91">
                  <c:v>6.1566272093510621</c:v>
                </c:pt>
                <c:pt idx="92">
                  <c:v>6.3018433146740911</c:v>
                </c:pt>
                <c:pt idx="93">
                  <c:v>6.4488369330106243</c:v>
                </c:pt>
                <c:pt idx="94">
                  <c:v>6.5976096778852433</c:v>
                </c:pt>
                <c:pt idx="95">
                  <c:v>6.7481631322833682</c:v>
                </c:pt>
                <c:pt idx="96">
                  <c:v>6.9004988490941672</c:v>
                </c:pt>
                <c:pt idx="97">
                  <c:v>7.054618351539979</c:v>
                </c:pt>
                <c:pt idx="98">
                  <c:v>7.2105231335928153</c:v>
                </c:pt>
                <c:pt idx="99">
                  <c:v>7.3682146603784631</c:v>
                </c:pt>
                <c:pt idx="100">
                  <c:v>7.5276943685686994</c:v>
                </c:pt>
                <c:pt idx="101">
                  <c:v>7.6889636667621</c:v>
                </c:pt>
                <c:pt idx="102">
                  <c:v>7.8520239358538824</c:v>
                </c:pt>
                <c:pt idx="103">
                  <c:v>8.0168765293952386</c:v>
                </c:pt>
                <c:pt idx="104">
                  <c:v>8.1835227739425527</c:v>
                </c:pt>
                <c:pt idx="105">
                  <c:v>8.3519639693968983</c:v>
                </c:pt>
                <c:pt idx="106">
                  <c:v>8.5222013893342048</c:v>
                </c:pt>
                <c:pt idx="107">
                  <c:v>8.6942362813264271</c:v>
                </c:pt>
                <c:pt idx="108">
                  <c:v>8.8680698672540696</c:v>
                </c:pt>
                <c:pt idx="109">
                  <c:v>9.043703343610396</c:v>
                </c:pt>
                <c:pt idx="110">
                  <c:v>9.2211378817976204</c:v>
                </c:pt>
                <c:pt idx="111">
                  <c:v>9.4003746284153831</c:v>
                </c:pt>
                <c:pt idx="112">
                  <c:v>9.5814147055417944</c:v>
                </c:pt>
                <c:pt idx="113">
                  <c:v>9.7642592110073068</c:v>
                </c:pt>
                <c:pt idx="114">
                  <c:v>9.9489092186616883</c:v>
                </c:pt>
                <c:pt idx="115">
                  <c:v>10.135365778634327</c:v>
                </c:pt>
                <c:pt idx="116">
                  <c:v>10.323629917588118</c:v>
                </c:pt>
                <c:pt idx="117">
                  <c:v>10.513702638967148</c:v>
                </c:pt>
                <c:pt idx="118">
                  <c:v>10.705584923238398</c:v>
                </c:pt>
                <c:pt idx="119">
                  <c:v>10.899277728127668</c:v>
                </c:pt>
                <c:pt idx="120">
                  <c:v>11.094781988849929</c:v>
                </c:pt>
                <c:pt idx="121">
                  <c:v>11.292098618334286</c:v>
                </c:pt>
                <c:pt idx="122">
                  <c:v>11.491228507443736</c:v>
                </c:pt>
                <c:pt idx="123">
                  <c:v>11.692172525189893</c:v>
                </c:pt>
                <c:pt idx="124">
                  <c:v>11.89493151894286</c:v>
                </c:pt>
                <c:pt idx="125">
                  <c:v>12.099506314636391</c:v>
                </c:pt>
                <c:pt idx="126">
                  <c:v>12.305897716968516</c:v>
                </c:pt>
                <c:pt idx="127">
                  <c:v>12.514106509597759</c:v>
                </c:pt>
                <c:pt idx="128">
                  <c:v>12.724133455335108</c:v>
                </c:pt>
                <c:pt idx="129">
                  <c:v>12.935978940176838</c:v>
                </c:pt>
                <c:pt idx="130">
                  <c:v>13.149642615891278</c:v>
                </c:pt>
                <c:pt idx="131">
                  <c:v>13.365123754472652</c:v>
                </c:pt>
                <c:pt idx="132">
                  <c:v>13.582421604059677</c:v>
                </c:pt>
                <c:pt idx="133">
                  <c:v>13.801535389160628</c:v>
                </c:pt>
                <c:pt idx="134">
                  <c:v>14.022464310874064</c:v>
                </c:pt>
                <c:pt idx="135">
                  <c:v>14.245207547105325</c:v>
                </c:pt>
                <c:pt idx="136">
                  <c:v>14.469764252778976</c:v>
                </c:pt>
                <c:pt idx="137">
                  <c:v>14.696133560047281</c:v>
                </c:pt>
                <c:pt idx="138">
                  <c:v>14.924314578494876</c:v>
                </c:pt>
                <c:pt idx="139">
                  <c:v>15.15430639533972</c:v>
                </c:pt>
                <c:pt idx="140">
                  <c:v>15.386108075630466</c:v>
                </c:pt>
                <c:pt idx="141">
                  <c:v>15.619718662440356</c:v>
                </c:pt>
                <c:pt idx="142">
                  <c:v>15.85513717705774</c:v>
                </c:pt>
                <c:pt idx="143">
                  <c:v>16.092362619173329</c:v>
                </c:pt>
                <c:pt idx="144">
                  <c:v>16.331393967064272</c:v>
                </c:pt>
                <c:pt idx="145">
                  <c:v>16.572230177775165</c:v>
                </c:pt>
                <c:pt idx="146">
                  <c:v>16.814870187296076</c:v>
                </c:pt>
                <c:pt idx="147">
                  <c:v>17.05931291073767</c:v>
                </c:pt>
                <c:pt idx="148">
                  <c:v>17.305557242503529</c:v>
                </c:pt>
                <c:pt idx="149">
                  <c:v>17.553602056459738</c:v>
                </c:pt>
                <c:pt idx="150">
                  <c:v>17.803446206101839</c:v>
                </c:pt>
                <c:pt idx="151">
                  <c:v>18.055088524719189</c:v>
                </c:pt>
                <c:pt idx="152">
                  <c:v>18.308527825556837</c:v>
                </c:pt>
                <c:pt idx="153">
                  <c:v>18.563762901974975</c:v>
                </c:pt>
                <c:pt idx="154">
                  <c:v>18.820792527606027</c:v>
                </c:pt>
                <c:pt idx="155">
                  <c:v>19.079615456509444</c:v>
                </c:pt>
                <c:pt idx="156">
                  <c:v>19.340230423324268</c:v>
                </c:pt>
                <c:pt idx="157">
                  <c:v>19.602636143419549</c:v>
                </c:pt>
                <c:pt idx="158">
                  <c:v>19.866831313042642</c:v>
                </c:pt>
                <c:pt idx="159">
                  <c:v>20.132814609465459</c:v>
                </c:pt>
                <c:pt idx="160">
                  <c:v>20.400584691128735</c:v>
                </c:pt>
                <c:pt idx="161">
                  <c:v>20.670140197784349</c:v>
                </c:pt>
                <c:pt idx="162">
                  <c:v>20.941479750635764</c:v>
                </c:pt>
                <c:pt idx="163">
                  <c:v>21.214601952476645</c:v>
                </c:pt>
                <c:pt idx="164">
                  <c:v>21.489505387827666</c:v>
                </c:pt>
                <c:pt idx="165">
                  <c:v>21.766188623071606</c:v>
                </c:pt>
                <c:pt idx="166">
                  <c:v>22.044650206586734</c:v>
                </c:pt>
                <c:pt idx="167">
                  <c:v>22.324888668878557</c:v>
                </c:pt>
                <c:pt idx="168">
                  <c:v>22.606902522709962</c:v>
                </c:pt>
                <c:pt idx="169">
                  <c:v>22.890690263229793</c:v>
                </c:pt>
                <c:pt idx="170">
                  <c:v>23.176250368099907</c:v>
                </c:pt>
                <c:pt idx="171">
                  <c:v>23.463581297620745</c:v>
                </c:pt>
                <c:pt idx="172">
                  <c:v>23.752681494855459</c:v>
                </c:pt>
                <c:pt idx="173">
                  <c:v>24.04354938575263</c:v>
                </c:pt>
                <c:pt idx="174">
                  <c:v>24.336183379267609</c:v>
                </c:pt>
                <c:pt idx="175">
                  <c:v>24.630581867482523</c:v>
                </c:pt>
                <c:pt idx="176">
                  <c:v>24.926743225724973</c:v>
                </c:pt>
                <c:pt idx="177">
                  <c:v>25.224665812685458</c:v>
                </c:pt>
                <c:pt idx="178">
                  <c:v>25.524347970533562</c:v>
                </c:pt>
                <c:pt idx="179">
                  <c:v>25.825788025032914</c:v>
                </c:pt>
                <c:pt idx="180">
                  <c:v>26.128984285654983</c:v>
                </c:pt>
                <c:pt idx="181">
                  <c:v>26.433935045691715</c:v>
                </c:pt>
                <c:pt idx="182">
                  <c:v>26.74063858236703</c:v>
                </c:pt>
                <c:pt idx="183">
                  <c:v>27.049093156947237</c:v>
                </c:pt>
                <c:pt idx="184">
                  <c:v>27.359297014850362</c:v>
                </c:pt>
                <c:pt idx="185">
                  <c:v>27.671248385754446</c:v>
                </c:pt>
                <c:pt idx="186">
                  <c:v>27.984945483704784</c:v>
                </c:pt>
                <c:pt idx="187">
                  <c:v>28.300386507220217</c:v>
                </c:pt>
                <c:pt idx="188">
                  <c:v>28.61756963939839</c:v>
                </c:pt>
                <c:pt idx="189">
                  <c:v>28.936493048020097</c:v>
                </c:pt>
                <c:pt idx="190">
                  <c:v>29.257154885652682</c:v>
                </c:pt>
                <c:pt idx="191">
                  <c:v>29.579553289752511</c:v>
                </c:pt>
                <c:pt idx="192">
                  <c:v>29.903686382766583</c:v>
                </c:pt>
                <c:pt idx="193">
                  <c:v>30.229552272233249</c:v>
                </c:pt>
                <c:pt idx="194">
                  <c:v>30.557149050882082</c:v>
                </c:pt>
                <c:pt idx="195">
                  <c:v>30.886474796732912</c:v>
                </c:pt>
                <c:pt idx="196">
                  <c:v>31.217527573194069</c:v>
                </c:pt>
                <c:pt idx="197">
                  <c:v>31.550305429159792</c:v>
                </c:pt>
                <c:pt idx="198">
                  <c:v>31.884806399106886</c:v>
                </c:pt>
                <c:pt idx="199">
                  <c:v>32.221028503190603</c:v>
                </c:pt>
                <c:pt idx="200">
                  <c:v>32.558969747339788</c:v>
                </c:pt>
                <c:pt idx="201">
                  <c:v>32.898628123351273</c:v>
                </c:pt>
                <c:pt idx="202">
                  <c:v>33.240001608983583</c:v>
                </c:pt>
                <c:pt idx="203">
                  <c:v>33.583088168049919</c:v>
                </c:pt>
                <c:pt idx="204">
                  <c:v>33.927885750510455</c:v>
                </c:pt>
                <c:pt idx="205">
                  <c:v>34.274392292563988</c:v>
                </c:pt>
                <c:pt idx="206">
                  <c:v>34.622605624586022</c:v>
                </c:pt>
                <c:pt idx="207">
                  <c:v>34.972523378825947</c:v>
                </c:pt>
                <c:pt idx="208">
                  <c:v>35.324143081360248</c:v>
                </c:pt>
                <c:pt idx="209">
                  <c:v>35.677462244289629</c:v>
                </c:pt>
                <c:pt idx="210">
                  <c:v>36.032478365835992</c:v>
                </c:pt>
                <c:pt idx="211">
                  <c:v>36.389188930438685</c:v>
                </c:pt>
                <c:pt idx="212">
                  <c:v>36.747591408850184</c:v>
                </c:pt>
                <c:pt idx="213">
                  <c:v>37.107683258231077</c:v>
                </c:pt>
                <c:pt idx="214">
                  <c:v>37.46946192224447</c:v>
                </c:pt>
                <c:pt idx="215">
                  <c:v>37.832924831149761</c:v>
                </c:pt>
                <c:pt idx="216">
                  <c:v>38.198069401895815</c:v>
                </c:pt>
                <c:pt idx="217">
                  <c:v>38.564893038213576</c:v>
                </c:pt>
                <c:pt idx="218">
                  <c:v>38.933393130708069</c:v>
                </c:pt>
                <c:pt idx="219">
                  <c:v>39.303567056949859</c:v>
                </c:pt>
                <c:pt idx="220">
                  <c:v>39.675412181565946</c:v>
                </c:pt>
                <c:pt idx="221">
                  <c:v>40.048925856330108</c:v>
                </c:pt>
                <c:pt idx="222">
                  <c:v>40.424105420252715</c:v>
                </c:pt>
                <c:pt idx="223">
                  <c:v>40.800948199670017</c:v>
                </c:pt>
                <c:pt idx="224">
                  <c:v>41.179451508332889</c:v>
                </c:pt>
                <c:pt idx="225">
                  <c:v>41.559612647495086</c:v>
                </c:pt>
                <c:pt idx="226">
                  <c:v>41.941428906001008</c:v>
                </c:pt>
                <c:pt idx="227">
                  <c:v>42.324897560372932</c:v>
                </c:pt>
                <c:pt idx="228">
                  <c:v>42.710015874897792</c:v>
                </c:pt>
                <c:pt idx="229">
                  <c:v>43.096781101713468</c:v>
                </c:pt>
                <c:pt idx="230">
                  <c:v>43.485190480894587</c:v>
                </c:pt>
                <c:pt idx="231">
                  <c:v>43.875241240537896</c:v>
                </c:pt>
                <c:pt idx="232">
                  <c:v>44.266930596847146</c:v>
                </c:pt>
                <c:pt idx="233">
                  <c:v>44.660255754217545</c:v>
                </c:pt>
                <c:pt idx="234">
                  <c:v>45.055213905319754</c:v>
                </c:pt>
                <c:pt idx="235">
                  <c:v>45.45180223118345</c:v>
                </c:pt>
                <c:pt idx="236">
                  <c:v>45.850017901280467</c:v>
                </c:pt>
                <c:pt idx="237">
                  <c:v>46.249858073607506</c:v>
                </c:pt>
                <c:pt idx="238">
                  <c:v>46.651319894768427</c:v>
                </c:pt>
                <c:pt idx="239">
                  <c:v>47.054400500056119</c:v>
                </c:pt>
                <c:pt idx="240">
                  <c:v>47.459097013533984</c:v>
                </c:pt>
                <c:pt idx="241">
                  <c:v>47.865406548116994</c:v>
                </c:pt>
                <c:pt idx="242">
                  <c:v>48.273325880103613</c:v>
                </c:pt>
                <c:pt idx="243">
                  <c:v>48.682851123005491</c:v>
                </c:pt>
                <c:pt idx="244">
                  <c:v>49.093978052384671</c:v>
                </c:pt>
                <c:pt idx="245">
                  <c:v>49.506702431405927</c:v>
                </c:pt>
                <c:pt idx="246">
                  <c:v>49.921020010943195</c:v>
                </c:pt>
                <c:pt idx="247">
                  <c:v>50.336926529685392</c:v>
                </c:pt>
                <c:pt idx="248">
                  <c:v>50.754417714241754</c:v>
                </c:pt>
                <c:pt idx="249">
                  <c:v>51.173489279246567</c:v>
                </c:pt>
                <c:pt idx="250">
                  <c:v>51.594136927463417</c:v>
                </c:pt>
                <c:pt idx="251">
                  <c:v>52.016356349888866</c:v>
                </c:pt>
                <c:pt idx="252">
                  <c:v>52.440143225855614</c:v>
                </c:pt>
                <c:pt idx="253">
                  <c:v>52.865493223135168</c:v>
                </c:pt>
                <c:pt idx="254">
                  <c:v>53.292401998039935</c:v>
                </c:pt>
                <c:pt idx="255">
                  <c:v>53.720865195524873</c:v>
                </c:pt>
                <c:pt idx="256">
                  <c:v>54.15087844928857</c:v>
                </c:pt>
                <c:pt idx="257">
                  <c:v>54.582437381873874</c:v>
                </c:pt>
                <c:pt idx="258">
                  <c:v>55.015537604767985</c:v>
                </c:pt>
                <c:pt idx="259">
                  <c:v>55.450174718502069</c:v>
                </c:pt>
                <c:pt idx="260">
                  <c:v>55.886344312750396</c:v>
                </c:pt>
                <c:pt idx="261">
                  <c:v>56.324041966428965</c:v>
                </c:pt>
                <c:pt idx="262">
                  <c:v>56.76326324779366</c:v>
                </c:pt>
                <c:pt idx="263">
                  <c:v>57.20400371453794</c:v>
                </c:pt>
                <c:pt idx="264">
                  <c:v>57.64625891389003</c:v>
                </c:pt>
                <c:pt idx="265">
                  <c:v>58.090024382709657</c:v>
                </c:pt>
                <c:pt idx="266">
                  <c:v>58.535295647584306</c:v>
                </c:pt>
                <c:pt idx="267">
                  <c:v>58.982068224925037</c:v>
                </c:pt>
                <c:pt idx="268">
                  <c:v>59.43033762106181</c:v>
                </c:pt>
                <c:pt idx="269">
                  <c:v>59.880099332338361</c:v>
                </c:pt>
                <c:pt idx="270">
                  <c:v>60.331348845206641</c:v>
                </c:pt>
                <c:pt idx="271">
                  <c:v>60.784081636320771</c:v>
                </c:pt>
                <c:pt idx="272">
                  <c:v>61.238293172630577</c:v>
                </c:pt>
                <c:pt idx="273">
                  <c:v>61.693978911474659</c:v>
                </c:pt>
                <c:pt idx="274">
                  <c:v>62.151134300673029</c:v>
                </c:pt>
                <c:pt idx="275">
                  <c:v>62.609754778619298</c:v>
                </c:pt>
                <c:pt idx="276">
                  <c:v>63.069835774372415</c:v>
                </c:pt>
                <c:pt idx="277">
                  <c:v>63.531372707747998</c:v>
                </c:pt>
                <c:pt idx="278">
                  <c:v>63.994360989409202</c:v>
                </c:pt>
                <c:pt idx="279">
                  <c:v>64.458796020957166</c:v>
                </c:pt>
                <c:pt idx="280">
                  <c:v>64.924673195021043</c:v>
                </c:pt>
                <c:pt idx="281">
                  <c:v>65.391987895347569</c:v>
                </c:pt>
                <c:pt idx="282">
                  <c:v>65.860735496890243</c:v>
                </c:pt>
                <c:pt idx="283">
                  <c:v>66.330911365898061</c:v>
                </c:pt>
                <c:pt idx="284">
                  <c:v>66.802511250824068</c:v>
                </c:pt>
                <c:pt idx="285">
                  <c:v>67.27553167388956</c:v>
                </c:pt>
                <c:pt idx="286">
                  <c:v>67.749969541005655</c:v>
                </c:pt>
                <c:pt idx="287">
                  <c:v>68.225821751024668</c:v>
                </c:pt>
                <c:pt idx="288">
                  <c:v>68.703085195799474</c:v>
                </c:pt>
                <c:pt idx="289">
                  <c:v>69.18175676024255</c:v>
                </c:pt>
                <c:pt idx="290">
                  <c:v>69.661833322384908</c:v>
                </c:pt>
                <c:pt idx="291">
                  <c:v>70.143311753434659</c:v>
                </c:pt>
                <c:pt idx="292">
                  <c:v>70.626188917835478</c:v>
                </c:pt>
                <c:pt idx="293">
                  <c:v>71.110461673324764</c:v>
                </c:pt>
                <c:pt idx="294">
                  <c:v>71.596126870991554</c:v>
                </c:pt>
                <c:pt idx="295">
                  <c:v>72.083181355334304</c:v>
                </c:pt>
                <c:pt idx="296">
                  <c:v>72.571621964318354</c:v>
                </c:pt>
                <c:pt idx="297">
                  <c:v>73.061445529433186</c:v>
                </c:pt>
                <c:pt idx="298">
                  <c:v>73.552648875749526</c:v>
                </c:pt>
                <c:pt idx="299">
                  <c:v>74.045228821976139</c:v>
                </c:pt>
                <c:pt idx="300">
                  <c:v>74.539182180516406</c:v>
                </c:pt>
                <c:pt idx="301">
                  <c:v>75.034505757524769</c:v>
                </c:pt>
                <c:pt idx="302">
                  <c:v>75.531196352962851</c:v>
                </c:pt>
                <c:pt idx="303">
                  <c:v>76.029250760655401</c:v>
                </c:pt>
                <c:pt idx="304">
                  <c:v>76.528665768346016</c:v>
                </c:pt>
                <c:pt idx="305">
                  <c:v>77.029438157752679</c:v>
                </c:pt>
                <c:pt idx="306">
                  <c:v>77.53156470462298</c:v>
                </c:pt>
                <c:pt idx="307">
                  <c:v>78.035042178789226</c:v>
                </c:pt>
                <c:pt idx="308">
                  <c:v>78.539867344223296</c:v>
                </c:pt>
                <c:pt idx="309">
                  <c:v>79.046036959091239</c:v>
                </c:pt>
                <c:pt idx="310">
                  <c:v>79.553547775807715</c:v>
                </c:pt>
                <c:pt idx="311">
                  <c:v>80.06239654109018</c:v>
                </c:pt>
                <c:pt idx="312">
                  <c:v>80.572579996012891</c:v>
                </c:pt>
                <c:pt idx="313">
                  <c:v>81.084094876060661</c:v>
                </c:pt>
                <c:pt idx="314">
                  <c:v>81.596937911182422</c:v>
                </c:pt>
                <c:pt idx="315">
                  <c:v>82.111105825844547</c:v>
                </c:pt>
                <c:pt idx="316">
                  <c:v>82.626595339084005</c:v>
                </c:pt>
                <c:pt idx="317">
                  <c:v>83.143403164561263</c:v>
                </c:pt>
                <c:pt idx="318">
                  <c:v>83.661526010612988</c:v>
                </c:pt>
                <c:pt idx="319">
                  <c:v>84.180960580304543</c:v>
                </c:pt>
                <c:pt idx="320">
                  <c:v>84.701703571482255</c:v>
                </c:pt>
                <c:pt idx="321">
                  <c:v>85.223751676825486</c:v>
                </c:pt>
                <c:pt idx="322">
                  <c:v>85.747101583898498</c:v>
                </c:pt>
                <c:pt idx="323">
                  <c:v>86.271749975202098</c:v>
                </c:pt>
                <c:pt idx="324">
                  <c:v>86.797693528225039</c:v>
                </c:pt>
                <c:pt idx="325">
                  <c:v>87.324928915495278</c:v>
                </c:pt>
                <c:pt idx="326">
                  <c:v>87.853452829123157</c:v>
                </c:pt>
                <c:pt idx="327">
                  <c:v>88.383262005376949</c:v>
                </c:pt>
                <c:pt idx="328">
                  <c:v>88.914353200268607</c:v>
                </c:pt>
                <c:pt idx="329">
                  <c:v>89.446723165105908</c:v>
                </c:pt>
                <c:pt idx="330">
                  <c:v>89.980368646541223</c:v>
                </c:pt>
                <c:pt idx="331">
                  <c:v>90.515286386620133</c:v>
                </c:pt>
                <c:pt idx="332">
                  <c:v>91.051473122829819</c:v>
                </c:pt>
                <c:pt idx="333">
                  <c:v>91.58892558814722</c:v>
                </c:pt>
                <c:pt idx="334">
                  <c:v>92.127640511087066</c:v>
                </c:pt>
                <c:pt idx="335">
                  <c:v>92.667614615749628</c:v>
                </c:pt>
                <c:pt idx="336">
                  <c:v>93.208844621868352</c:v>
                </c:pt>
                <c:pt idx="337">
                  <c:v>93.751327244857222</c:v>
                </c:pt>
                <c:pt idx="338">
                  <c:v>94.295059195857974</c:v>
                </c:pt>
                <c:pt idx="339">
                  <c:v>94.840037181787082</c:v>
                </c:pt>
                <c:pt idx="340">
                  <c:v>95.386257905382607</c:v>
                </c:pt>
                <c:pt idx="341">
                  <c:v>95.933718065250716</c:v>
                </c:pt>
                <c:pt idx="342">
                  <c:v>96.482414355912169</c:v>
                </c:pt>
                <c:pt idx="343">
                  <c:v>97.032343467848492</c:v>
                </c:pt>
                <c:pt idx="344">
                  <c:v>97.583502087547998</c:v>
                </c:pt>
                <c:pt idx="345">
                  <c:v>98.1358868975516</c:v>
                </c:pt>
                <c:pt idx="346">
                  <c:v>98.689494576498419</c:v>
                </c:pt>
                <c:pt idx="347">
                  <c:v>99.244321799171246</c:v>
                </c:pt>
                <c:pt idx="348">
                  <c:v>99.800365236541722</c:v>
                </c:pt>
                <c:pt idx="349">
                  <c:v>100.35762155581538</c:v>
                </c:pt>
                <c:pt idx="350">
                  <c:v>100.91608742047653</c:v>
                </c:pt>
                <c:pt idx="351">
                  <c:v>101.47575949033281</c:v>
                </c:pt>
                <c:pt idx="352">
                  <c:v>102.03663442155967</c:v>
                </c:pt>
                <c:pt idx="353">
                  <c:v>102.59870886674466</c:v>
                </c:pt>
                <c:pt idx="354">
                  <c:v>103.16197947493143</c:v>
                </c:pt>
                <c:pt idx="355">
                  <c:v>103.72644289166357</c:v>
                </c:pt>
                <c:pt idx="356">
                  <c:v>104.29209575902833</c:v>
                </c:pt>
                <c:pt idx="357">
                  <c:v>104.85893471570003</c:v>
                </c:pt>
                <c:pt idx="358">
                  <c:v>105.42695639698336</c:v>
                </c:pt>
                <c:pt idx="359">
                  <c:v>105.99615743485643</c:v>
                </c:pt>
                <c:pt idx="360">
                  <c:v>106.56653445801368</c:v>
                </c:pt>
                <c:pt idx="361">
                  <c:v>107.13808409190855</c:v>
                </c:pt>
                <c:pt idx="362">
                  <c:v>107.71080295879597</c:v>
                </c:pt>
                <c:pt idx="363">
                  <c:v>108.28468767777463</c:v>
                </c:pt>
                <c:pt idx="364">
                  <c:v>108.85973486482912</c:v>
                </c:pt>
                <c:pt idx="365">
                  <c:v>109.43594113287182</c:v>
                </c:pt>
                <c:pt idx="366">
                  <c:v>110.01330372359725</c:v>
                </c:pt>
                <c:pt idx="367">
                  <c:v>110.59182113999995</c:v>
                </c:pt>
                <c:pt idx="368">
                  <c:v>111.17149251501723</c:v>
                </c:pt>
                <c:pt idx="369">
                  <c:v>111.75231697949451</c:v>
                </c:pt>
                <c:pt idx="370">
                  <c:v>112.33429366219931</c:v>
                </c:pt>
                <c:pt idx="371">
                  <c:v>112.91742168983535</c:v>
                </c:pt>
                <c:pt idx="372">
                  <c:v>113.5017001870565</c:v>
                </c:pt>
                <c:pt idx="373">
                  <c:v>114.0871282764808</c:v>
                </c:pt>
                <c:pt idx="374">
                  <c:v>114.67370507870436</c:v>
                </c:pt>
                <c:pt idx="375">
                  <c:v>115.26142971231528</c:v>
                </c:pt>
                <c:pt idx="376">
                  <c:v>115.85030129390755</c:v>
                </c:pt>
                <c:pt idx="377">
                  <c:v>116.44031893809492</c:v>
                </c:pt>
                <c:pt idx="378">
                  <c:v>117.03148175752467</c:v>
                </c:pt>
                <c:pt idx="379">
                  <c:v>117.62378886289149</c:v>
                </c:pt>
                <c:pt idx="380">
                  <c:v>118.21723936295116</c:v>
                </c:pt>
                <c:pt idx="381">
                  <c:v>118.81183167834676</c:v>
                </c:pt>
                <c:pt idx="382">
                  <c:v>119.40756285475918</c:v>
                </c:pt>
                <c:pt idx="383">
                  <c:v>120.0044292487363</c:v>
                </c:pt>
                <c:pt idx="384">
                  <c:v>120.60242721421224</c:v>
                </c:pt>
                <c:pt idx="385">
                  <c:v>121.2015531025496</c:v>
                </c:pt>
                <c:pt idx="386">
                  <c:v>121.80180326258152</c:v>
                </c:pt>
                <c:pt idx="387">
                  <c:v>122.40317404065351</c:v>
                </c:pt>
                <c:pt idx="388">
                  <c:v>123.00566178066511</c:v>
                </c:pt>
                <c:pt idx="389">
                  <c:v>123.60926282411123</c:v>
                </c:pt>
                <c:pt idx="390">
                  <c:v>124.21397351012342</c:v>
                </c:pt>
                <c:pt idx="391">
                  <c:v>124.81979017551082</c:v>
                </c:pt>
                <c:pt idx="392">
                  <c:v>125.42670915480095</c:v>
                </c:pt>
                <c:pt idx="393">
                  <c:v>126.03472678028027</c:v>
                </c:pt>
                <c:pt idx="394">
                  <c:v>126.64383938203451</c:v>
                </c:pt>
                <c:pt idx="395">
                  <c:v>127.25404328798888</c:v>
                </c:pt>
                <c:pt idx="396">
                  <c:v>127.86533482394788</c:v>
                </c:pt>
                <c:pt idx="397">
                  <c:v>128.47771031363513</c:v>
                </c:pt>
                <c:pt idx="398">
                  <c:v>129.09116607873281</c:v>
                </c:pt>
                <c:pt idx="399">
                  <c:v>129.70569843892099</c:v>
                </c:pt>
                <c:pt idx="400">
                  <c:v>130.3213037119167</c:v>
                </c:pt>
                <c:pt idx="401">
                  <c:v>130.93797767056347</c:v>
                </c:pt>
                <c:pt idx="402">
                  <c:v>131.55571499945859</c:v>
                </c:pt>
                <c:pt idx="403">
                  <c:v>132.17450983776669</c:v>
                </c:pt>
                <c:pt idx="404">
                  <c:v>132.79435632250923</c:v>
                </c:pt>
                <c:pt idx="405">
                  <c:v>133.41524858862977</c:v>
                </c:pt>
                <c:pt idx="406">
                  <c:v>134.03718076905884</c:v>
                </c:pt>
                <c:pt idx="407">
                  <c:v>134.66014699477827</c:v>
                </c:pt>
                <c:pt idx="408">
                  <c:v>135.28414139488532</c:v>
                </c:pt>
                <c:pt idx="409">
                  <c:v>135.909158096656</c:v>
                </c:pt>
                <c:pt idx="410">
                  <c:v>136.53519122560823</c:v>
                </c:pt>
                <c:pt idx="411">
                  <c:v>137.16223189712676</c:v>
                </c:pt>
                <c:pt idx="412">
                  <c:v>137.79026520580527</c:v>
                </c:pt>
                <c:pt idx="413">
                  <c:v>138.41927323346113</c:v>
                </c:pt>
                <c:pt idx="414">
                  <c:v>139.04923805955698</c:v>
                </c:pt>
                <c:pt idx="415">
                  <c:v>139.68014176151033</c:v>
                </c:pt>
                <c:pt idx="416">
                  <c:v>140.31196641499966</c:v>
                </c:pt>
                <c:pt idx="417">
                  <c:v>140.94469409426745</c:v>
                </c:pt>
                <c:pt idx="418">
                  <c:v>141.57830687241963</c:v>
                </c:pt>
                <c:pt idx="419">
                  <c:v>142.21278682172183</c:v>
                </c:pt>
                <c:pt idx="420">
                  <c:v>142.84811429833854</c:v>
                </c:pt>
                <c:pt idx="421">
                  <c:v>143.48426622606985</c:v>
                </c:pt>
                <c:pt idx="422">
                  <c:v>144.12121781240506</c:v>
                </c:pt>
                <c:pt idx="423">
                  <c:v>144.75894426567788</c:v>
                </c:pt>
                <c:pt idx="424">
                  <c:v>145.39742079555646</c:v>
                </c:pt>
                <c:pt idx="425">
                  <c:v>146.03662261352747</c:v>
                </c:pt>
                <c:pt idx="426">
                  <c:v>146.67652493337386</c:v>
                </c:pt>
                <c:pt idx="427">
                  <c:v>147.31710297164639</c:v>
                </c:pt>
                <c:pt idx="428">
                  <c:v>147.95833194812906</c:v>
                </c:pt>
                <c:pt idx="429">
                  <c:v>148.60018708629832</c:v>
                </c:pt>
                <c:pt idx="430">
                  <c:v>149.24264361377604</c:v>
                </c:pt>
                <c:pt idx="431">
                  <c:v>149.88567676277637</c:v>
                </c:pt>
                <c:pt idx="432">
                  <c:v>150.5292589969541</c:v>
                </c:pt>
                <c:pt idx="433">
                  <c:v>151.17335723742559</c:v>
                </c:pt>
                <c:pt idx="434">
                  <c:v>151.81793563837221</c:v>
                </c:pt>
                <c:pt idx="435">
                  <c:v>152.46295836367497</c:v>
                </c:pt>
                <c:pt idx="436">
                  <c:v>153.1083895877596</c:v>
                </c:pt>
                <c:pt idx="437">
                  <c:v>153.75419349642863</c:v>
                </c:pt>
                <c:pt idx="438">
                  <c:v>154.40033428768066</c:v>
                </c:pt>
                <c:pt idx="439">
                  <c:v>155.04677617251679</c:v>
                </c:pt>
                <c:pt idx="440">
                  <c:v>155.69348337573402</c:v>
                </c:pt>
                <c:pt idx="441">
                  <c:v>156.34042013670594</c:v>
                </c:pt>
                <c:pt idx="442">
                  <c:v>156.98755239947235</c:v>
                </c:pt>
                <c:pt idx="443">
                  <c:v>157.63484950279621</c:v>
                </c:pt>
                <c:pt idx="444">
                  <c:v>158.28228248984124</c:v>
                </c:pt>
                <c:pt idx="445">
                  <c:v>158.92982241772773</c:v>
                </c:pt>
                <c:pt idx="446">
                  <c:v>159.57744035799436</c:v>
                </c:pt>
                <c:pt idx="447">
                  <c:v>160.22510739705149</c:v>
                </c:pt>
                <c:pt idx="448">
                  <c:v>160.87279463662603</c:v>
                </c:pt>
                <c:pt idx="449">
                  <c:v>161.52047319419779</c:v>
                </c:pt>
                <c:pt idx="450">
                  <c:v>162.16811420342762</c:v>
                </c:pt>
                <c:pt idx="451">
                  <c:v>162.81568881457687</c:v>
                </c:pt>
                <c:pt idx="452">
                  <c:v>163.46316819491864</c:v>
                </c:pt>
                <c:pt idx="453">
                  <c:v>164.11052595625503</c:v>
                </c:pt>
                <c:pt idx="454">
                  <c:v>164.75774058181318</c:v>
                </c:pt>
                <c:pt idx="455">
                  <c:v>165.40479299619182</c:v>
                </c:pt>
                <c:pt idx="456">
                  <c:v>166.05166413579309</c:v>
                </c:pt>
                <c:pt idx="457">
                  <c:v>166.69833494895579</c:v>
                </c:pt>
                <c:pt idx="458">
                  <c:v>167.3447863960848</c:v>
                </c:pt>
                <c:pt idx="459">
                  <c:v>167.99099944977706</c:v>
                </c:pt>
                <c:pt idx="460">
                  <c:v>168.63695509494403</c:v>
                </c:pt>
                <c:pt idx="461">
                  <c:v>169.28263651874266</c:v>
                </c:pt>
                <c:pt idx="462">
                  <c:v>169.92803129973868</c:v>
                </c:pt>
                <c:pt idx="463">
                  <c:v>170.5731292149402</c:v>
                </c:pt>
                <c:pt idx="464">
                  <c:v>171.21792004754101</c:v>
                </c:pt>
                <c:pt idx="465">
                  <c:v>171.86239358692379</c:v>
                </c:pt>
                <c:pt idx="466">
                  <c:v>172.50653778598695</c:v>
                </c:pt>
                <c:pt idx="467">
                  <c:v>173.15033691917151</c:v>
                </c:pt>
                <c:pt idx="468">
                  <c:v>173.79375289353166</c:v>
                </c:pt>
                <c:pt idx="469">
                  <c:v>174.43673170630342</c:v>
                </c:pt>
                <c:pt idx="470">
                  <c:v>175.07924913904003</c:v>
                </c:pt>
                <c:pt idx="471">
                  <c:v>175.7213061375312</c:v>
                </c:pt>
                <c:pt idx="472">
                  <c:v>176.36290364479154</c:v>
                </c:pt>
                <c:pt idx="473">
                  <c:v>177.00404260107177</c:v>
                </c:pt>
                <c:pt idx="474">
                  <c:v>177.64472394386974</c:v>
                </c:pt>
                <c:pt idx="475">
                  <c:v>178.28494860794143</c:v>
                </c:pt>
                <c:pt idx="476">
                  <c:v>178.92471752531205</c:v>
                </c:pt>
                <c:pt idx="477">
                  <c:v>179.56403162528682</c:v>
                </c:pt>
                <c:pt idx="478">
                  <c:v>180.20289183446187</c:v>
                </c:pt>
                <c:pt idx="479">
                  <c:v>180.84129907673508</c:v>
                </c:pt>
                <c:pt idx="480">
                  <c:v>181.4792542733168</c:v>
                </c:pt>
                <c:pt idx="481">
                  <c:v>182.11675834274055</c:v>
                </c:pt>
                <c:pt idx="482">
                  <c:v>182.75381220087368</c:v>
                </c:pt>
                <c:pt idx="483">
                  <c:v>183.39041676092793</c:v>
                </c:pt>
                <c:pt idx="484">
                  <c:v>184.02657293347002</c:v>
                </c:pt>
                <c:pt idx="485">
                  <c:v>184.66228162643205</c:v>
                </c:pt>
                <c:pt idx="486">
                  <c:v>185.29754374512203</c:v>
                </c:pt>
                <c:pt idx="487">
                  <c:v>185.9323601922342</c:v>
                </c:pt>
                <c:pt idx="488">
                  <c:v>186.56673186785937</c:v>
                </c:pt>
                <c:pt idx="489">
                  <c:v>187.20065966949522</c:v>
                </c:pt>
                <c:pt idx="490">
                  <c:v>187.83414449205651</c:v>
                </c:pt>
                <c:pt idx="491">
                  <c:v>188.4671872278852</c:v>
                </c:pt>
                <c:pt idx="492">
                  <c:v>189.09978876676072</c:v>
                </c:pt>
                <c:pt idx="493">
                  <c:v>189.7319499959099</c:v>
                </c:pt>
                <c:pt idx="494">
                  <c:v>190.36367180001707</c:v>
                </c:pt>
                <c:pt idx="495">
                  <c:v>190.99495506123404</c:v>
                </c:pt>
                <c:pt idx="496">
                  <c:v>191.62580065918999</c:v>
                </c:pt>
                <c:pt idx="497">
                  <c:v>192.25620947100134</c:v>
                </c:pt>
                <c:pt idx="498">
                  <c:v>192.88618237128168</c:v>
                </c:pt>
                <c:pt idx="499">
                  <c:v>193.51572023215138</c:v>
                </c:pt>
                <c:pt idx="500">
                  <c:v>194.14482392324751</c:v>
                </c:pt>
                <c:pt idx="501">
                  <c:v>200.41204867404494</c:v>
                </c:pt>
                <c:pt idx="502">
                  <c:v>206.63641560599825</c:v>
                </c:pt>
                <c:pt idx="503">
                  <c:v>212.81877099395328</c:v>
                </c:pt>
                <c:pt idx="504">
                  <c:v>218.959937537184</c:v>
                </c:pt>
                <c:pt idx="505">
                  <c:v>225.06071525300908</c:v>
                </c:pt>
                <c:pt idx="506">
                  <c:v>231.12188232814771</c:v>
                </c:pt>
                <c:pt idx="507">
                  <c:v>237.14419593020742</c:v>
                </c:pt>
                <c:pt idx="508">
                  <c:v>243.12839298153852</c:v>
                </c:pt>
                <c:pt idx="509">
                  <c:v>249.07519089754504</c:v>
                </c:pt>
                <c:pt idx="510">
                  <c:v>254.98528829140653</c:v>
                </c:pt>
                <c:pt idx="511">
                  <c:v>260.85936564704076</c:v>
                </c:pt>
                <c:pt idx="512">
                  <c:v>266.69808596202108</c:v>
                </c:pt>
                <c:pt idx="513">
                  <c:v>272.50209536205506</c:v>
                </c:pt>
                <c:pt idx="514">
                  <c:v>278.27202368853045</c:v>
                </c:pt>
                <c:pt idx="515">
                  <c:v>284.00848506054314</c:v>
                </c:pt>
                <c:pt idx="516">
                  <c:v>289.71207841273377</c:v>
                </c:pt>
                <c:pt idx="517">
                  <c:v>295.38338801018074</c:v>
                </c:pt>
                <c:pt idx="518">
                  <c:v>301.02298394152155</c:v>
                </c:pt>
                <c:pt idx="519">
                  <c:v>306.63142259140579</c:v>
                </c:pt>
                <c:pt idx="520">
                  <c:v>312.209247093317</c:v>
                </c:pt>
                <c:pt idx="521">
                  <c:v>317.75698776374082</c:v>
                </c:pt>
                <c:pt idx="522">
                  <c:v>323.27516251859993</c:v>
                </c:pt>
                <c:pt idx="523">
                  <c:v>328.76427727282328</c:v>
                </c:pt>
                <c:pt idx="524">
                  <c:v>334.224826323868</c:v>
                </c:pt>
                <c:pt idx="525">
                  <c:v>339.65729271996628</c:v>
                </c:pt>
                <c:pt idx="526">
                  <c:v>345.06214861382529</c:v>
                </c:pt>
                <c:pt idx="527">
                  <c:v>350.43985560246932</c:v>
                </c:pt>
                <c:pt idx="528">
                  <c:v>355.79086505387374</c:v>
                </c:pt>
                <c:pt idx="529">
                  <c:v>361.11561842100605</c:v>
                </c:pt>
                <c:pt idx="530">
                  <c:v>366.41454754385518</c:v>
                </c:pt>
                <c:pt idx="531">
                  <c:v>371.68807493999958</c:v>
                </c:pt>
                <c:pt idx="532">
                  <c:v>376.93661408423424</c:v>
                </c:pt>
                <c:pt idx="533">
                  <c:v>382.16056967775046</c:v>
                </c:pt>
                <c:pt idx="534">
                  <c:v>387.36033790733541</c:v>
                </c:pt>
                <c:pt idx="535">
                  <c:v>392.53630669503383</c:v>
                </c:pt>
                <c:pt idx="536">
                  <c:v>397.68885593869283</c:v>
                </c:pt>
                <c:pt idx="537">
                  <c:v>402.81835774378692</c:v>
                </c:pt>
                <c:pt idx="538">
                  <c:v>407.9251766469024</c:v>
                </c:pt>
                <c:pt idx="539">
                  <c:v>413.00966983123897</c:v>
                </c:pt>
                <c:pt idx="540">
                  <c:v>418.07218733446996</c:v>
                </c:pt>
                <c:pt idx="541">
                  <c:v>423.11307224928476</c:v>
                </c:pt>
                <c:pt idx="542">
                  <c:v>428.13266091692122</c:v>
                </c:pt>
                <c:pt idx="543">
                  <c:v>433.13128311398049</c:v>
                </c:pt>
                <c:pt idx="544">
                  <c:v>438.10926223280245</c:v>
                </c:pt>
                <c:pt idx="545">
                  <c:v>443.06691545566667</c:v>
                </c:pt>
                <c:pt idx="546">
                  <c:v>448.00455392307089</c:v>
                </c:pt>
                <c:pt idx="547">
                  <c:v>452.92248289632647</c:v>
                </c:pt>
                <c:pt idx="548">
                  <c:v>457.82100191469976</c:v>
                </c:pt>
                <c:pt idx="549">
                  <c:v>462.70040494731683</c:v>
                </c:pt>
                <c:pt idx="550">
                  <c:v>467.5609805400386</c:v>
                </c:pt>
                <c:pt idx="551">
                  <c:v>472.40301195750499</c:v>
                </c:pt>
                <c:pt idx="552">
                  <c:v>477.22677732053558</c:v>
                </c:pt>
                <c:pt idx="553">
                  <c:v>482.03254973906724</c:v>
                </c:pt>
                <c:pt idx="554">
                  <c:v>486.82059744080016</c:v>
                </c:pt>
                <c:pt idx="555">
                  <c:v>491.59118389571614</c:v>
                </c:pt>
                <c:pt idx="556">
                  <c:v>496.34456793662497</c:v>
                </c:pt>
                <c:pt idx="557">
                  <c:v>501.08100387588894</c:v>
                </c:pt>
                <c:pt idx="558">
                  <c:v>505.80074161846738</c:v>
                </c:pt>
                <c:pt idx="559">
                  <c:v>510.50402677141784</c:v>
                </c:pt>
                <c:pt idx="560">
                  <c:v>515.19110074998378</c:v>
                </c:pt>
                <c:pt idx="561">
                  <c:v>519.86220088039329</c:v>
                </c:pt>
                <c:pt idx="562">
                  <c:v>524.51756049948801</c:v>
                </c:pt>
                <c:pt idx="563">
                  <c:v>529.15740905129564</c:v>
                </c:pt>
                <c:pt idx="564">
                  <c:v>533.78197218065463</c:v>
                </c:pt>
                <c:pt idx="565">
                  <c:v>538.39147182399597</c:v>
                </c:pt>
                <c:pt idx="566">
                  <c:v>542.98612629738022</c:v>
                </c:pt>
                <c:pt idx="567">
                  <c:v>547.56615038188647</c:v>
                </c:pt>
                <c:pt idx="568">
                  <c:v>552.13175540644374</c:v>
                </c:pt>
                <c:pt idx="569">
                  <c:v>556.68314932819158</c:v>
                </c:pt>
                <c:pt idx="570">
                  <c:v>561.22053681045406</c:v>
                </c:pt>
                <c:pt idx="571">
                  <c:v>565.74411929840721</c:v>
                </c:pt>
                <c:pt idx="572">
                  <c:v>570.25409509251563</c:v>
                </c:pt>
                <c:pt idx="573">
                  <c:v>574.75065941981279</c:v>
                </c:pt>
                <c:pt idx="574">
                  <c:v>579.23400450309396</c:v>
                </c:pt>
                <c:pt idx="575">
                  <c:v>583.70431962808948</c:v>
                </c:pt>
                <c:pt idx="576">
                  <c:v>588.16179120868344</c:v>
                </c:pt>
                <c:pt idx="577">
                  <c:v>592.60660285023789</c:v>
                </c:pt>
                <c:pt idx="578">
                  <c:v>597.03893541108323</c:v>
                </c:pt>
                <c:pt idx="579">
                  <c:v>601.4589670622297</c:v>
                </c:pt>
                <c:pt idx="580">
                  <c:v>605.8668733453552</c:v>
                </c:pt>
                <c:pt idx="581">
                  <c:v>610.26282722912083</c:v>
                </c:pt>
                <c:pt idx="582">
                  <c:v>614.64699916386314</c:v>
                </c:pt>
                <c:pt idx="583">
                  <c:v>619.01955713471136</c:v>
                </c:pt>
                <c:pt idx="584">
                  <c:v>623.38066671317438</c:v>
                </c:pt>
                <c:pt idx="585">
                  <c:v>627.7304911072406</c:v>
                </c:pt>
                <c:pt idx="586">
                  <c:v>632.0691912100325</c:v>
                </c:pt>
                <c:pt idx="587">
                  <c:v>636.39692564705535</c:v>
                </c:pt>
                <c:pt idx="588">
                  <c:v>640.71385082207735</c:v>
                </c:pt>
                <c:pt idx="589">
                  <c:v>645.02012096167789</c:v>
                </c:pt>
                <c:pt idx="590">
                  <c:v>649.31588815849761</c:v>
                </c:pt>
                <c:pt idx="591">
                  <c:v>653.60130241322327</c:v>
                </c:pt>
                <c:pt idx="592">
                  <c:v>657.87651167533852</c:v>
                </c:pt>
                <c:pt idx="593">
                  <c:v>662.14166188267029</c:v>
                </c:pt>
                <c:pt idx="594">
                  <c:v>666.39689699975781</c:v>
                </c:pt>
                <c:pt idx="595">
                  <c:v>670.6423590550728</c:v>
                </c:pt>
                <c:pt idx="596">
                  <c:v>674.878188177114</c:v>
                </c:pt>
                <c:pt idx="597">
                  <c:v>679.10452262940078</c:v>
                </c:pt>
                <c:pt idx="598">
                  <c:v>683.32149884438866</c:v>
                </c:pt>
                <c:pt idx="599">
                  <c:v>687.52925145632639</c:v>
                </c:pt>
                <c:pt idx="600">
                  <c:v>691.72791333307612</c:v>
                </c:pt>
                <c:pt idx="601">
                  <c:v>695.91761560691316</c:v>
                </c:pt>
                <c:pt idx="602">
                  <c:v>700.0984877043245</c:v>
                </c:pt>
                <c:pt idx="603">
                  <c:v>704.27065737482019</c:v>
                </c:pt>
                <c:pt idx="604">
                  <c:v>708.43425071877334</c:v>
                </c:pt>
                <c:pt idx="605">
                  <c:v>712.58939221430194</c:v>
                </c:pt>
                <c:pt idx="606">
                  <c:v>716.73620474320444</c:v>
                </c:pt>
                <c:pt idx="607">
                  <c:v>720.87480961595986</c:v>
                </c:pt>
                <c:pt idx="608">
                  <c:v>725.00532659580335</c:v>
                </c:pt>
                <c:pt idx="609">
                  <c:v>729.12787392188363</c:v>
                </c:pt>
                <c:pt idx="610">
                  <c:v>733.24256833151208</c:v>
                </c:pt>
                <c:pt idx="611">
                  <c:v>737.34952508150729</c:v>
                </c:pt>
                <c:pt idx="612">
                  <c:v>741.44885796864173</c:v>
                </c:pt>
                <c:pt idx="613">
                  <c:v>745.54067934919283</c:v>
                </c:pt>
                <c:pt idx="614">
                  <c:v>749.62510015760211</c:v>
                </c:pt>
                <c:pt idx="615">
                  <c:v>753.70222992424215</c:v>
                </c:pt>
                <c:pt idx="616">
                  <c:v>757.77217679229284</c:v>
                </c:pt>
                <c:pt idx="617">
                  <c:v>761.83504753372426</c:v>
                </c:pt>
                <c:pt idx="618">
                  <c:v>765.89094756438476</c:v>
                </c:pt>
                <c:pt idx="619">
                  <c:v>769.93998095818938</c:v>
                </c:pt>
                <c:pt idx="620">
                  <c:v>773.98225046040398</c:v>
                </c:pt>
                <c:pt idx="621">
                  <c:v>778.01785750001898</c:v>
                </c:pt>
                <c:pt idx="622">
                  <c:v>782.04690220120438</c:v>
                </c:pt>
                <c:pt idx="623">
                  <c:v>786.06948339383746</c:v>
                </c:pt>
                <c:pt idx="624">
                  <c:v>790.08569862309253</c:v>
                </c:pt>
                <c:pt idx="625">
                  <c:v>794.09564415808177</c:v>
                </c:pt>
                <c:pt idx="626">
                  <c:v>798.09941499953368</c:v>
                </c:pt>
                <c:pt idx="627">
                  <c:v>802.097104886495</c:v>
                </c:pt>
                <c:pt idx="628">
                  <c:v>806.08880630204158</c:v>
                </c:pt>
                <c:pt idx="629">
                  <c:v>810.07461047797983</c:v>
                </c:pt>
                <c:pt idx="630">
                  <c:v>814.05460739852299</c:v>
                </c:pt>
                <c:pt idx="631">
                  <c:v>818.02888580292165</c:v>
                </c:pt>
                <c:pt idx="632">
                  <c:v>821.9975331870296</c:v>
                </c:pt>
                <c:pt idx="633">
                  <c:v>825.96063580378279</c:v>
                </c:pt>
                <c:pt idx="634">
                  <c:v>829.91827866257074</c:v>
                </c:pt>
                <c:pt idx="635">
                  <c:v>833.87054552747713</c:v>
                </c:pt>
                <c:pt idx="636">
                  <c:v>837.81751891436534</c:v>
                </c:pt>
                <c:pt idx="637">
                  <c:v>841.75928008678682</c:v>
                </c:pt>
                <c:pt idx="638">
                  <c:v>845.69590905068696</c:v>
                </c:pt>
                <c:pt idx="639">
                  <c:v>849.62748454788459</c:v>
                </c:pt>
                <c:pt idx="640">
                  <c:v>853.55408404830109</c:v>
                </c:pt>
                <c:pt idx="641">
                  <c:v>857.47578374091643</c:v>
                </c:pt>
                <c:pt idx="642">
                  <c:v>861.39265852342839</c:v>
                </c:pt>
                <c:pt idx="643">
                  <c:v>865.30478199059564</c:v>
                </c:pt>
                <c:pt idx="644">
                  <c:v>869.21222642124349</c:v>
                </c:pt>
                <c:pt idx="645">
                  <c:v>873.11506276391663</c:v>
                </c:pt>
                <c:pt idx="646">
                  <c:v>877.01336062116468</c:v>
                </c:pt>
                <c:pt idx="647">
                  <c:v>880.90718823244958</c:v>
                </c:pt>
                <c:pt idx="648">
                  <c:v>884.79661245566911</c:v>
                </c:pt>
                <c:pt idx="649">
                  <c:v>888.68169874729551</c:v>
                </c:pt>
                <c:pt idx="650">
                  <c:v>892.56251114113491</c:v>
                </c:pt>
                <c:pt idx="651">
                  <c:v>896.43911222571819</c:v>
                </c:pt>
                <c:pt idx="652">
                  <c:v>900.31156312034477</c:v>
                </c:pt>
                <c:pt idx="653">
                  <c:v>904.17992344980757</c:v>
                </c:pt>
                <c:pt idx="654">
                  <c:v>908.04425131783933</c:v>
                </c:pt>
                <c:pt idx="655">
                  <c:v>911.90460327932954</c:v>
                </c:pt>
                <c:pt idx="656">
                  <c:v>915.76103431137722</c:v>
                </c:pt>
                <c:pt idx="657">
                  <c:v>919.61359778325425</c:v>
                </c:pt>
                <c:pt idx="658">
                  <c:v>923.46234542537297</c:v>
                </c:pt>
                <c:pt idx="659">
                  <c:v>927.30732729736451</c:v>
                </c:pt>
                <c:pt idx="660">
                  <c:v>931.14859175539277</c:v>
                </c:pt>
                <c:pt idx="661">
                  <c:v>934.98618541884673</c:v>
                </c:pt>
                <c:pt idx="662">
                  <c:v>938.82015313657098</c:v>
                </c:pt>
                <c:pt idx="663">
                  <c:v>942.65053795281415</c:v>
                </c:pt>
                <c:pt idx="664">
                  <c:v>946.47738107309294</c:v>
                </c:pt>
                <c:pt idx="665">
                  <c:v>950.30072183018797</c:v>
                </c:pt>
                <c:pt idx="666">
                  <c:v>954.12059765050526</c:v>
                </c:pt>
                <c:pt idx="667">
                  <c:v>957.93704402105368</c:v>
                </c:pt>
                <c:pt idx="668">
                  <c:v>961.7500944573037</c:v>
                </c:pt>
                <c:pt idx="669">
                  <c:v>965.55978047220367</c:v>
                </c:pt>
                <c:pt idx="670">
                  <c:v>969.36613154664178</c:v>
                </c:pt>
                <c:pt idx="671">
                  <c:v>973.1691751016466</c:v>
                </c:pt>
                <c:pt idx="672">
                  <c:v>976.96893647262129</c:v>
                </c:pt>
                <c:pt idx="673">
                  <c:v>980.76543888590629</c:v>
                </c:pt>
                <c:pt idx="674">
                  <c:v>984.55870343795686</c:v>
                </c:pt>
                <c:pt idx="675">
                  <c:v>988.34874907741244</c:v>
                </c:pt>
                <c:pt idx="676">
                  <c:v>992.13559259031592</c:v>
                </c:pt>
                <c:pt idx="677">
                  <c:v>995.91924858872176</c:v>
                </c:pt>
                <c:pt idx="678">
                  <c:v>999.69972950290389</c:v>
                </c:pt>
                <c:pt idx="679">
                  <c:v>1003.4770455773444</c:v>
                </c:pt>
                <c:pt idx="680">
                  <c:v>1007.2512048706483</c:v>
                </c:pt>
                <c:pt idx="681">
                  <c:v>1011.0222132594926</c:v>
                </c:pt>
                <c:pt idx="682">
                  <c:v>1014.7900744466757</c:v>
                </c:pt>
                <c:pt idx="683">
                  <c:v>1018.5547899732929</c:v>
                </c:pt>
                <c:pt idx="684">
                  <c:v>1022.3163592350186</c:v>
                </c:pt>
                <c:pt idx="685">
                  <c:v>1026.0747795024354</c:v>
                </c:pt>
                <c:pt idx="686">
                  <c:v>1029.8300459453078</c:v>
                </c:pt>
                <c:pt idx="687">
                  <c:v>1033.5821516606597</c:v>
                </c:pt>
                <c:pt idx="688">
                  <c:v>1037.3310877044792</c:v>
                </c:pt>
                <c:pt idx="689">
                  <c:v>1041.0768431268425</c:v>
                </c:pt>
                <c:pt idx="690">
                  <c:v>1044.8194050102229</c:v>
                </c:pt>
                <c:pt idx="691">
                  <c:v>1048.558758510723</c:v>
                </c:pt>
                <c:pt idx="692">
                  <c:v>1052.294886901959</c:v>
                </c:pt>
                <c:pt idx="693">
                  <c:v>1056.0277716213059</c:v>
                </c:pt>
                <c:pt idx="694">
                  <c:v>1059.7573923182101</c:v>
                </c:pt>
                <c:pt idx="695">
                  <c:v>1063.4837269042725</c:v>
                </c:pt>
                <c:pt idx="696">
                  <c:v>1067.2067516048032</c:v>
                </c:pt>
                <c:pt idx="697">
                  <c:v>1070.9264410115629</c:v>
                </c:pt>
                <c:pt idx="698">
                  <c:v>1074.6427681364078</c:v>
                </c:pt>
                <c:pt idx="699">
                  <c:v>1078.3557044655718</c:v>
                </c:pt>
                <c:pt idx="700">
                  <c:v>1082.0652200143343</c:v>
                </c:pt>
                <c:pt idx="701">
                  <c:v>1085.7712833818368</c:v>
                </c:pt>
                <c:pt idx="702">
                  <c:v>1089.4738618058327</c:v>
                </c:pt>
                <c:pt idx="703">
                  <c:v>1093.1729212171692</c:v>
                </c:pt>
                <c:pt idx="704">
                  <c:v>1096.8684262938268</c:v>
                </c:pt>
                <c:pt idx="705">
                  <c:v>1100.5603405143531</c:v>
                </c:pt>
                <c:pt idx="706">
                  <c:v>1104.2486262105524</c:v>
                </c:pt>
                <c:pt idx="707">
                  <c:v>1107.9332446193096</c:v>
                </c:pt>
                <c:pt idx="708">
                  <c:v>1111.6141559334435</c:v>
                </c:pt>
                <c:pt idx="709">
                  <c:v>1115.2913193515026</c:v>
                </c:pt>
                <c:pt idx="710">
                  <c:v>1118.9646931264315</c:v>
                </c:pt>
                <c:pt idx="711">
                  <c:v>1122.6342346130505</c:v>
                </c:pt>
                <c:pt idx="712">
                  <c:v>1126.2999003143043</c:v>
                </c:pt>
                <c:pt idx="713">
                  <c:v>1129.9616459262481</c:v>
                </c:pt>
                <c:pt idx="714">
                  <c:v>1133.6194263817472</c:v>
                </c:pt>
                <c:pt idx="715">
                  <c:v>1137.2731958928814</c:v>
                </c:pt>
                <c:pt idx="716">
                  <c:v>1140.9229079920487</c:v>
                </c:pt>
                <c:pt idx="717">
                  <c:v>1144.5685155717715</c:v>
                </c:pt>
                <c:pt idx="718">
                  <c:v>1148.2099709232168</c:v>
                </c:pt>
                <c:pt idx="719">
                  <c:v>1151.8472257734452</c:v>
                </c:pt>
                <c:pt idx="720">
                  <c:v>1155.4802313214084</c:v>
                </c:pt>
                <c:pt idx="721">
                  <c:v>1159.1089382727196</c:v>
                </c:pt>
                <c:pt idx="722">
                  <c:v>1162.7332968732237</c:v>
                </c:pt>
                <c:pt idx="723">
                  <c:v>1166.353256941396</c:v>
                </c:pt>
                <c:pt idx="724">
                  <c:v>1169.9687678996015</c:v>
                </c:pt>
                <c:pt idx="725">
                  <c:v>1173.579778804248</c:v>
                </c:pt>
                <c:pt idx="726">
                  <c:v>1177.1862383748653</c:v>
                </c:pt>
                <c:pt idx="727">
                  <c:v>1180.7880950221465</c:v>
                </c:pt>
                <c:pt idx="728">
                  <c:v>1184.3852968749861</c:v>
                </c:pt>
                <c:pt idx="729">
                  <c:v>1187.9777918065479</c:v>
                </c:pt>
                <c:pt idx="730">
                  <c:v>1191.5655274594005</c:v>
                </c:pt>
                <c:pt idx="731">
                  <c:v>1195.1484512697521</c:v>
                </c:pt>
                <c:pt idx="732">
                  <c:v>1198.7265104908197</c:v>
                </c:pt>
                <c:pt idx="733">
                  <c:v>1202.2996522153658</c:v>
                </c:pt>
                <c:pt idx="734">
                  <c:v>1205.8678233974342</c:v>
                </c:pt>
                <c:pt idx="735">
                  <c:v>1209.4309708733181</c:v>
                </c:pt>
                <c:pt idx="736">
                  <c:v>1212.9890413817886</c:v>
                </c:pt>
                <c:pt idx="737">
                  <c:v>1216.5419815836162</c:v>
                </c:pt>
                <c:pt idx="738">
                  <c:v>1220.0897380804113</c:v>
                </c:pt>
                <c:pt idx="739">
                  <c:v>1223.6322574328128</c:v>
                </c:pt>
                <c:pt idx="740">
                  <c:v>1227.169486178052</c:v>
                </c:pt>
                <c:pt idx="741">
                  <c:v>1230.7013708469153</c:v>
                </c:pt>
                <c:pt idx="742">
                  <c:v>1234.2278579801323</c:v>
                </c:pt>
                <c:pt idx="743">
                  <c:v>1237.7488941442109</c:v>
                </c:pt>
                <c:pt idx="744">
                  <c:v>1241.2644259467443</c:v>
                </c:pt>
                <c:pt idx="745">
                  <c:v>1244.7744000512096</c:v>
                </c:pt>
                <c:pt idx="746">
                  <c:v>1248.2787631912793</c:v>
                </c:pt>
                <c:pt idx="747">
                  <c:v>1251.7774621846645</c:v>
                </c:pt>
                <c:pt idx="748">
                  <c:v>1255.2704439465106</c:v>
                </c:pt>
                <c:pt idx="749">
                  <c:v>1258.7576555023609</c:v>
                </c:pt>
                <c:pt idx="750">
                  <c:v>1262.2390440007077</c:v>
                </c:pt>
                <c:pt idx="751">
                  <c:v>1265.7145567251448</c:v>
                </c:pt>
                <c:pt idx="752">
                  <c:v>1269.1841411061382</c:v>
                </c:pt>
                <c:pt idx="753">
                  <c:v>1272.6477447324301</c:v>
                </c:pt>
                <c:pt idx="754">
                  <c:v>1276.1053153620883</c:v>
                </c:pt>
                <c:pt idx="755">
                  <c:v>1279.5568009332178</c:v>
                </c:pt>
                <c:pt idx="756">
                  <c:v>1283.0021495743433</c:v>
                </c:pt>
                <c:pt idx="757">
                  <c:v>1286.4413096144774</c:v>
                </c:pt>
                <c:pt idx="758">
                  <c:v>1289.8742295928851</c:v>
                </c:pt>
                <c:pt idx="759">
                  <c:v>1293.3008582685557</c:v>
                </c:pt>
                <c:pt idx="760">
                  <c:v>1296.7211446293923</c:v>
                </c:pt>
                <c:pt idx="761">
                  <c:v>1300.1350379011285</c:v>
                </c:pt>
                <c:pt idx="762">
                  <c:v>1303.5424875559831</c:v>
                </c:pt>
                <c:pt idx="763">
                  <c:v>1306.9434433210592</c:v>
                </c:pt>
                <c:pt idx="764">
                  <c:v>1310.3378551864992</c:v>
                </c:pt>
                <c:pt idx="765">
                  <c:v>1313.725673413401</c:v>
                </c:pt>
                <c:pt idx="766">
                  <c:v>1317.1068485415049</c:v>
                </c:pt>
                <c:pt idx="767">
                  <c:v>1320.4813313966583</c:v>
                </c:pt>
                <c:pt idx="768">
                  <c:v>1323.8490730980636</c:v>
                </c:pt>
                <c:pt idx="769">
                  <c:v>1327.2100250653182</c:v>
                </c:pt>
                <c:pt idx="770">
                  <c:v>1330.5641390252511</c:v>
                </c:pt>
                <c:pt idx="771">
                  <c:v>1333.9113670185629</c:v>
                </c:pt>
                <c:pt idx="772">
                  <c:v>1337.2516614062749</c:v>
                </c:pt>
                <c:pt idx="773">
                  <c:v>1340.584974875992</c:v>
                </c:pt>
                <c:pt idx="774">
                  <c:v>1343.9112604479851</c:v>
                </c:pt>
                <c:pt idx="775">
                  <c:v>1347.2304714810991</c:v>
                </c:pt>
                <c:pt idx="776">
                  <c:v>1350.542561678488</c:v>
                </c:pt>
                <c:pt idx="777">
                  <c:v>1353.8474850931852</c:v>
                </c:pt>
                <c:pt idx="778">
                  <c:v>1357.1451961335104</c:v>
                </c:pt>
                <c:pt idx="779">
                  <c:v>1360.4356495683189</c:v>
                </c:pt>
                <c:pt idx="780">
                  <c:v>1363.7188005320972</c:v>
                </c:pt>
                <c:pt idx="781">
                  <c:v>1366.9946045299064</c:v>
                </c:pt>
                <c:pt idx="782">
                  <c:v>1370.2630174421795</c:v>
                </c:pt>
                <c:pt idx="783">
                  <c:v>1373.5239955293755</c:v>
                </c:pt>
                <c:pt idx="784">
                  <c:v>1376.7774954364916</c:v>
                </c:pt>
                <c:pt idx="785">
                  <c:v>1380.0234741974393</c:v>
                </c:pt>
                <c:pt idx="786">
                  <c:v>1383.2618892392852</c:v>
                </c:pt>
                <c:pt idx="787">
                  <c:v>1386.4926983863602</c:v>
                </c:pt>
                <c:pt idx="788">
                  <c:v>1389.7158598642397</c:v>
                </c:pt>
                <c:pt idx="789">
                  <c:v>1392.9313323035983</c:v>
                </c:pt>
                <c:pt idx="790">
                  <c:v>1396.1390747439384</c:v>
                </c:pt>
                <c:pt idx="791">
                  <c:v>1399.3390466371995</c:v>
                </c:pt>
                <c:pt idx="792">
                  <c:v>1402.5312078512477</c:v>
                </c:pt>
                <c:pt idx="793">
                  <c:v>1405.7155186732464</c:v>
                </c:pt>
                <c:pt idx="794">
                  <c:v>1408.8919398129142</c:v>
                </c:pt>
                <c:pt idx="795">
                  <c:v>1412.0604324056685</c:v>
                </c:pt>
                <c:pt idx="796">
                  <c:v>1415.2209580156584</c:v>
                </c:pt>
                <c:pt idx="797">
                  <c:v>1418.3734786386885</c:v>
                </c:pt>
                <c:pt idx="798">
                  <c:v>1421.5179567050352</c:v>
                </c:pt>
                <c:pt idx="799">
                  <c:v>1424.6543550821566</c:v>
                </c:pt>
                <c:pt idx="800">
                  <c:v>1427.7826370773003</c:v>
                </c:pt>
                <c:pt idx="801">
                  <c:v>1430.9027664400064</c:v>
                </c:pt>
                <c:pt idx="802">
                  <c:v>1434.0147073645121</c:v>
                </c:pt>
                <c:pt idx="803">
                  <c:v>1437.1184244920551</c:v>
                </c:pt>
                <c:pt idx="804">
                  <c:v>1440.2138829130799</c:v>
                </c:pt>
                <c:pt idx="805">
                  <c:v>1443.301048169348</c:v>
                </c:pt>
                <c:pt idx="806">
                  <c:v>1446.379886255952</c:v>
                </c:pt>
                <c:pt idx="807">
                  <c:v>1449.4503636232375</c:v>
                </c:pt>
                <c:pt idx="808">
                  <c:v>1452.5124471786316</c:v>
                </c:pt>
                <c:pt idx="809">
                  <c:v>1455.5661042883796</c:v>
                </c:pt>
                <c:pt idx="810">
                  <c:v>1458.6113027791932</c:v>
                </c:pt>
                <c:pt idx="811">
                  <c:v>1461.6480109398094</c:v>
                </c:pt>
                <c:pt idx="812">
                  <c:v>1464.6761975224608</c:v>
                </c:pt>
                <c:pt idx="813">
                  <c:v>1467.6958317442611</c:v>
                </c:pt>
                <c:pt idx="814">
                  <c:v>1470.7068832885041</c:v>
                </c:pt>
                <c:pt idx="815">
                  <c:v>1473.7093223058787</c:v>
                </c:pt>
                <c:pt idx="816">
                  <c:v>1476.7031194156011</c:v>
                </c:pt>
                <c:pt idx="817">
                  <c:v>1479.6882457064639</c:v>
                </c:pt>
                <c:pt idx="818">
                  <c:v>1482.6646727378049</c:v>
                </c:pt>
                <c:pt idx="819">
                  <c:v>1485.6323725403956</c:v>
                </c:pt>
                <c:pt idx="820">
                  <c:v>1488.5913176172498</c:v>
                </c:pt>
                <c:pt idx="821">
                  <c:v>1491.5414809443548</c:v>
                </c:pt>
                <c:pt idx="822">
                  <c:v>1494.4828359713251</c:v>
                </c:pt>
                <c:pt idx="823">
                  <c:v>1497.4153566219793</c:v>
                </c:pt>
                <c:pt idx="824">
                  <c:v>1500.3390172948421</c:v>
                </c:pt>
                <c:pt idx="825">
                  <c:v>1503.2537928635716</c:v>
                </c:pt>
                <c:pt idx="826">
                  <c:v>1506.1596586773128</c:v>
                </c:pt>
                <c:pt idx="827">
                  <c:v>1509.0565905609785</c:v>
                </c:pt>
                <c:pt idx="828">
                  <c:v>1511.9445648154581</c:v>
                </c:pt>
                <c:pt idx="829">
                  <c:v>1514.8235582177551</c:v>
                </c:pt>
                <c:pt idx="830">
                  <c:v>1517.6935480210559</c:v>
                </c:pt>
                <c:pt idx="831">
                  <c:v>1520.5545119547269</c:v>
                </c:pt>
                <c:pt idx="832">
                  <c:v>1523.406428224245</c:v>
                </c:pt>
                <c:pt idx="833">
                  <c:v>1526.2492755110595</c:v>
                </c:pt>
                <c:pt idx="834">
                  <c:v>1529.0830329723874</c:v>
                </c:pt>
                <c:pt idx="835">
                  <c:v>1531.9076802409425</c:v>
                </c:pt>
                <c:pt idx="836">
                  <c:v>1534.7231974245994</c:v>
                </c:pt>
                <c:pt idx="837">
                  <c:v>1537.529565105993</c:v>
                </c:pt>
                <c:pt idx="838">
                  <c:v>1540.3267643420543</c:v>
                </c:pt>
                <c:pt idx="839">
                  <c:v>1543.1147766634831</c:v>
                </c:pt>
                <c:pt idx="840">
                  <c:v>1545.8935840741592</c:v>
                </c:pt>
                <c:pt idx="841">
                  <c:v>1548.6631690504921</c:v>
                </c:pt>
                <c:pt idx="842">
                  <c:v>1551.4235145407094</c:v>
                </c:pt>
                <c:pt idx="843">
                  <c:v>1554.1746039640871</c:v>
                </c:pt>
                <c:pt idx="844">
                  <c:v>1556.9164212101189</c:v>
                </c:pt>
                <c:pt idx="845">
                  <c:v>1559.6489506376297</c:v>
                </c:pt>
                <c:pt idx="846">
                  <c:v>1562.3721770738293</c:v>
                </c:pt>
                <c:pt idx="847">
                  <c:v>1565.0860858133115</c:v>
                </c:pt>
                <c:pt idx="848">
                  <c:v>1567.790662616995</c:v>
                </c:pt>
                <c:pt idx="849">
                  <c:v>1570.4858937110123</c:v>
                </c:pt>
                <c:pt idx="850">
                  <c:v>1573.1717657855411</c:v>
                </c:pt>
                <c:pt idx="851">
                  <c:v>1575.8482659935842</c:v>
                </c:pt>
                <c:pt idx="852">
                  <c:v>1578.5153819496957</c:v>
                </c:pt>
                <c:pt idx="853">
                  <c:v>1581.1731017286554</c:v>
                </c:pt>
                <c:pt idx="854">
                  <c:v>1583.8214138640917</c:v>
                </c:pt>
                <c:pt idx="855">
                  <c:v>1586.4603073470539</c:v>
                </c:pt>
                <c:pt idx="856">
                  <c:v>1589.0897716245352</c:v>
                </c:pt>
                <c:pt idx="857">
                  <c:v>1591.7097965979453</c:v>
                </c:pt>
                <c:pt idx="858">
                  <c:v>1594.3203726215372</c:v>
                </c:pt>
                <c:pt idx="859">
                  <c:v>1596.9214905007832</c:v>
                </c:pt>
                <c:pt idx="860">
                  <c:v>1599.5131414907066</c:v>
                </c:pt>
                <c:pt idx="861">
                  <c:v>1602.095317294167</c:v>
                </c:pt>
                <c:pt idx="862">
                  <c:v>1604.6680100600986</c:v>
                </c:pt>
                <c:pt idx="863">
                  <c:v>1607.2312123817062</c:v>
                </c:pt>
                <c:pt idx="864">
                  <c:v>1609.7849172946158</c:v>
                </c:pt>
                <c:pt idx="865">
                  <c:v>1612.3291182749826</c:v>
                </c:pt>
                <c:pt idx="866">
                  <c:v>1614.8638092375572</c:v>
                </c:pt>
                <c:pt idx="867">
                  <c:v>1617.3889845337094</c:v>
                </c:pt>
                <c:pt idx="868">
                  <c:v>1619.9046389494113</c:v>
                </c:pt>
                <c:pt idx="869">
                  <c:v>1622.4107677031814</c:v>
                </c:pt>
                <c:pt idx="870">
                  <c:v>1624.9073664439873</c:v>
                </c:pt>
                <c:pt idx="871">
                  <c:v>1627.3944312491121</c:v>
                </c:pt>
                <c:pt idx="872">
                  <c:v>1629.8719586219809</c:v>
                </c:pt>
                <c:pt idx="873">
                  <c:v>1632.3399454899516</c:v>
                </c:pt>
                <c:pt idx="874">
                  <c:v>1634.7983892020686</c:v>
                </c:pt>
                <c:pt idx="875">
                  <c:v>1637.2472875267811</c:v>
                </c:pt>
                <c:pt idx="876">
                  <c:v>1639.686638649626</c:v>
                </c:pt>
                <c:pt idx="877">
                  <c:v>1642.1164411708774</c:v>
                </c:pt>
                <c:pt idx="878">
                  <c:v>1644.5366941031618</c:v>
                </c:pt>
                <c:pt idx="879">
                  <c:v>1646.9473968690418</c:v>
                </c:pt>
                <c:pt idx="880">
                  <c:v>1649.3485492985658</c:v>
                </c:pt>
                <c:pt idx="881">
                  <c:v>1651.7401516267882</c:v>
                </c:pt>
                <c:pt idx="882">
                  <c:v>1654.1222044912588</c:v>
                </c:pt>
                <c:pt idx="883">
                  <c:v>1656.494708929481</c:v>
                </c:pt>
                <c:pt idx="884">
                  <c:v>1658.8576663763429</c:v>
                </c:pt>
                <c:pt idx="885">
                  <c:v>1661.2110786615181</c:v>
                </c:pt>
                <c:pt idx="886">
                  <c:v>1663.55494800684</c:v>
                </c:pt>
                <c:pt idx="887">
                  <c:v>1665.8892770236494</c:v>
                </c:pt>
                <c:pt idx="888">
                  <c:v>1668.2140687101141</c:v>
                </c:pt>
                <c:pt idx="889">
                  <c:v>1670.5293264485251</c:v>
                </c:pt>
                <c:pt idx="890">
                  <c:v>1672.8350540025665</c:v>
                </c:pt>
                <c:pt idx="891">
                  <c:v>1675.1312555145614</c:v>
                </c:pt>
                <c:pt idx="892">
                  <c:v>1677.4179355026952</c:v>
                </c:pt>
                <c:pt idx="893">
                  <c:v>1679.6950988582155</c:v>
                </c:pt>
                <c:pt idx="894">
                  <c:v>1681.9627508426099</c:v>
                </c:pt>
                <c:pt idx="895">
                  <c:v>1684.2208970847626</c:v>
                </c:pt>
                <c:pt idx="896">
                  <c:v>1686.4695435780902</c:v>
                </c:pt>
                <c:pt idx="897">
                  <c:v>1688.7086966776578</c:v>
                </c:pt>
                <c:pt idx="898">
                  <c:v>1690.9383630972757</c:v>
                </c:pt>
                <c:pt idx="899">
                  <c:v>1693.1585499065766</c:v>
                </c:pt>
                <c:pt idx="900">
                  <c:v>1695.3692645280767</c:v>
                </c:pt>
                <c:pt idx="901">
                  <c:v>1697.5705147342176</c:v>
                </c:pt>
                <c:pt idx="902">
                  <c:v>1699.7623086443928</c:v>
                </c:pt>
                <c:pt idx="903">
                  <c:v>1701.9446547219572</c:v>
                </c:pt>
                <c:pt idx="904">
                  <c:v>1704.1175617712224</c:v>
                </c:pt>
                <c:pt idx="905">
                  <c:v>1706.2810389344365</c:v>
                </c:pt>
                <c:pt idx="906">
                  <c:v>1708.4350956887506</c:v>
                </c:pt>
                <c:pt idx="907">
                  <c:v>1710.5797418431707</c:v>
                </c:pt>
                <c:pt idx="908">
                  <c:v>1712.7149875354985</c:v>
                </c:pt>
                <c:pt idx="909">
                  <c:v>1714.8408432292588</c:v>
                </c:pt>
                <c:pt idx="910">
                  <c:v>1716.957319710616</c:v>
                </c:pt>
                <c:pt idx="911">
                  <c:v>1719.06442808528</c:v>
                </c:pt>
                <c:pt idx="912">
                  <c:v>1721.162179775401</c:v>
                </c:pt>
                <c:pt idx="913">
                  <c:v>1723.2505865164551</c:v>
                </c:pt>
                <c:pt idx="914">
                  <c:v>1725.3296603541219</c:v>
                </c:pt>
                <c:pt idx="915">
                  <c:v>1727.3994136411518</c:v>
                </c:pt>
                <c:pt idx="916">
                  <c:v>1729.4598590342273</c:v>
                </c:pt>
                <c:pt idx="917">
                  <c:v>1731.5110094908159</c:v>
                </c:pt>
                <c:pt idx="918">
                  <c:v>1733.5528782660169</c:v>
                </c:pt>
                <c:pt idx="919">
                  <c:v>1735.5854789094021</c:v>
                </c:pt>
                <c:pt idx="920">
                  <c:v>1737.6088252618508</c:v>
                </c:pt>
                <c:pt idx="921">
                  <c:v>1739.6229314523803</c:v>
                </c:pt>
                <c:pt idx="922">
                  <c:v>1741.6278118949717</c:v>
                </c:pt>
                <c:pt idx="923">
                  <c:v>1743.6234812853929</c:v>
                </c:pt>
                <c:pt idx="924">
                  <c:v>1745.6099545980164</c:v>
                </c:pt>
                <c:pt idx="925">
                  <c:v>1747.5872470826366</c:v>
                </c:pt>
                <c:pt idx="926">
                  <c:v>1749.5553742612838</c:v>
                </c:pt>
                <c:pt idx="927">
                  <c:v>1751.5143519250366</c:v>
                </c:pt>
                <c:pt idx="928">
                  <c:v>1753.4641961308341</c:v>
                </c:pt>
                <c:pt idx="929">
                  <c:v>1755.4049231982865</c:v>
                </c:pt>
                <c:pt idx="930">
                  <c:v>1757.3365497064863</c:v>
                </c:pt>
                <c:pt idx="931">
                  <c:v>1759.2590924908202</c:v>
                </c:pt>
                <c:pt idx="932">
                  <c:v>1761.172568639781</c:v>
                </c:pt>
                <c:pt idx="933">
                  <c:v>1763.0769954917826</c:v>
                </c:pt>
                <c:pt idx="934">
                  <c:v>1764.9723906319753</c:v>
                </c:pt>
                <c:pt idx="935">
                  <c:v>1766.8587718890649</c:v>
                </c:pt>
                <c:pt idx="936">
                  <c:v>1768.7361573321339</c:v>
                </c:pt>
                <c:pt idx="937">
                  <c:v>1770.6045652674668</c:v>
                </c:pt>
                <c:pt idx="938">
                  <c:v>1772.464014235379</c:v>
                </c:pt>
                <c:pt idx="939">
                  <c:v>1774.3145230070493</c:v>
                </c:pt>
                <c:pt idx="940">
                  <c:v>1776.1561105813587</c:v>
                </c:pt>
                <c:pt idx="941">
                  <c:v>1777.9887961817333</c:v>
                </c:pt>
                <c:pt idx="942">
                  <c:v>1779.8125992529938</c:v>
                </c:pt>
                <c:pt idx="943">
                  <c:v>1781.6275394582099</c:v>
                </c:pt>
                <c:pt idx="944">
                  <c:v>1781.6275394582099</c:v>
                </c:pt>
                <c:pt idx="945">
                  <c:v>1781.6275394582099</c:v>
                </c:pt>
                <c:pt idx="946">
                  <c:v>1781.6275394582099</c:v>
                </c:pt>
                <c:pt idx="947">
                  <c:v>1781.6275394582099</c:v>
                </c:pt>
                <c:pt idx="948">
                  <c:v>1781.6275394582099</c:v>
                </c:pt>
                <c:pt idx="949">
                  <c:v>1781.6275394582099</c:v>
                </c:pt>
                <c:pt idx="950">
                  <c:v>1781.6275394582099</c:v>
                </c:pt>
                <c:pt idx="951">
                  <c:v>1781.6275394582099</c:v>
                </c:pt>
                <c:pt idx="952">
                  <c:v>1781.6275394582099</c:v>
                </c:pt>
                <c:pt idx="953">
                  <c:v>1781.6275394582099</c:v>
                </c:pt>
                <c:pt idx="954">
                  <c:v>1781.6275394582099</c:v>
                </c:pt>
                <c:pt idx="955">
                  <c:v>1781.6275394582099</c:v>
                </c:pt>
                <c:pt idx="956">
                  <c:v>1781.6275394582099</c:v>
                </c:pt>
                <c:pt idx="957">
                  <c:v>1781.6275394582099</c:v>
                </c:pt>
                <c:pt idx="958">
                  <c:v>1781.6275394582099</c:v>
                </c:pt>
                <c:pt idx="959">
                  <c:v>1781.6275394582099</c:v>
                </c:pt>
                <c:pt idx="960">
                  <c:v>1781.6275394582099</c:v>
                </c:pt>
                <c:pt idx="961">
                  <c:v>1781.6275394582099</c:v>
                </c:pt>
                <c:pt idx="962">
                  <c:v>1781.6275394582099</c:v>
                </c:pt>
                <c:pt idx="963">
                  <c:v>1781.6275394582099</c:v>
                </c:pt>
                <c:pt idx="964">
                  <c:v>1781.6275394582099</c:v>
                </c:pt>
                <c:pt idx="965">
                  <c:v>1781.6275394582099</c:v>
                </c:pt>
                <c:pt idx="966">
                  <c:v>1781.6275394582099</c:v>
                </c:pt>
                <c:pt idx="967">
                  <c:v>1781.6275394582099</c:v>
                </c:pt>
                <c:pt idx="968">
                  <c:v>1781.6275394582099</c:v>
                </c:pt>
                <c:pt idx="969">
                  <c:v>1781.6275394582099</c:v>
                </c:pt>
                <c:pt idx="970">
                  <c:v>1781.6275394582099</c:v>
                </c:pt>
                <c:pt idx="971">
                  <c:v>1781.6275394582099</c:v>
                </c:pt>
                <c:pt idx="972">
                  <c:v>1781.6275394582099</c:v>
                </c:pt>
                <c:pt idx="973">
                  <c:v>1781.6275394582099</c:v>
                </c:pt>
                <c:pt idx="974">
                  <c:v>1781.6275394582099</c:v>
                </c:pt>
                <c:pt idx="975">
                  <c:v>1781.6275394582099</c:v>
                </c:pt>
                <c:pt idx="976">
                  <c:v>1781.6275394582099</c:v>
                </c:pt>
                <c:pt idx="977">
                  <c:v>1781.6275394582099</c:v>
                </c:pt>
                <c:pt idx="978">
                  <c:v>1781.6275394582099</c:v>
                </c:pt>
                <c:pt idx="979">
                  <c:v>1781.6275394582099</c:v>
                </c:pt>
                <c:pt idx="980">
                  <c:v>1781.6275394582099</c:v>
                </c:pt>
                <c:pt idx="981">
                  <c:v>1781.6275394582099</c:v>
                </c:pt>
                <c:pt idx="982">
                  <c:v>1781.6275394582099</c:v>
                </c:pt>
                <c:pt idx="983">
                  <c:v>1781.6275394582099</c:v>
                </c:pt>
                <c:pt idx="984">
                  <c:v>1781.6275394582099</c:v>
                </c:pt>
                <c:pt idx="985">
                  <c:v>1781.6275394582099</c:v>
                </c:pt>
                <c:pt idx="986">
                  <c:v>1781.6275394582099</c:v>
                </c:pt>
                <c:pt idx="987">
                  <c:v>1781.6275394582099</c:v>
                </c:pt>
                <c:pt idx="988">
                  <c:v>1781.6275394582099</c:v>
                </c:pt>
                <c:pt idx="989">
                  <c:v>1781.6275394582099</c:v>
                </c:pt>
                <c:pt idx="990">
                  <c:v>1781.6275394582099</c:v>
                </c:pt>
                <c:pt idx="991">
                  <c:v>1781.6275394582099</c:v>
                </c:pt>
                <c:pt idx="992">
                  <c:v>1781.6275394582099</c:v>
                </c:pt>
                <c:pt idx="993">
                  <c:v>1781.6275394582099</c:v>
                </c:pt>
                <c:pt idx="994">
                  <c:v>1781.6275394582099</c:v>
                </c:pt>
                <c:pt idx="995">
                  <c:v>1781.6275394582099</c:v>
                </c:pt>
                <c:pt idx="996">
                  <c:v>1781.6275394582099</c:v>
                </c:pt>
                <c:pt idx="997">
                  <c:v>1781.6275394582099</c:v>
                </c:pt>
                <c:pt idx="998">
                  <c:v>1781.6275394582099</c:v>
                </c:pt>
                <c:pt idx="999">
                  <c:v>1781.6275394582099</c:v>
                </c:pt>
                <c:pt idx="1000">
                  <c:v>1781.6275394582099</c:v>
                </c:pt>
              </c:numCache>
            </c:numRef>
          </c:xVal>
          <c:yVal>
            <c:numRef>
              <c:f>Calculs!$K$4:$K$1004</c:f>
              <c:numCache>
                <c:formatCode>0.00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2682.0954118470786</c:v>
                </c:pt>
                <c:pt idx="661">
                  <c:v>2683.9540607711888</c:v>
                </c:pt>
                <c:pt idx="662">
                  <c:v>2685.712853294111</c:v>
                </c:pt>
                <c:pt idx="663">
                  <c:v>2687.3719019504256</c:v>
                </c:pt>
                <c:pt idx="664">
                  <c:v>2688.9313163605293</c:v>
                </c:pt>
                <c:pt idx="665">
                  <c:v>2690.3912033542838</c:v>
                </c:pt>
                <c:pt idx="666">
                  <c:v>2691.7516670986306</c:v>
                </c:pt>
                <c:pt idx="667">
                  <c:v>2693.0128092292161</c:v>
                </c:pt>
                <c:pt idx="668">
                  <c:v>2694.1747289860391</c:v>
                </c:pt>
                <c:pt idx="669">
                  <c:v>2695.2375233530906</c:v>
                </c:pt>
                <c:pt idx="670">
                  <c:v>2696.2012872019259</c:v>
                </c:pt>
                <c:pt idx="671">
                  <c:v>2697.0661134390543</c:v>
                </c:pt>
                <c:pt idx="672">
                  <c:v>2697.8320931569942</c:v>
                </c:pt>
                <c:pt idx="673">
                  <c:v>2698.499315788792</c:v>
                </c:pt>
                <c:pt idx="674">
                  <c:v>2699.0678692657575</c:v>
                </c:pt>
                <c:pt idx="675">
                  <c:v>2699.537840178119</c:v>
                </c:pt>
                <c:pt idx="676">
                  <c:v>2699.9093139382608</c:v>
                </c:pt>
                <c:pt idx="677">
                  <c:v>2700.1823749461578</c:v>
                </c:pt>
                <c:pt idx="678">
                  <c:v>2700.3571067565831</c:v>
                </c:pt>
                <c:pt idx="679">
                  <c:v>2700.4335922476339</c:v>
                </c:pt>
                <c:pt idx="680">
                  <c:v>2700.4119137900852</c:v>
                </c:pt>
                <c:pt idx="681">
                  <c:v>2700.2921534170632</c:v>
                </c:pt>
                <c:pt idx="682">
                  <c:v>2700.074392993507</c:v>
                </c:pt>
                <c:pt idx="683">
                  <c:v>2699.7587143848855</c:v>
                </c:pt>
                <c:pt idx="684">
                  <c:v>2699.3451996246336</c:v>
                </c:pt>
                <c:pt idx="685">
                  <c:v>2698.833931079771</c:v>
                </c:pt>
                <c:pt idx="686">
                  <c:v>2698.2249916141932</c:v>
                </c:pt>
                <c:pt idx="687">
                  <c:v>2697.5184647491346</c:v>
                </c:pt>
                <c:pt idx="688">
                  <c:v>2696.7144348203387</c:v>
                </c:pt>
                <c:pt idx="689">
                  <c:v>2695.8129871315009</c:v>
                </c:pt>
                <c:pt idx="690">
                  <c:v>2694.8142081035871</c:v>
                </c:pt>
                <c:pt idx="691">
                  <c:v>2693.7181854196765</c:v>
                </c:pt>
                <c:pt idx="692">
                  <c:v>2692.525008165017</c:v>
                </c:pt>
                <c:pt idx="693">
                  <c:v>2691.2347669620358</c:v>
                </c:pt>
                <c:pt idx="694">
                  <c:v>2689.8475541000839</c:v>
                </c:pt>
                <c:pt idx="695">
                  <c:v>2688.363463659754</c:v>
                </c:pt>
                <c:pt idx="696">
                  <c:v>2686.782591631641</c:v>
                </c:pt>
                <c:pt idx="697">
                  <c:v>2685.105036029473</c:v>
                </c:pt>
                <c:pt idx="698">
                  <c:v>2683.3308969975724</c:v>
                </c:pt>
                <c:pt idx="699">
                  <c:v>2681.4602769126445</c:v>
                </c:pt>
                <c:pt idx="700">
                  <c:v>2679.4932804799323</c:v>
                </c:pt>
                <c:pt idx="701">
                  <c:v>2677.4300148237985</c:v>
                </c:pt>
                <c:pt idx="702">
                  <c:v>2675.2705895728318</c:v>
                </c:pt>
                <c:pt idx="703">
                  <c:v>2673.015116939589</c:v>
                </c:pt>
                <c:pt idx="704">
                  <c:v>2670.6637117951072</c:v>
                </c:pt>
                <c:pt idx="705">
                  <c:v>2668.2164917383434</c:v>
                </c:pt>
                <c:pt idx="706">
                  <c:v>2665.6735771606982</c:v>
                </c:pt>
                <c:pt idx="707">
                  <c:v>2663.0350913058019</c:v>
                </c:pt>
                <c:pt idx="708">
                  <c:v>2660.3011603247405</c:v>
                </c:pt>
                <c:pt idx="709">
                  <c:v>2657.47191332691</c:v>
                </c:pt>
                <c:pt idx="710">
                  <c:v>2654.5474824266817</c:v>
                </c:pt>
                <c:pt idx="711">
                  <c:v>2651.528002786069</c:v>
                </c:pt>
                <c:pt idx="712">
                  <c:v>2648.4136126535791</c:v>
                </c:pt>
                <c:pt idx="713">
                  <c:v>2645.2044533994349</c:v>
                </c:pt>
                <c:pt idx="714">
                  <c:v>2641.9006695473449</c:v>
                </c:pt>
                <c:pt idx="715">
                  <c:v>2638.5024088029941</c:v>
                </c:pt>
                <c:pt idx="716">
                  <c:v>2635.0098220794266</c:v>
                </c:pt>
                <c:pt idx="717">
                  <c:v>2631.4230635194826</c:v>
                </c:pt>
                <c:pt idx="718">
                  <c:v>2627.7422905154408</c:v>
                </c:pt>
                <c:pt idx="719">
                  <c:v>2623.9676637260231</c:v>
                </c:pt>
                <c:pt idx="720">
                  <c:v>2620.0993470908975</c:v>
                </c:pt>
                <c:pt idx="721">
                  <c:v>2616.1375078428159</c:v>
                </c:pt>
                <c:pt idx="722">
                  <c:v>2612.0823165175193</c:v>
                </c:pt>
                <c:pt idx="723">
                  <c:v>2607.9339469615234</c:v>
                </c:pt>
                <c:pt idx="724">
                  <c:v>2603.6925763379077</c:v>
                </c:pt>
                <c:pt idx="725">
                  <c:v>2599.3583851302124</c:v>
                </c:pt>
                <c:pt idx="726">
                  <c:v>2594.9315571445441</c:v>
                </c:pt>
                <c:pt idx="727">
                  <c:v>2590.4122795099893</c:v>
                </c:pt>
                <c:pt idx="728">
                  <c:v>2585.8007426774225</c:v>
                </c:pt>
                <c:pt idx="729">
                  <c:v>2581.0971404167985</c:v>
                </c:pt>
                <c:pt idx="730">
                  <c:v>2576.3016698130014</c:v>
                </c:pt>
                <c:pt idx="731">
                  <c:v>2571.4145312603314</c:v>
                </c:pt>
                <c:pt idx="732">
                  <c:v>2566.4359284556972</c:v>
                </c:pt>
                <c:pt idx="733">
                  <c:v>2561.3660683905764</c:v>
                </c:pt>
                <c:pt idx="734">
                  <c:v>2556.2051613418103</c:v>
                </c:pt>
                <c:pt idx="735">
                  <c:v>2550.9534208612872</c:v>
                </c:pt>
                <c:pt idx="736">
                  <c:v>2545.6110637645711</c:v>
                </c:pt>
                <c:pt idx="737">
                  <c:v>2540.178310118521</c:v>
                </c:pt>
                <c:pt idx="738">
                  <c:v>2534.6553832279569</c:v>
                </c:pt>
                <c:pt idx="739">
                  <c:v>2529.0425096214067</c:v>
                </c:pt>
                <c:pt idx="740">
                  <c:v>2523.3399190359846</c:v>
                </c:pt>
                <c:pt idx="741">
                  <c:v>2517.5478444014348</c:v>
                </c:pt>
                <c:pt idx="742">
                  <c:v>2511.6665218233802</c:v>
                </c:pt>
                <c:pt idx="743">
                  <c:v>2505.6961905658077</c:v>
                </c:pt>
                <c:pt idx="744">
                  <c:v>2499.6370930328267</c:v>
                </c:pt>
                <c:pt idx="745">
                  <c:v>2493.4894747497269</c:v>
                </c:pt>
                <c:pt idx="746">
                  <c:v>2487.2535843433684</c:v>
                </c:pt>
                <c:pt idx="747">
                  <c:v>2480.9296735219282</c:v>
                </c:pt>
                <c:pt idx="748">
                  <c:v>2474.5179970540307</c:v>
                </c:pt>
                <c:pt idx="749">
                  <c:v>2468.0188127472857</c:v>
                </c:pt>
                <c:pt idx="750">
                  <c:v>2461.4323814262575</c:v>
                </c:pt>
                <c:pt idx="751">
                  <c:v>2454.7589669098847</c:v>
                </c:pt>
                <c:pt idx="752">
                  <c:v>2447.998835988376</c:v>
                </c:pt>
                <c:pt idx="753">
                  <c:v>2441.1522583995957</c:v>
                </c:pt>
                <c:pt idx="754">
                  <c:v>2434.2195068049618</c:v>
                </c:pt>
                <c:pt idx="755">
                  <c:v>2427.2008567648736</c:v>
                </c:pt>
                <c:pt idx="756">
                  <c:v>2420.0965867136847</c:v>
                </c:pt>
                <c:pt idx="757">
                  <c:v>2412.9069779342376</c:v>
                </c:pt>
                <c:pt idx="758">
                  <c:v>2405.632314531977</c:v>
                </c:pt>
                <c:pt idx="759">
                  <c:v>2398.2728834086556</c:v>
                </c:pt>
                <c:pt idx="760">
                  <c:v>2390.8289742356442</c:v>
                </c:pt>
                <c:pt idx="761">
                  <c:v>2383.3008794268649</c:v>
                </c:pt>
                <c:pt idx="762">
                  <c:v>2375.6888941113552</c:v>
                </c:pt>
                <c:pt idx="763">
                  <c:v>2367.9933161054796</c:v>
                </c:pt>
                <c:pt idx="764">
                  <c:v>2360.2144458847984</c:v>
                </c:pt>
                <c:pt idx="765">
                  <c:v>2352.3525865556057</c:v>
                </c:pt>
                <c:pt idx="766">
                  <c:v>2344.4080438261503</c:v>
                </c:pt>
                <c:pt idx="767">
                  <c:v>2336.3811259775462</c:v>
                </c:pt>
                <c:pt idx="768">
                  <c:v>2328.2721438343874</c:v>
                </c:pt>
                <c:pt idx="769">
                  <c:v>2320.081410735077</c:v>
                </c:pt>
                <c:pt idx="770">
                  <c:v>2311.8092425018754</c:v>
                </c:pt>
                <c:pt idx="771">
                  <c:v>2303.4559574106861</c:v>
                </c:pt>
                <c:pt idx="772">
                  <c:v>2295.0218761605806</c:v>
                </c:pt>
                <c:pt idx="773">
                  <c:v>2286.5073218430762</c:v>
                </c:pt>
                <c:pt idx="774">
                  <c:v>2277.9126199111756</c:v>
                </c:pt>
                <c:pt idx="775">
                  <c:v>2269.2380981481742</c:v>
                </c:pt>
                <c:pt idx="776">
                  <c:v>2260.4840866362479</c:v>
                </c:pt>
                <c:pt idx="777">
                  <c:v>2251.6509177248263</c:v>
                </c:pt>
                <c:pt idx="778">
                  <c:v>2242.7389259987626</c:v>
                </c:pt>
                <c:pt idx="779">
                  <c:v>2233.7484482463055</c:v>
                </c:pt>
                <c:pt idx="780">
                  <c:v>2224.6798234268854</c:v>
                </c:pt>
                <c:pt idx="781">
                  <c:v>2215.5333926387157</c:v>
                </c:pt>
                <c:pt idx="782">
                  <c:v>2206.3094990862269</c:v>
                </c:pt>
                <c:pt idx="783">
                  <c:v>2197.0084880473314</c:v>
                </c:pt>
                <c:pt idx="784">
                  <c:v>2187.6307068405335</c:v>
                </c:pt>
                <c:pt idx="785">
                  <c:v>2178.1765047918884</c:v>
                </c:pt>
                <c:pt idx="786">
                  <c:v>2168.6462332018191</c:v>
                </c:pt>
                <c:pt idx="787">
                  <c:v>2159.0402453117981</c:v>
                </c:pt>
                <c:pt idx="788">
                  <c:v>2149.3588962709014</c:v>
                </c:pt>
                <c:pt idx="789">
                  <c:v>2139.6025431022413</c:v>
                </c:pt>
                <c:pt idx="790">
                  <c:v>2129.7715446692846</c:v>
                </c:pt>
                <c:pt idx="791">
                  <c:v>2119.866261642067</c:v>
                </c:pt>
                <c:pt idx="792">
                  <c:v>2109.8870564633025</c:v>
                </c:pt>
                <c:pt idx="793">
                  <c:v>2099.8342933144049</c:v>
                </c:pt>
                <c:pt idx="794">
                  <c:v>2089.7083380814192</c:v>
                </c:pt>
                <c:pt idx="795">
                  <c:v>2079.5095583208749</c:v>
                </c:pt>
                <c:pt idx="796">
                  <c:v>2069.238323225567</c:v>
                </c:pt>
                <c:pt idx="797">
                  <c:v>2058.8950035902676</c:v>
                </c:pt>
                <c:pt idx="798">
                  <c:v>2048.4799717773808</c:v>
                </c:pt>
                <c:pt idx="799">
                  <c:v>2037.9936016825429</c:v>
                </c:pt>
                <c:pt idx="800">
                  <c:v>2027.4362687001744</c:v>
                </c:pt>
                <c:pt idx="801">
                  <c:v>2016.8083496889924</c:v>
                </c:pt>
                <c:pt idx="802">
                  <c:v>2006.1102229374883</c:v>
                </c:pt>
                <c:pt idx="803">
                  <c:v>1995.3422681293771</c:v>
                </c:pt>
                <c:pt idx="804">
                  <c:v>1984.5048663090251</c:v>
                </c:pt>
                <c:pt idx="805">
                  <c:v>1973.5983998468614</c:v>
                </c:pt>
                <c:pt idx="806">
                  <c:v>1962.6232524047784</c:v>
                </c:pt>
                <c:pt idx="807">
                  <c:v>1951.5798089015314</c:v>
                </c:pt>
                <c:pt idx="808">
                  <c:v>1940.4684554781375</c:v>
                </c:pt>
                <c:pt idx="809">
                  <c:v>1929.2895794632843</c:v>
                </c:pt>
                <c:pt idx="810">
                  <c:v>1918.0435693387528</c:v>
                </c:pt>
                <c:pt idx="811">
                  <c:v>1906.7308147048586</c:v>
                </c:pt>
                <c:pt idx="812">
                  <c:v>1895.3517062459209</c:v>
                </c:pt>
                <c:pt idx="813">
                  <c:v>1883.9066356957617</c:v>
                </c:pt>
                <c:pt idx="814">
                  <c:v>1872.3959958032426</c:v>
                </c:pt>
                <c:pt idx="815">
                  <c:v>1860.8201802978444</c:v>
                </c:pt>
                <c:pt idx="816">
                  <c:v>1849.1795838552948</c:v>
                </c:pt>
                <c:pt idx="817">
                  <c:v>1837.4746020632508</c:v>
                </c:pt>
                <c:pt idx="818">
                  <c:v>1825.7056313870403</c:v>
                </c:pt>
                <c:pt idx="819">
                  <c:v>1813.8730691354679</c:v>
                </c:pt>
                <c:pt idx="820">
                  <c:v>1801.9773134266925</c:v>
                </c:pt>
                <c:pt idx="821">
                  <c:v>1790.0187631541794</c:v>
                </c:pt>
                <c:pt idx="822">
                  <c:v>1777.9978179527341</c:v>
                </c:pt>
                <c:pt idx="823">
                  <c:v>1765.9148781646222</c:v>
                </c:pt>
                <c:pt idx="824">
                  <c:v>1753.7703448057807</c:v>
                </c:pt>
                <c:pt idx="825">
                  <c:v>1741.5646195321256</c:v>
                </c:pt>
                <c:pt idx="826">
                  <c:v>1729.2981046059617</c:v>
                </c:pt>
                <c:pt idx="827">
                  <c:v>1716.9712028624995</c:v>
                </c:pt>
                <c:pt idx="828">
                  <c:v>1704.5843176764822</c:v>
                </c:pt>
                <c:pt idx="829">
                  <c:v>1692.1378529289314</c:v>
                </c:pt>
                <c:pt idx="830">
                  <c:v>1679.6322129740126</c:v>
                </c:pt>
                <c:pt idx="831">
                  <c:v>1667.067802606028</c:v>
                </c:pt>
                <c:pt idx="832">
                  <c:v>1654.4450270265397</c:v>
                </c:pt>
                <c:pt idx="833">
                  <c:v>1641.7642918116294</c:v>
                </c:pt>
                <c:pt idx="834">
                  <c:v>1629.0260028792977</c:v>
                </c:pt>
                <c:pt idx="835">
                  <c:v>1616.2305664570092</c:v>
                </c:pt>
                <c:pt idx="836">
                  <c:v>1603.3783890493855</c:v>
                </c:pt>
                <c:pt idx="837">
                  <c:v>1590.4698774060546</c:v>
                </c:pt>
                <c:pt idx="838">
                  <c:v>1577.5054384896557</c:v>
                </c:pt>
                <c:pt idx="839">
                  <c:v>1564.4854794440091</c:v>
                </c:pt>
                <c:pt idx="840">
                  <c:v>1551.4104075624516</c:v>
                </c:pt>
                <c:pt idx="841">
                  <c:v>1538.2806302563433</c:v>
                </c:pt>
                <c:pt idx="842">
                  <c:v>1525.0965550237499</c:v>
                </c:pt>
                <c:pt idx="843">
                  <c:v>1511.8585894183038</c:v>
                </c:pt>
                <c:pt idx="844">
                  <c:v>1498.567141018249</c:v>
                </c:pt>
                <c:pt idx="845">
                  <c:v>1485.2226173956726</c:v>
                </c:pt>
                <c:pt idx="846">
                  <c:v>1471.8254260859287</c:v>
                </c:pt>
                <c:pt idx="847">
                  <c:v>1458.3759745572552</c:v>
                </c:pt>
                <c:pt idx="848">
                  <c:v>1444.8746701805908</c:v>
                </c:pt>
                <c:pt idx="849">
                  <c:v>1431.3219201995944</c:v>
                </c:pt>
                <c:pt idx="850">
                  <c:v>1417.7181317008692</c:v>
                </c:pt>
                <c:pt idx="851">
                  <c:v>1404.0637115843974</c:v>
                </c:pt>
                <c:pt idx="852">
                  <c:v>1390.3590665341871</c:v>
                </c:pt>
                <c:pt idx="853">
                  <c:v>1376.6046029891359</c:v>
                </c:pt>
                <c:pt idx="854">
                  <c:v>1362.8007271141134</c:v>
                </c:pt>
                <c:pt idx="855">
                  <c:v>1348.9478447712686</c:v>
                </c:pt>
                <c:pt idx="856">
                  <c:v>1335.0463614915604</c:v>
                </c:pt>
                <c:pt idx="857">
                  <c:v>1321.0966824465195</c:v>
                </c:pt>
                <c:pt idx="858">
                  <c:v>1307.0992124202414</c:v>
                </c:pt>
                <c:pt idx="859">
                  <c:v>1293.0543557816156</c:v>
                </c:pt>
                <c:pt idx="860">
                  <c:v>1278.9625164567913</c:v>
                </c:pt>
                <c:pt idx="861">
                  <c:v>1264.8240979018854</c:v>
                </c:pt>
                <c:pt idx="862">
                  <c:v>1250.6395030759331</c:v>
                </c:pt>
                <c:pt idx="863">
                  <c:v>1236.4091344140861</c:v>
                </c:pt>
                <c:pt idx="864">
                  <c:v>1222.1333938010575</c:v>
                </c:pt>
                <c:pt idx="865">
                  <c:v>1207.8126825448203</c:v>
                </c:pt>
                <c:pt idx="866">
                  <c:v>1193.4474013505587</c:v>
                </c:pt>
                <c:pt idx="867">
                  <c:v>1179.0379502948756</c:v>
                </c:pt>
                <c:pt idx="868">
                  <c:v>1164.584728800259</c:v>
                </c:pt>
                <c:pt idx="869">
                  <c:v>1150.0881356098089</c:v>
                </c:pt>
                <c:pt idx="870">
                  <c:v>1135.5485687622272</c:v>
                </c:pt>
                <c:pt idx="871">
                  <c:v>1120.9664255670725</c:v>
                </c:pt>
                <c:pt idx="872">
                  <c:v>1106.3421025802825</c:v>
                </c:pt>
                <c:pt idx="873">
                  <c:v>1091.6759955799641</c:v>
                </c:pt>
                <c:pt idx="874">
                  <c:v>1076.9684995424557</c:v>
                </c:pt>
                <c:pt idx="875">
                  <c:v>1062.2200086186608</c:v>
                </c:pt>
                <c:pt idx="876">
                  <c:v>1047.4309161106571</c:v>
                </c:pt>
                <c:pt idx="877">
                  <c:v>1032.6016144485809</c:v>
                </c:pt>
                <c:pt idx="878">
                  <c:v>1017.7324951677889</c:v>
                </c:pt>
                <c:pt idx="879">
                  <c:v>1002.823948886299</c:v>
                </c:pt>
                <c:pt idx="880">
                  <c:v>987.87636528251198</c:v>
                </c:pt>
                <c:pt idx="881">
                  <c:v>972.89013307321432</c:v>
                </c:pt>
                <c:pt idx="882">
                  <c:v>957.86563999186455</c:v>
                </c:pt>
                <c:pt idx="883">
                  <c:v>942.80327276716332</c:v>
                </c:pt>
                <c:pt idx="884">
                  <c:v>927.70341710190951</c:v>
                </c:pt>
                <c:pt idx="885">
                  <c:v>912.56645765214182</c:v>
                </c:pt>
                <c:pt idx="886">
                  <c:v>897.39277800656873</c:v>
                </c:pt>
                <c:pt idx="887">
                  <c:v>882.18276066628584</c:v>
                </c:pt>
                <c:pt idx="888">
                  <c:v>866.93678702478326</c:v>
                </c:pt>
                <c:pt idx="889">
                  <c:v>851.65523734824205</c:v>
                </c:pt>
                <c:pt idx="890">
                  <c:v>836.3384907561217</c:v>
                </c:pt>
                <c:pt idx="891">
                  <c:v>820.98692520203917</c:v>
                </c:pt>
                <c:pt idx="892">
                  <c:v>805.60091745493901</c:v>
                </c:pt>
                <c:pt idx="893">
                  <c:v>790.18084308055631</c:v>
                </c:pt>
                <c:pt idx="894">
                  <c:v>774.72707642317221</c:v>
                </c:pt>
                <c:pt idx="895">
                  <c:v>759.23999058766253</c:v>
                </c:pt>
                <c:pt idx="896">
                  <c:v>743.71995742183981</c:v>
                </c:pt>
                <c:pt idx="897">
                  <c:v>728.16734749908892</c:v>
                </c:pt>
                <c:pt idx="898">
                  <c:v>712.58253010129613</c:v>
                </c:pt>
                <c:pt idx="899">
                  <c:v>696.96587320207277</c:v>
                </c:pt>
                <c:pt idx="900">
                  <c:v>681.31774345027191</c:v>
                </c:pt>
                <c:pt idx="901">
                  <c:v>665.63850615379965</c:v>
                </c:pt>
                <c:pt idx="902">
                  <c:v>649.92852526371951</c:v>
                </c:pt>
                <c:pt idx="903">
                  <c:v>634.18816335865085</c:v>
                </c:pt>
                <c:pt idx="904">
                  <c:v>618.41778162946071</c:v>
                </c:pt>
                <c:pt idx="905">
                  <c:v>602.61773986424805</c:v>
                </c:pt>
                <c:pt idx="906">
                  <c:v>586.78839643362164</c:v>
                </c:pt>
                <c:pt idx="907">
                  <c:v>570.93010827626961</c:v>
                </c:pt>
                <c:pt idx="908">
                  <c:v>555.04323088482101</c:v>
                </c:pt>
                <c:pt idx="909">
                  <c:v>539.12811829199927</c:v>
                </c:pt>
                <c:pt idx="910">
                  <c:v>523.1851230570652</c:v>
                </c:pt>
                <c:pt idx="911">
                  <c:v>507.21459625255142</c:v>
                </c:pt>
                <c:pt idx="912">
                  <c:v>491.2168874512854</c:v>
                </c:pt>
                <c:pt idx="913">
                  <c:v>475.1923447137014</c:v>
                </c:pt>
                <c:pt idx="914">
                  <c:v>459.14131457544033</c:v>
                </c:pt>
                <c:pt idx="915">
                  <c:v>443.06414203523644</c:v>
                </c:pt>
                <c:pt idx="916">
                  <c:v>426.96117054309047</c:v>
                </c:pt>
                <c:pt idx="917">
                  <c:v>410.83274198872743</c:v>
                </c:pt>
                <c:pt idx="918">
                  <c:v>394.67919669033893</c:v>
                </c:pt>
                <c:pt idx="919">
                  <c:v>378.50087338360828</c:v>
                </c:pt>
                <c:pt idx="920">
                  <c:v>362.29810921101785</c:v>
                </c:pt>
                <c:pt idx="921">
                  <c:v>346.0712397114367</c:v>
                </c:pt>
                <c:pt idx="922">
                  <c:v>329.82059880998827</c:v>
                </c:pt>
                <c:pt idx="923">
                  <c:v>313.54651880819614</c:v>
                </c:pt>
                <c:pt idx="924">
                  <c:v>297.24933037440678</c:v>
                </c:pt>
                <c:pt idx="925">
                  <c:v>280.92936253448801</c:v>
                </c:pt>
                <c:pt idx="926">
                  <c:v>264.58694266280162</c:v>
                </c:pt>
                <c:pt idx="927">
                  <c:v>248.22239647344895</c:v>
                </c:pt>
                <c:pt idx="928">
                  <c:v>231.8360480117878</c:v>
                </c:pt>
                <c:pt idx="929">
                  <c:v>215.42821964621891</c:v>
                </c:pt>
                <c:pt idx="930">
                  <c:v>198.99923206024107</c:v>
                </c:pt>
                <c:pt idx="931">
                  <c:v>182.54940424477255</c:v>
                </c:pt>
                <c:pt idx="932">
                  <c:v>166.07905349073775</c:v>
                </c:pt>
                <c:pt idx="933">
                  <c:v>149.58849538191711</c:v>
                </c:pt>
                <c:pt idx="934">
                  <c:v>133.07804378805864</c:v>
                </c:pt>
                <c:pt idx="935">
                  <c:v>116.5480108582493</c:v>
                </c:pt>
                <c:pt idx="936">
                  <c:v>99.998707014544564</c:v>
                </c:pt>
                <c:pt idx="937">
                  <c:v>83.430440945854102</c:v>
                </c:pt>
                <c:pt idx="938">
                  <c:v>66.843519602081969</c:v>
                </c:pt>
                <c:pt idx="939">
                  <c:v>50.238248188519286</c:v>
                </c:pt>
                <c:pt idx="940">
                  <c:v>33.614930160487539</c:v>
                </c:pt>
                <c:pt idx="941">
                  <c:v>16.973867218230524</c:v>
                </c:pt>
                <c:pt idx="942">
                  <c:v>0.31535930205298612</c:v>
                </c:pt>
                <c:pt idx="943">
                  <c:v>-16.360295412296061</c:v>
                </c:pt>
                <c:pt idx="944">
                  <c:v>-16.376979574437723</c:v>
                </c:pt>
                <c:pt idx="945">
                  <c:v>-16.393663753281871</c:v>
                </c:pt>
                <c:pt idx="946">
                  <c:v>-16.41034794882821</c:v>
                </c:pt>
                <c:pt idx="947">
                  <c:v>-16.427032161076447</c:v>
                </c:pt>
                <c:pt idx="948">
                  <c:v>-16.443716390026289</c:v>
                </c:pt>
                <c:pt idx="949">
                  <c:v>-16.460400635677441</c:v>
                </c:pt>
                <c:pt idx="950">
                  <c:v>-16.477084898029609</c:v>
                </c:pt>
                <c:pt idx="951">
                  <c:v>-16.493769177082505</c:v>
                </c:pt>
                <c:pt idx="952">
                  <c:v>-16.510453472835831</c:v>
                </c:pt>
                <c:pt idx="953">
                  <c:v>-16.527137785289295</c:v>
                </c:pt>
                <c:pt idx="954">
                  <c:v>-16.543822114442605</c:v>
                </c:pt>
                <c:pt idx="955">
                  <c:v>-16.560506460295468</c:v>
                </c:pt>
                <c:pt idx="956">
                  <c:v>-16.577190822847587</c:v>
                </c:pt>
                <c:pt idx="957">
                  <c:v>-16.593875202098673</c:v>
                </c:pt>
                <c:pt idx="958">
                  <c:v>-16.610559598048432</c:v>
                </c:pt>
                <c:pt idx="959">
                  <c:v>-16.627244010696572</c:v>
                </c:pt>
                <c:pt idx="960">
                  <c:v>-16.643928440042796</c:v>
                </c:pt>
                <c:pt idx="961">
                  <c:v>-16.660612886086813</c:v>
                </c:pt>
                <c:pt idx="962">
                  <c:v>-16.677297348828329</c:v>
                </c:pt>
                <c:pt idx="963">
                  <c:v>-16.693981828267052</c:v>
                </c:pt>
                <c:pt idx="964">
                  <c:v>-16.710666324402691</c:v>
                </c:pt>
                <c:pt idx="965">
                  <c:v>-16.727350837234948</c:v>
                </c:pt>
                <c:pt idx="966">
                  <c:v>-16.744035366763534</c:v>
                </c:pt>
                <c:pt idx="967">
                  <c:v>-16.760719912988151</c:v>
                </c:pt>
                <c:pt idx="968">
                  <c:v>-16.777404475908511</c:v>
                </c:pt>
                <c:pt idx="969">
                  <c:v>-16.794089055524317</c:v>
                </c:pt>
                <c:pt idx="970">
                  <c:v>-16.81077365183528</c:v>
                </c:pt>
                <c:pt idx="971">
                  <c:v>-16.827458264841102</c:v>
                </c:pt>
                <c:pt idx="972">
                  <c:v>-16.844142894541491</c:v>
                </c:pt>
                <c:pt idx="973">
                  <c:v>-16.860827540936157</c:v>
                </c:pt>
                <c:pt idx="974">
                  <c:v>-16.877512204024804</c:v>
                </c:pt>
                <c:pt idx="975">
                  <c:v>-16.89419688380714</c:v>
                </c:pt>
                <c:pt idx="976">
                  <c:v>-16.910881580282872</c:v>
                </c:pt>
                <c:pt idx="977">
                  <c:v>-16.927566293451704</c:v>
                </c:pt>
                <c:pt idx="978">
                  <c:v>-16.944251023313349</c:v>
                </c:pt>
                <c:pt idx="979">
                  <c:v>-16.960935769867508</c:v>
                </c:pt>
                <c:pt idx="980">
                  <c:v>-16.977620533113889</c:v>
                </c:pt>
                <c:pt idx="981">
                  <c:v>-16.994305313052202</c:v>
                </c:pt>
                <c:pt idx="982">
                  <c:v>-17.010990109682151</c:v>
                </c:pt>
                <c:pt idx="983">
                  <c:v>-17.027674923003442</c:v>
                </c:pt>
                <c:pt idx="984">
                  <c:v>-17.044359753015783</c:v>
                </c:pt>
                <c:pt idx="985">
                  <c:v>-17.061044599718883</c:v>
                </c:pt>
                <c:pt idx="986">
                  <c:v>-17.077729463112448</c:v>
                </c:pt>
                <c:pt idx="987">
                  <c:v>-17.094414343196181</c:v>
                </c:pt>
                <c:pt idx="988">
                  <c:v>-17.111099239969793</c:v>
                </c:pt>
                <c:pt idx="989">
                  <c:v>-17.127784153432987</c:v>
                </c:pt>
                <c:pt idx="990">
                  <c:v>-17.144469083585474</c:v>
                </c:pt>
                <c:pt idx="991">
                  <c:v>-17.16115403042696</c:v>
                </c:pt>
                <c:pt idx="992">
                  <c:v>-17.177838993957153</c:v>
                </c:pt>
                <c:pt idx="993">
                  <c:v>-17.194523974175755</c:v>
                </c:pt>
                <c:pt idx="994">
                  <c:v>-17.211208971082478</c:v>
                </c:pt>
                <c:pt idx="995">
                  <c:v>-17.227893984677024</c:v>
                </c:pt>
                <c:pt idx="996">
                  <c:v>-17.244579014959104</c:v>
                </c:pt>
                <c:pt idx="997">
                  <c:v>-17.261264061928426</c:v>
                </c:pt>
                <c:pt idx="998">
                  <c:v>-17.277949125584691</c:v>
                </c:pt>
                <c:pt idx="999">
                  <c:v>-17.294634205927611</c:v>
                </c:pt>
                <c:pt idx="1000">
                  <c:v>-17.311319302956893</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7.8068751954264885E-5</c:v>
                </c:pt>
                <c:pt idx="2">
                  <c:v>4.9095286462302E-4</c:v>
                </c:pt>
                <c:pt idx="3">
                  <c:v>1.491499648462318E-3</c:v>
                </c:pt>
                <c:pt idx="4">
                  <c:v>3.2281037998809397E-3</c:v>
                </c:pt>
                <c:pt idx="5">
                  <c:v>5.8492807523010653E-3</c:v>
                </c:pt>
                <c:pt idx="6">
                  <c:v>9.5036849283488649E-3</c:v>
                </c:pt>
                <c:pt idx="7">
                  <c:v>1.4340127864657718E-2</c:v>
                </c:pt>
                <c:pt idx="8">
                  <c:v>2.0507596216029399E-2</c:v>
                </c:pt>
                <c:pt idx="9">
                  <c:v>2.8155269645527378E-2</c:v>
                </c:pt>
                <c:pt idx="10">
                  <c:v>3.7432538606911911E-2</c:v>
                </c:pt>
                <c:pt idx="11">
                  <c:v>4.844633564922908E-2</c:v>
                </c:pt>
                <c:pt idx="12">
                  <c:v>6.1218365000211009E-2</c:v>
                </c:pt>
                <c:pt idx="13">
                  <c:v>7.5727323644137812E-2</c:v>
                </c:pt>
                <c:pt idx="14">
                  <c:v>9.1951214893689209E-2</c:v>
                </c:pt>
                <c:pt idx="15">
                  <c:v>0.10986767309825565</c:v>
                </c:pt>
                <c:pt idx="16">
                  <c:v>0.12945428906740214</c:v>
                </c:pt>
                <c:pt idx="17">
                  <c:v>0.1506886107768757</c:v>
                </c:pt>
                <c:pt idx="18">
                  <c:v>0.17354814407439006</c:v>
                </c:pt>
                <c:pt idx="19">
                  <c:v>0.19801035338509218</c:v>
                </c:pt>
                <c:pt idx="20">
                  <c:v>0.22405266241661514</c:v>
                </c:pt>
                <c:pt idx="21">
                  <c:v>0.25165245486362342</c:v>
                </c:pt>
                <c:pt idx="22">
                  <c:v>0.28078707511175599</c:v>
                </c:pt>
                <c:pt idx="23">
                  <c:v>0.31143382894087418</c:v>
                </c:pt>
                <c:pt idx="24">
                  <c:v>0.34356998422752133</c:v>
                </c:pt>
                <c:pt idx="25">
                  <c:v>0.37717277164650181</c:v>
                </c:pt>
                <c:pt idx="26">
                  <c:v>0.41221938537148817</c:v>
                </c:pt>
                <c:pt idx="27">
                  <c:v>0.44869272071940014</c:v>
                </c:pt>
                <c:pt idx="28">
                  <c:v>0.48658712154688871</c:v>
                </c:pt>
                <c:pt idx="29">
                  <c:v>0.52590265808600734</c:v>
                </c:pt>
                <c:pt idx="30">
                  <c:v>0.56663939467391855</c:v>
                </c:pt>
                <c:pt idx="31">
                  <c:v>0.6087973897453286</c:v>
                </c:pt>
                <c:pt idx="32">
                  <c:v>0.6523766958250371</c:v>
                </c:pt>
                <c:pt idx="33">
                  <c:v>0.6973773595206022</c:v>
                </c:pt>
                <c:pt idx="34">
                  <c:v>0.74388334048300531</c:v>
                </c:pt>
                <c:pt idx="35">
                  <c:v>0.79198137868783935</c:v>
                </c:pt>
                <c:pt idx="36">
                  <c:v>0.84167704391527187</c:v>
                </c:pt>
                <c:pt idx="37">
                  <c:v>0.89297579911410474</c:v>
                </c:pt>
                <c:pt idx="38">
                  <c:v>0.94588296618105772</c:v>
                </c:pt>
                <c:pt idx="39">
                  <c:v>1.0004037328389408</c:v>
                </c:pt>
                <c:pt idx="40">
                  <c:v>1.0565431589862955</c:v>
                </c:pt>
                <c:pt idx="41">
                  <c:v>1.1143061825716356</c:v>
                </c:pt>
                <c:pt idx="42">
                  <c:v>1.173697625038876</c:v>
                </c:pt>
                <c:pt idx="43">
                  <c:v>1.2347221963849404</c:v>
                </c:pt>
                <c:pt idx="44">
                  <c:v>1.2973844998657351</c:v>
                </c:pt>
                <c:pt idx="45">
                  <c:v>1.3616890363825316</c:v>
                </c:pt>
                <c:pt idx="46">
                  <c:v>1.4276402085772157</c:v>
                </c:pt>
                <c:pt idx="47">
                  <c:v>1.4952423246617521</c:v>
                </c:pt>
                <c:pt idx="48">
                  <c:v>1.5644996020044948</c:v>
                </c:pt>
                <c:pt idx="49">
                  <c:v>1.6354161704936148</c:v>
                </c:pt>
                <c:pt idx="50">
                  <c:v>1.7079960756958288</c:v>
                </c:pt>
                <c:pt idx="51">
                  <c:v>1.7822432818267948</c:v>
                </c:pt>
                <c:pt idx="52">
                  <c:v>1.8581616745479266</c:v>
                </c:pt>
                <c:pt idx="53">
                  <c:v>1.9357550636029592</c:v>
                </c:pt>
                <c:pt idx="54">
                  <c:v>2.015027185306336</c:v>
                </c:pt>
                <c:pt idx="55">
                  <c:v>2.0959817048943674</c:v>
                </c:pt>
                <c:pt idx="56">
                  <c:v>2.178622218749116</c:v>
                </c:pt>
                <c:pt idx="57">
                  <c:v>2.2629522565040712</c:v>
                </c:pt>
                <c:pt idx="58">
                  <c:v>2.3489752830398851</c:v>
                </c:pt>
                <c:pt idx="59">
                  <c:v>2.436694700377724</c:v>
                </c:pt>
                <c:pt idx="60">
                  <c:v>2.5261138494771478</c:v>
                </c:pt>
                <c:pt idx="61">
                  <c:v>2.6172360119448665</c:v>
                </c:pt>
                <c:pt idx="62">
                  <c:v>2.7100644116601842</c:v>
                </c:pt>
                <c:pt idx="63">
                  <c:v>2.8046022163224889</c:v>
                </c:pt>
                <c:pt idx="64">
                  <c:v>2.9008525389257134</c:v>
                </c:pt>
                <c:pt idx="65">
                  <c:v>2.9988184391643138</c:v>
                </c:pt>
                <c:pt idx="66">
                  <c:v>3.098502924774956</c:v>
                </c:pt>
                <c:pt idx="67">
                  <c:v>3.1999089528177938</c:v>
                </c:pt>
                <c:pt idx="68">
                  <c:v>3.3030394309009217</c:v>
                </c:pt>
                <c:pt idx="69">
                  <c:v>3.407897218351335</c:v>
                </c:pt>
                <c:pt idx="70">
                  <c:v>3.5144851273354796</c:v>
                </c:pt>
                <c:pt idx="71">
                  <c:v>3.6228059239322579</c:v>
                </c:pt>
                <c:pt idx="72">
                  <c:v>3.7328622572600776</c:v>
                </c:pt>
                <c:pt idx="73">
                  <c:v>3.8446565880950163</c:v>
                </c:pt>
                <c:pt idx="74">
                  <c:v>3.9581912610983387</c:v>
                </c:pt>
                <c:pt idx="75">
                  <c:v>4.0734685774853139</c:v>
                </c:pt>
                <c:pt idx="76">
                  <c:v>4.1904907959219866</c:v>
                </c:pt>
                <c:pt idx="77">
                  <c:v>4.3092601333869451</c:v>
                </c:pt>
                <c:pt idx="78">
                  <c:v>4.4297787659999059</c:v>
                </c:pt>
                <c:pt idx="79">
                  <c:v>4.5520488298188102</c:v>
                </c:pt>
                <c:pt idx="80">
                  <c:v>4.6760724216070404</c:v>
                </c:pt>
                <c:pt idx="81">
                  <c:v>4.8018515995722417</c:v>
                </c:pt>
                <c:pt idx="82">
                  <c:v>4.9293883840781634</c:v>
                </c:pt>
                <c:pt idx="83">
                  <c:v>5.0586847583308279</c:v>
                </c:pt>
                <c:pt idx="84">
                  <c:v>5.1897426690402728</c:v>
                </c:pt>
                <c:pt idx="85">
                  <c:v>5.3225640270590313</c:v>
                </c:pt>
                <c:pt idx="86">
                  <c:v>5.4571507079984451</c:v>
                </c:pt>
                <c:pt idx="87">
                  <c:v>5.5935045528238465</c:v>
                </c:pt>
                <c:pt idx="88">
                  <c:v>5.7316273684295806</c:v>
                </c:pt>
                <c:pt idx="89">
                  <c:v>5.8715209281947871</c:v>
                </c:pt>
                <c:pt idx="90">
                  <c:v>6.0131869725208116</c:v>
                </c:pt>
                <c:pt idx="91">
                  <c:v>6.1566272093510621</c:v>
                </c:pt>
                <c:pt idx="92">
                  <c:v>6.3018433146740911</c:v>
                </c:pt>
                <c:pt idx="93">
                  <c:v>6.4488369330106243</c:v>
                </c:pt>
                <c:pt idx="94">
                  <c:v>6.5976096778852433</c:v>
                </c:pt>
                <c:pt idx="95">
                  <c:v>6.7481631322833682</c:v>
                </c:pt>
                <c:pt idx="96">
                  <c:v>6.9004988490941672</c:v>
                </c:pt>
                <c:pt idx="97">
                  <c:v>7.054618351539979</c:v>
                </c:pt>
                <c:pt idx="98">
                  <c:v>7.2105231335928153</c:v>
                </c:pt>
                <c:pt idx="99">
                  <c:v>7.3682146603784631</c:v>
                </c:pt>
                <c:pt idx="100">
                  <c:v>7.5276943685686994</c:v>
                </c:pt>
                <c:pt idx="101">
                  <c:v>7.6889636667621</c:v>
                </c:pt>
                <c:pt idx="102">
                  <c:v>7.8520239358538824</c:v>
                </c:pt>
                <c:pt idx="103">
                  <c:v>8.0168765293952386</c:v>
                </c:pt>
                <c:pt idx="104">
                  <c:v>8.1835227739425527</c:v>
                </c:pt>
                <c:pt idx="105">
                  <c:v>8.3519639693968983</c:v>
                </c:pt>
                <c:pt idx="106">
                  <c:v>8.5222013893342048</c:v>
                </c:pt>
                <c:pt idx="107">
                  <c:v>8.6942362813264271</c:v>
                </c:pt>
                <c:pt idx="108">
                  <c:v>8.8680698672540696</c:v>
                </c:pt>
                <c:pt idx="109">
                  <c:v>9.043703343610396</c:v>
                </c:pt>
                <c:pt idx="110">
                  <c:v>9.2211378817976204</c:v>
                </c:pt>
                <c:pt idx="111">
                  <c:v>9.4003746284153831</c:v>
                </c:pt>
                <c:pt idx="112">
                  <c:v>9.5814147055417944</c:v>
                </c:pt>
                <c:pt idx="113">
                  <c:v>9.7642592110073068</c:v>
                </c:pt>
                <c:pt idx="114">
                  <c:v>9.9489092186616883</c:v>
                </c:pt>
                <c:pt idx="115">
                  <c:v>10.135365778634327</c:v>
                </c:pt>
                <c:pt idx="116">
                  <c:v>10.323629917588118</c:v>
                </c:pt>
                <c:pt idx="117">
                  <c:v>10.513702638967148</c:v>
                </c:pt>
                <c:pt idx="118">
                  <c:v>10.705584923238398</c:v>
                </c:pt>
                <c:pt idx="119">
                  <c:v>10.899277728127668</c:v>
                </c:pt>
                <c:pt idx="120">
                  <c:v>11.094781988849929</c:v>
                </c:pt>
                <c:pt idx="121">
                  <c:v>11.292098618334286</c:v>
                </c:pt>
                <c:pt idx="122">
                  <c:v>11.491228507443736</c:v>
                </c:pt>
                <c:pt idx="123">
                  <c:v>11.692172525189893</c:v>
                </c:pt>
                <c:pt idx="124">
                  <c:v>11.89493151894286</c:v>
                </c:pt>
                <c:pt idx="125">
                  <c:v>12.099506314636391</c:v>
                </c:pt>
                <c:pt idx="126">
                  <c:v>12.305897716968516</c:v>
                </c:pt>
                <c:pt idx="127">
                  <c:v>12.514106509597759</c:v>
                </c:pt>
                <c:pt idx="128">
                  <c:v>12.724133455335108</c:v>
                </c:pt>
                <c:pt idx="129">
                  <c:v>12.935978940176838</c:v>
                </c:pt>
                <c:pt idx="130">
                  <c:v>13.149642615891278</c:v>
                </c:pt>
                <c:pt idx="131">
                  <c:v>13.365123754472652</c:v>
                </c:pt>
                <c:pt idx="132">
                  <c:v>13.582421604059677</c:v>
                </c:pt>
                <c:pt idx="133">
                  <c:v>13.801535389160628</c:v>
                </c:pt>
                <c:pt idx="134">
                  <c:v>14.022464310874064</c:v>
                </c:pt>
                <c:pt idx="135">
                  <c:v>14.245207547105325</c:v>
                </c:pt>
                <c:pt idx="136">
                  <c:v>14.469764252778976</c:v>
                </c:pt>
                <c:pt idx="137">
                  <c:v>14.696133560047281</c:v>
                </c:pt>
                <c:pt idx="138">
                  <c:v>14.924314578494876</c:v>
                </c:pt>
                <c:pt idx="139">
                  <c:v>15.15430639533972</c:v>
                </c:pt>
                <c:pt idx="140">
                  <c:v>15.386108075630466</c:v>
                </c:pt>
                <c:pt idx="141">
                  <c:v>15.619718662440356</c:v>
                </c:pt>
                <c:pt idx="142">
                  <c:v>15.85513717705774</c:v>
                </c:pt>
                <c:pt idx="143">
                  <c:v>16.092362619173329</c:v>
                </c:pt>
                <c:pt idx="144">
                  <c:v>16.331393967064272</c:v>
                </c:pt>
                <c:pt idx="145">
                  <c:v>16.572230177775165</c:v>
                </c:pt>
                <c:pt idx="146">
                  <c:v>16.814870187296076</c:v>
                </c:pt>
                <c:pt idx="147">
                  <c:v>17.05931291073767</c:v>
                </c:pt>
                <c:pt idx="148">
                  <c:v>17.305557242503529</c:v>
                </c:pt>
                <c:pt idx="149">
                  <c:v>17.553602056459738</c:v>
                </c:pt>
                <c:pt idx="150">
                  <c:v>17.803446206101839</c:v>
                </c:pt>
                <c:pt idx="151">
                  <c:v>18.055088524719189</c:v>
                </c:pt>
                <c:pt idx="152">
                  <c:v>18.308527825556837</c:v>
                </c:pt>
                <c:pt idx="153">
                  <c:v>18.563762901974975</c:v>
                </c:pt>
                <c:pt idx="154">
                  <c:v>18.820792527606027</c:v>
                </c:pt>
                <c:pt idx="155">
                  <c:v>19.079615456509444</c:v>
                </c:pt>
                <c:pt idx="156">
                  <c:v>19.340230423324268</c:v>
                </c:pt>
                <c:pt idx="157">
                  <c:v>19.602636143419549</c:v>
                </c:pt>
                <c:pt idx="158">
                  <c:v>19.866831313042642</c:v>
                </c:pt>
                <c:pt idx="159">
                  <c:v>20.132814609465459</c:v>
                </c:pt>
                <c:pt idx="160">
                  <c:v>20.400584691128735</c:v>
                </c:pt>
                <c:pt idx="161">
                  <c:v>20.670140197784349</c:v>
                </c:pt>
                <c:pt idx="162">
                  <c:v>20.941479750635764</c:v>
                </c:pt>
                <c:pt idx="163">
                  <c:v>21.214601952476645</c:v>
                </c:pt>
                <c:pt idx="164">
                  <c:v>21.489505387827666</c:v>
                </c:pt>
                <c:pt idx="165">
                  <c:v>21.766188623071606</c:v>
                </c:pt>
                <c:pt idx="166">
                  <c:v>22.044650206586734</c:v>
                </c:pt>
                <c:pt idx="167">
                  <c:v>22.324888668878557</c:v>
                </c:pt>
                <c:pt idx="168">
                  <c:v>22.606902522709962</c:v>
                </c:pt>
                <c:pt idx="169">
                  <c:v>22.890690263229793</c:v>
                </c:pt>
                <c:pt idx="170">
                  <c:v>23.176250368099907</c:v>
                </c:pt>
                <c:pt idx="171">
                  <c:v>23.463581297620745</c:v>
                </c:pt>
                <c:pt idx="172">
                  <c:v>23.752681494855459</c:v>
                </c:pt>
                <c:pt idx="173">
                  <c:v>24.04354938575263</c:v>
                </c:pt>
                <c:pt idx="174">
                  <c:v>24.336183379267609</c:v>
                </c:pt>
                <c:pt idx="175">
                  <c:v>24.630581867482523</c:v>
                </c:pt>
                <c:pt idx="176">
                  <c:v>24.926743225724973</c:v>
                </c:pt>
                <c:pt idx="177">
                  <c:v>25.224665812685458</c:v>
                </c:pt>
                <c:pt idx="178">
                  <c:v>25.524347970533562</c:v>
                </c:pt>
                <c:pt idx="179">
                  <c:v>25.825788025032914</c:v>
                </c:pt>
                <c:pt idx="180">
                  <c:v>26.128984285654983</c:v>
                </c:pt>
                <c:pt idx="181">
                  <c:v>26.433935045691715</c:v>
                </c:pt>
                <c:pt idx="182">
                  <c:v>26.74063858236703</c:v>
                </c:pt>
                <c:pt idx="183">
                  <c:v>27.049093156947237</c:v>
                </c:pt>
                <c:pt idx="184">
                  <c:v>27.359297014850362</c:v>
                </c:pt>
                <c:pt idx="185">
                  <c:v>27.671248385754446</c:v>
                </c:pt>
                <c:pt idx="186">
                  <c:v>27.984945483704784</c:v>
                </c:pt>
                <c:pt idx="187">
                  <c:v>28.300386507220217</c:v>
                </c:pt>
                <c:pt idx="188">
                  <c:v>28.61756963939839</c:v>
                </c:pt>
                <c:pt idx="189">
                  <c:v>28.936493048020097</c:v>
                </c:pt>
                <c:pt idx="190">
                  <c:v>29.257154885652682</c:v>
                </c:pt>
                <c:pt idx="191">
                  <c:v>29.579553289752511</c:v>
                </c:pt>
                <c:pt idx="192">
                  <c:v>29.903686382766583</c:v>
                </c:pt>
                <c:pt idx="193">
                  <c:v>30.229552272233249</c:v>
                </c:pt>
                <c:pt idx="194">
                  <c:v>30.557149050882082</c:v>
                </c:pt>
                <c:pt idx="195">
                  <c:v>30.886474796732912</c:v>
                </c:pt>
                <c:pt idx="196">
                  <c:v>31.217527573194069</c:v>
                </c:pt>
                <c:pt idx="197">
                  <c:v>31.550305429159792</c:v>
                </c:pt>
                <c:pt idx="198">
                  <c:v>31.884806399106886</c:v>
                </c:pt>
                <c:pt idx="199">
                  <c:v>32.221028503190603</c:v>
                </c:pt>
                <c:pt idx="200">
                  <c:v>32.558969747339788</c:v>
                </c:pt>
                <c:pt idx="201">
                  <c:v>32.898628123351273</c:v>
                </c:pt>
                <c:pt idx="202">
                  <c:v>33.240001608983583</c:v>
                </c:pt>
                <c:pt idx="203">
                  <c:v>33.583088168049919</c:v>
                </c:pt>
                <c:pt idx="204">
                  <c:v>33.927885750510455</c:v>
                </c:pt>
                <c:pt idx="205">
                  <c:v>34.274392292563988</c:v>
                </c:pt>
                <c:pt idx="206">
                  <c:v>34.622605624586022</c:v>
                </c:pt>
                <c:pt idx="207">
                  <c:v>34.972523378825947</c:v>
                </c:pt>
                <c:pt idx="208">
                  <c:v>35.324143081360248</c:v>
                </c:pt>
                <c:pt idx="209">
                  <c:v>35.677462244289629</c:v>
                </c:pt>
                <c:pt idx="210">
                  <c:v>36.032478365835992</c:v>
                </c:pt>
                <c:pt idx="211">
                  <c:v>36.389188930438685</c:v>
                </c:pt>
                <c:pt idx="212">
                  <c:v>36.747591408850184</c:v>
                </c:pt>
                <c:pt idx="213">
                  <c:v>37.107683258231077</c:v>
                </c:pt>
                <c:pt idx="214">
                  <c:v>37.46946192224447</c:v>
                </c:pt>
                <c:pt idx="215">
                  <c:v>37.832924831149761</c:v>
                </c:pt>
                <c:pt idx="216">
                  <c:v>38.198069401895815</c:v>
                </c:pt>
                <c:pt idx="217">
                  <c:v>38.564893038213576</c:v>
                </c:pt>
                <c:pt idx="218">
                  <c:v>38.933393130708069</c:v>
                </c:pt>
                <c:pt idx="219">
                  <c:v>39.303567056949859</c:v>
                </c:pt>
                <c:pt idx="220">
                  <c:v>39.675412181565946</c:v>
                </c:pt>
                <c:pt idx="221">
                  <c:v>40.048925856330108</c:v>
                </c:pt>
                <c:pt idx="222">
                  <c:v>40.424105420252715</c:v>
                </c:pt>
                <c:pt idx="223">
                  <c:v>40.800948199670017</c:v>
                </c:pt>
                <c:pt idx="224">
                  <c:v>41.179451508332889</c:v>
                </c:pt>
                <c:pt idx="225">
                  <c:v>41.559612647495086</c:v>
                </c:pt>
                <c:pt idx="226">
                  <c:v>41.941428906001008</c:v>
                </c:pt>
                <c:pt idx="227">
                  <c:v>42.324897560372932</c:v>
                </c:pt>
                <c:pt idx="228">
                  <c:v>42.710015874897792</c:v>
                </c:pt>
                <c:pt idx="229">
                  <c:v>43.096781101713468</c:v>
                </c:pt>
                <c:pt idx="230">
                  <c:v>43.485190480894587</c:v>
                </c:pt>
                <c:pt idx="231">
                  <c:v>43.875241240537896</c:v>
                </c:pt>
                <c:pt idx="232">
                  <c:v>44.266930596847146</c:v>
                </c:pt>
                <c:pt idx="233">
                  <c:v>44.660255754217545</c:v>
                </c:pt>
                <c:pt idx="234">
                  <c:v>45.055213905319754</c:v>
                </c:pt>
                <c:pt idx="235">
                  <c:v>45.45180223118345</c:v>
                </c:pt>
                <c:pt idx="236">
                  <c:v>45.850017901280467</c:v>
                </c:pt>
                <c:pt idx="237">
                  <c:v>46.249858073607506</c:v>
                </c:pt>
                <c:pt idx="238">
                  <c:v>46.651319894768427</c:v>
                </c:pt>
                <c:pt idx="239">
                  <c:v>47.054400500056119</c:v>
                </c:pt>
                <c:pt idx="240">
                  <c:v>47.459097013533984</c:v>
                </c:pt>
                <c:pt idx="241">
                  <c:v>47.865406548116994</c:v>
                </c:pt>
                <c:pt idx="242">
                  <c:v>48.273325880103613</c:v>
                </c:pt>
                <c:pt idx="243">
                  <c:v>48.682851123005491</c:v>
                </c:pt>
                <c:pt idx="244">
                  <c:v>49.093978052384671</c:v>
                </c:pt>
                <c:pt idx="245">
                  <c:v>49.506702431405927</c:v>
                </c:pt>
                <c:pt idx="246">
                  <c:v>49.921020010943195</c:v>
                </c:pt>
                <c:pt idx="247">
                  <c:v>50.336926529685392</c:v>
                </c:pt>
                <c:pt idx="248">
                  <c:v>50.754417714241754</c:v>
                </c:pt>
                <c:pt idx="249">
                  <c:v>51.173489279246567</c:v>
                </c:pt>
                <c:pt idx="250">
                  <c:v>51.594136927463417</c:v>
                </c:pt>
                <c:pt idx="251">
                  <c:v>52.016356349888866</c:v>
                </c:pt>
                <c:pt idx="252">
                  <c:v>52.440143225855614</c:v>
                </c:pt>
                <c:pt idx="253">
                  <c:v>52.865493223135168</c:v>
                </c:pt>
                <c:pt idx="254">
                  <c:v>53.292401998039935</c:v>
                </c:pt>
                <c:pt idx="255">
                  <c:v>53.720865195524873</c:v>
                </c:pt>
                <c:pt idx="256">
                  <c:v>54.15087844928857</c:v>
                </c:pt>
                <c:pt idx="257">
                  <c:v>54.582437381873874</c:v>
                </c:pt>
                <c:pt idx="258">
                  <c:v>55.015537604767985</c:v>
                </c:pt>
                <c:pt idx="259">
                  <c:v>55.450174718502069</c:v>
                </c:pt>
                <c:pt idx="260">
                  <c:v>55.886344312750396</c:v>
                </c:pt>
                <c:pt idx="261">
                  <c:v>56.324041966428965</c:v>
                </c:pt>
                <c:pt idx="262">
                  <c:v>56.76326324779366</c:v>
                </c:pt>
                <c:pt idx="263">
                  <c:v>57.20400371453794</c:v>
                </c:pt>
                <c:pt idx="264">
                  <c:v>57.64625891389003</c:v>
                </c:pt>
                <c:pt idx="265">
                  <c:v>58.090024382709657</c:v>
                </c:pt>
                <c:pt idx="266">
                  <c:v>58.535295647584306</c:v>
                </c:pt>
                <c:pt idx="267">
                  <c:v>58.982068224925037</c:v>
                </c:pt>
                <c:pt idx="268">
                  <c:v>59.43033762106181</c:v>
                </c:pt>
                <c:pt idx="269">
                  <c:v>59.880099332338361</c:v>
                </c:pt>
                <c:pt idx="270">
                  <c:v>60.331348845206641</c:v>
                </c:pt>
                <c:pt idx="271">
                  <c:v>60.784081636320771</c:v>
                </c:pt>
                <c:pt idx="272">
                  <c:v>61.238293172630577</c:v>
                </c:pt>
                <c:pt idx="273">
                  <c:v>61.693978911474659</c:v>
                </c:pt>
                <c:pt idx="274">
                  <c:v>62.151134300673029</c:v>
                </c:pt>
                <c:pt idx="275">
                  <c:v>62.609754778619298</c:v>
                </c:pt>
                <c:pt idx="276">
                  <c:v>63.069835774372415</c:v>
                </c:pt>
                <c:pt idx="277">
                  <c:v>63.531372707747998</c:v>
                </c:pt>
                <c:pt idx="278">
                  <c:v>63.994360989409202</c:v>
                </c:pt>
                <c:pt idx="279">
                  <c:v>64.458796020957166</c:v>
                </c:pt>
                <c:pt idx="280">
                  <c:v>64.924673195021043</c:v>
                </c:pt>
                <c:pt idx="281">
                  <c:v>65.391987895347569</c:v>
                </c:pt>
                <c:pt idx="282">
                  <c:v>65.860735496890243</c:v>
                </c:pt>
                <c:pt idx="283">
                  <c:v>66.330911365898061</c:v>
                </c:pt>
                <c:pt idx="284">
                  <c:v>66.802511250824068</c:v>
                </c:pt>
                <c:pt idx="285">
                  <c:v>67.27553167388956</c:v>
                </c:pt>
                <c:pt idx="286">
                  <c:v>67.749969541005655</c:v>
                </c:pt>
                <c:pt idx="287">
                  <c:v>68.225821751024668</c:v>
                </c:pt>
                <c:pt idx="288">
                  <c:v>68.703085195799474</c:v>
                </c:pt>
                <c:pt idx="289">
                  <c:v>69.18175676024255</c:v>
                </c:pt>
                <c:pt idx="290">
                  <c:v>69.661833322384908</c:v>
                </c:pt>
                <c:pt idx="291">
                  <c:v>70.143311753434659</c:v>
                </c:pt>
                <c:pt idx="292">
                  <c:v>70.626188917835478</c:v>
                </c:pt>
                <c:pt idx="293">
                  <c:v>71.110461673324764</c:v>
                </c:pt>
                <c:pt idx="294">
                  <c:v>71.596126870991554</c:v>
                </c:pt>
                <c:pt idx="295">
                  <c:v>72.083181355334304</c:v>
                </c:pt>
                <c:pt idx="296">
                  <c:v>72.571621964318354</c:v>
                </c:pt>
                <c:pt idx="297">
                  <c:v>73.061445529433186</c:v>
                </c:pt>
                <c:pt idx="298">
                  <c:v>73.552648875749526</c:v>
                </c:pt>
                <c:pt idx="299">
                  <c:v>74.045228821976139</c:v>
                </c:pt>
                <c:pt idx="300">
                  <c:v>74.539182180516406</c:v>
                </c:pt>
                <c:pt idx="301">
                  <c:v>75.034505757524769</c:v>
                </c:pt>
                <c:pt idx="302">
                  <c:v>75.531196352962851</c:v>
                </c:pt>
                <c:pt idx="303">
                  <c:v>76.029250760655401</c:v>
                </c:pt>
                <c:pt idx="304">
                  <c:v>76.528665768346016</c:v>
                </c:pt>
                <c:pt idx="305">
                  <c:v>77.029438157752679</c:v>
                </c:pt>
                <c:pt idx="306">
                  <c:v>77.53156470462298</c:v>
                </c:pt>
                <c:pt idx="307">
                  <c:v>78.035042178789226</c:v>
                </c:pt>
                <c:pt idx="308">
                  <c:v>78.539867344223296</c:v>
                </c:pt>
                <c:pt idx="309">
                  <c:v>79.046036959091239</c:v>
                </c:pt>
                <c:pt idx="310">
                  <c:v>79.553547775807715</c:v>
                </c:pt>
                <c:pt idx="311">
                  <c:v>80.06239654109018</c:v>
                </c:pt>
                <c:pt idx="312">
                  <c:v>80.572579996012891</c:v>
                </c:pt>
                <c:pt idx="313">
                  <c:v>81.084094876060661</c:v>
                </c:pt>
                <c:pt idx="314">
                  <c:v>81.596937911182422</c:v>
                </c:pt>
                <c:pt idx="315">
                  <c:v>82.111105825844547</c:v>
                </c:pt>
                <c:pt idx="316">
                  <c:v>82.626595339084005</c:v>
                </c:pt>
                <c:pt idx="317">
                  <c:v>83.143403164561263</c:v>
                </c:pt>
                <c:pt idx="318">
                  <c:v>83.661526010612988</c:v>
                </c:pt>
                <c:pt idx="319">
                  <c:v>84.180960580304543</c:v>
                </c:pt>
                <c:pt idx="320">
                  <c:v>84.701703571482255</c:v>
                </c:pt>
                <c:pt idx="321">
                  <c:v>85.223751676825486</c:v>
                </c:pt>
                <c:pt idx="322">
                  <c:v>85.747101583898498</c:v>
                </c:pt>
                <c:pt idx="323">
                  <c:v>86.271749975202098</c:v>
                </c:pt>
                <c:pt idx="324">
                  <c:v>86.797693528225039</c:v>
                </c:pt>
                <c:pt idx="325">
                  <c:v>87.324928915495278</c:v>
                </c:pt>
                <c:pt idx="326">
                  <c:v>87.853452829123157</c:v>
                </c:pt>
                <c:pt idx="327">
                  <c:v>88.383262005376949</c:v>
                </c:pt>
                <c:pt idx="328">
                  <c:v>88.914353200268607</c:v>
                </c:pt>
                <c:pt idx="329">
                  <c:v>89.446723165105908</c:v>
                </c:pt>
                <c:pt idx="330">
                  <c:v>89.980368646541223</c:v>
                </c:pt>
                <c:pt idx="331">
                  <c:v>90.515286386620133</c:v>
                </c:pt>
                <c:pt idx="332">
                  <c:v>91.051473122829819</c:v>
                </c:pt>
                <c:pt idx="333">
                  <c:v>91.58892558814722</c:v>
                </c:pt>
                <c:pt idx="334">
                  <c:v>92.127640511087066</c:v>
                </c:pt>
                <c:pt idx="335">
                  <c:v>92.667614615749628</c:v>
                </c:pt>
                <c:pt idx="336">
                  <c:v>93.208844621868352</c:v>
                </c:pt>
                <c:pt idx="337">
                  <c:v>93.751327244857222</c:v>
                </c:pt>
                <c:pt idx="338">
                  <c:v>94.295059195857974</c:v>
                </c:pt>
                <c:pt idx="339">
                  <c:v>94.840037181787082</c:v>
                </c:pt>
                <c:pt idx="340">
                  <c:v>95.386257905382607</c:v>
                </c:pt>
                <c:pt idx="341">
                  <c:v>95.933718065250716</c:v>
                </c:pt>
                <c:pt idx="342">
                  <c:v>96.482414355912169</c:v>
                </c:pt>
                <c:pt idx="343">
                  <c:v>97.032343467848492</c:v>
                </c:pt>
                <c:pt idx="344">
                  <c:v>97.583502087547998</c:v>
                </c:pt>
                <c:pt idx="345">
                  <c:v>98.1358868975516</c:v>
                </c:pt>
                <c:pt idx="346">
                  <c:v>98.689494576498419</c:v>
                </c:pt>
                <c:pt idx="347">
                  <c:v>99.244321799171246</c:v>
                </c:pt>
                <c:pt idx="348">
                  <c:v>99.800365236541722</c:v>
                </c:pt>
                <c:pt idx="349">
                  <c:v>100.35762155581538</c:v>
                </c:pt>
                <c:pt idx="350">
                  <c:v>100.91608742047653</c:v>
                </c:pt>
                <c:pt idx="351">
                  <c:v>101.47575949033281</c:v>
                </c:pt>
                <c:pt idx="352">
                  <c:v>102.03663442155967</c:v>
                </c:pt>
                <c:pt idx="353">
                  <c:v>102.59870886674466</c:v>
                </c:pt>
                <c:pt idx="354">
                  <c:v>103.16197947493143</c:v>
                </c:pt>
                <c:pt idx="355">
                  <c:v>103.72644289166357</c:v>
                </c:pt>
                <c:pt idx="356">
                  <c:v>104.29209575902833</c:v>
                </c:pt>
                <c:pt idx="357">
                  <c:v>104.85893471570003</c:v>
                </c:pt>
                <c:pt idx="358">
                  <c:v>105.42695639698336</c:v>
                </c:pt>
                <c:pt idx="359">
                  <c:v>105.99615743485643</c:v>
                </c:pt>
                <c:pt idx="360">
                  <c:v>106.56653445801368</c:v>
                </c:pt>
                <c:pt idx="361">
                  <c:v>107.13808409190855</c:v>
                </c:pt>
                <c:pt idx="362">
                  <c:v>107.71080295879597</c:v>
                </c:pt>
                <c:pt idx="363">
                  <c:v>108.28468767777463</c:v>
                </c:pt>
                <c:pt idx="364">
                  <c:v>108.85973486482912</c:v>
                </c:pt>
                <c:pt idx="365">
                  <c:v>109.43594113287182</c:v>
                </c:pt>
                <c:pt idx="366">
                  <c:v>110.01330372359725</c:v>
                </c:pt>
                <c:pt idx="367">
                  <c:v>110.59182113999995</c:v>
                </c:pt>
                <c:pt idx="368">
                  <c:v>111.17149251501723</c:v>
                </c:pt>
                <c:pt idx="369">
                  <c:v>111.75231697949451</c:v>
                </c:pt>
                <c:pt idx="370">
                  <c:v>112.33429366219931</c:v>
                </c:pt>
                <c:pt idx="371">
                  <c:v>112.91742168983535</c:v>
                </c:pt>
                <c:pt idx="372">
                  <c:v>113.5017001870565</c:v>
                </c:pt>
                <c:pt idx="373">
                  <c:v>114.0871282764808</c:v>
                </c:pt>
                <c:pt idx="374">
                  <c:v>114.67370507870436</c:v>
                </c:pt>
                <c:pt idx="375">
                  <c:v>115.26142971231528</c:v>
                </c:pt>
                <c:pt idx="376">
                  <c:v>115.85030129390755</c:v>
                </c:pt>
                <c:pt idx="377">
                  <c:v>116.44031893809492</c:v>
                </c:pt>
                <c:pt idx="378">
                  <c:v>117.03148175752467</c:v>
                </c:pt>
                <c:pt idx="379">
                  <c:v>117.62378886289149</c:v>
                </c:pt>
                <c:pt idx="380">
                  <c:v>118.21723936295116</c:v>
                </c:pt>
                <c:pt idx="381">
                  <c:v>118.81183167834676</c:v>
                </c:pt>
                <c:pt idx="382">
                  <c:v>119.40756285475918</c:v>
                </c:pt>
                <c:pt idx="383">
                  <c:v>120.0044292487363</c:v>
                </c:pt>
                <c:pt idx="384">
                  <c:v>120.60242721421224</c:v>
                </c:pt>
                <c:pt idx="385">
                  <c:v>121.2015531025496</c:v>
                </c:pt>
                <c:pt idx="386">
                  <c:v>121.80180326258152</c:v>
                </c:pt>
                <c:pt idx="387">
                  <c:v>122.40317404065351</c:v>
                </c:pt>
                <c:pt idx="388">
                  <c:v>123.00566178066511</c:v>
                </c:pt>
                <c:pt idx="389">
                  <c:v>123.60926282411123</c:v>
                </c:pt>
                <c:pt idx="390">
                  <c:v>124.21397351012342</c:v>
                </c:pt>
                <c:pt idx="391">
                  <c:v>124.81979017551082</c:v>
                </c:pt>
                <c:pt idx="392">
                  <c:v>125.42670915480095</c:v>
                </c:pt>
                <c:pt idx="393">
                  <c:v>126.03472678028027</c:v>
                </c:pt>
                <c:pt idx="394">
                  <c:v>126.64383938203451</c:v>
                </c:pt>
                <c:pt idx="395">
                  <c:v>127.25404328798888</c:v>
                </c:pt>
                <c:pt idx="396">
                  <c:v>127.86533482394788</c:v>
                </c:pt>
                <c:pt idx="397">
                  <c:v>128.47771031363513</c:v>
                </c:pt>
                <c:pt idx="398">
                  <c:v>129.09116607873281</c:v>
                </c:pt>
                <c:pt idx="399">
                  <c:v>129.70569843892099</c:v>
                </c:pt>
                <c:pt idx="400">
                  <c:v>130.3213037119167</c:v>
                </c:pt>
                <c:pt idx="401">
                  <c:v>130.93797767056347</c:v>
                </c:pt>
                <c:pt idx="402">
                  <c:v>131.55571499945859</c:v>
                </c:pt>
                <c:pt idx="403">
                  <c:v>132.17450983776669</c:v>
                </c:pt>
                <c:pt idx="404">
                  <c:v>132.79435632250923</c:v>
                </c:pt>
                <c:pt idx="405">
                  <c:v>133.41524858862977</c:v>
                </c:pt>
                <c:pt idx="406">
                  <c:v>134.03718076905884</c:v>
                </c:pt>
                <c:pt idx="407">
                  <c:v>134.66014699477827</c:v>
                </c:pt>
                <c:pt idx="408">
                  <c:v>135.28414139488532</c:v>
                </c:pt>
                <c:pt idx="409">
                  <c:v>135.909158096656</c:v>
                </c:pt>
                <c:pt idx="410">
                  <c:v>136.53519122560823</c:v>
                </c:pt>
                <c:pt idx="411">
                  <c:v>137.16223189712676</c:v>
                </c:pt>
                <c:pt idx="412">
                  <c:v>137.79026520580527</c:v>
                </c:pt>
                <c:pt idx="413">
                  <c:v>138.41927323346113</c:v>
                </c:pt>
                <c:pt idx="414">
                  <c:v>139.04923805955698</c:v>
                </c:pt>
                <c:pt idx="415">
                  <c:v>139.68014176151033</c:v>
                </c:pt>
                <c:pt idx="416">
                  <c:v>140.31196641499966</c:v>
                </c:pt>
                <c:pt idx="417">
                  <c:v>140.94469409426745</c:v>
                </c:pt>
                <c:pt idx="418">
                  <c:v>141.57830687241963</c:v>
                </c:pt>
                <c:pt idx="419">
                  <c:v>142.21278682172183</c:v>
                </c:pt>
                <c:pt idx="420">
                  <c:v>142.84811429833854</c:v>
                </c:pt>
                <c:pt idx="421">
                  <c:v>143.48426622606985</c:v>
                </c:pt>
                <c:pt idx="422">
                  <c:v>144.12121781240506</c:v>
                </c:pt>
                <c:pt idx="423">
                  <c:v>144.75894426567788</c:v>
                </c:pt>
                <c:pt idx="424">
                  <c:v>145.39742079555646</c:v>
                </c:pt>
                <c:pt idx="425">
                  <c:v>146.03662261352747</c:v>
                </c:pt>
                <c:pt idx="426">
                  <c:v>146.67652493337386</c:v>
                </c:pt>
                <c:pt idx="427">
                  <c:v>147.31710297164639</c:v>
                </c:pt>
                <c:pt idx="428">
                  <c:v>147.95833194812906</c:v>
                </c:pt>
                <c:pt idx="429">
                  <c:v>148.60018708629832</c:v>
                </c:pt>
                <c:pt idx="430">
                  <c:v>149.24264361377604</c:v>
                </c:pt>
                <c:pt idx="431">
                  <c:v>149.88567676277637</c:v>
                </c:pt>
                <c:pt idx="432">
                  <c:v>150.5292589969541</c:v>
                </c:pt>
                <c:pt idx="433">
                  <c:v>151.17335723742559</c:v>
                </c:pt>
                <c:pt idx="434">
                  <c:v>151.81793563837221</c:v>
                </c:pt>
                <c:pt idx="435">
                  <c:v>152.46295836367497</c:v>
                </c:pt>
                <c:pt idx="436">
                  <c:v>153.1083895877596</c:v>
                </c:pt>
                <c:pt idx="437">
                  <c:v>153.75419349642863</c:v>
                </c:pt>
                <c:pt idx="438">
                  <c:v>154.40033428768066</c:v>
                </c:pt>
                <c:pt idx="439">
                  <c:v>155.04677617251679</c:v>
                </c:pt>
                <c:pt idx="440">
                  <c:v>155.69348337573402</c:v>
                </c:pt>
                <c:pt idx="441">
                  <c:v>156.34042013670594</c:v>
                </c:pt>
                <c:pt idx="442">
                  <c:v>156.98755239947235</c:v>
                </c:pt>
                <c:pt idx="443">
                  <c:v>157.63484950279621</c:v>
                </c:pt>
                <c:pt idx="444">
                  <c:v>158.28228248984124</c:v>
                </c:pt>
                <c:pt idx="445">
                  <c:v>158.92982241772773</c:v>
                </c:pt>
                <c:pt idx="446">
                  <c:v>159.57744035799436</c:v>
                </c:pt>
                <c:pt idx="447">
                  <c:v>160.22510739705149</c:v>
                </c:pt>
                <c:pt idx="448">
                  <c:v>160.87279463662603</c:v>
                </c:pt>
                <c:pt idx="449">
                  <c:v>161.52047319419779</c:v>
                </c:pt>
                <c:pt idx="450">
                  <c:v>162.16811420342762</c:v>
                </c:pt>
                <c:pt idx="451">
                  <c:v>162.81568881457687</c:v>
                </c:pt>
                <c:pt idx="452">
                  <c:v>163.46316819491864</c:v>
                </c:pt>
                <c:pt idx="453">
                  <c:v>164.11052595625503</c:v>
                </c:pt>
                <c:pt idx="454">
                  <c:v>164.75774058181318</c:v>
                </c:pt>
                <c:pt idx="455">
                  <c:v>165.40479299619182</c:v>
                </c:pt>
                <c:pt idx="456">
                  <c:v>166.05166413579309</c:v>
                </c:pt>
                <c:pt idx="457">
                  <c:v>166.69833494895579</c:v>
                </c:pt>
                <c:pt idx="458">
                  <c:v>167.3447863960848</c:v>
                </c:pt>
                <c:pt idx="459">
                  <c:v>167.99099944977706</c:v>
                </c:pt>
                <c:pt idx="460">
                  <c:v>168.63695509494403</c:v>
                </c:pt>
                <c:pt idx="461">
                  <c:v>169.28263651874266</c:v>
                </c:pt>
                <c:pt idx="462">
                  <c:v>169.92803129973868</c:v>
                </c:pt>
                <c:pt idx="463">
                  <c:v>170.5731292149402</c:v>
                </c:pt>
                <c:pt idx="464">
                  <c:v>171.21792004754101</c:v>
                </c:pt>
                <c:pt idx="465">
                  <c:v>171.86239358692379</c:v>
                </c:pt>
                <c:pt idx="466">
                  <c:v>172.50653778598695</c:v>
                </c:pt>
                <c:pt idx="467">
                  <c:v>173.15033691917151</c:v>
                </c:pt>
                <c:pt idx="468">
                  <c:v>173.79375289353166</c:v>
                </c:pt>
                <c:pt idx="469">
                  <c:v>174.43673170630342</c:v>
                </c:pt>
                <c:pt idx="470">
                  <c:v>175.07924913904003</c:v>
                </c:pt>
                <c:pt idx="471">
                  <c:v>175.7213061375312</c:v>
                </c:pt>
                <c:pt idx="472">
                  <c:v>176.36290364479154</c:v>
                </c:pt>
                <c:pt idx="473">
                  <c:v>177.00404260107177</c:v>
                </c:pt>
                <c:pt idx="474">
                  <c:v>177.64472394386974</c:v>
                </c:pt>
                <c:pt idx="475">
                  <c:v>178.28494860794143</c:v>
                </c:pt>
                <c:pt idx="476">
                  <c:v>178.92471752531205</c:v>
                </c:pt>
                <c:pt idx="477">
                  <c:v>179.56403162528682</c:v>
                </c:pt>
                <c:pt idx="478">
                  <c:v>180.20289183446187</c:v>
                </c:pt>
                <c:pt idx="479">
                  <c:v>180.84129907673508</c:v>
                </c:pt>
                <c:pt idx="480">
                  <c:v>181.4792542733168</c:v>
                </c:pt>
                <c:pt idx="481">
                  <c:v>182.11675834274055</c:v>
                </c:pt>
                <c:pt idx="482">
                  <c:v>182.75381220087368</c:v>
                </c:pt>
                <c:pt idx="483">
                  <c:v>183.39041676092793</c:v>
                </c:pt>
                <c:pt idx="484">
                  <c:v>184.02657293347002</c:v>
                </c:pt>
                <c:pt idx="485">
                  <c:v>184.66228162643205</c:v>
                </c:pt>
                <c:pt idx="486">
                  <c:v>185.29754374512203</c:v>
                </c:pt>
                <c:pt idx="487">
                  <c:v>185.9323601922342</c:v>
                </c:pt>
                <c:pt idx="488">
                  <c:v>186.56673186785937</c:v>
                </c:pt>
                <c:pt idx="489">
                  <c:v>187.20065966949522</c:v>
                </c:pt>
                <c:pt idx="490">
                  <c:v>187.83414449205651</c:v>
                </c:pt>
                <c:pt idx="491">
                  <c:v>188.4671872278852</c:v>
                </c:pt>
                <c:pt idx="492">
                  <c:v>189.09978876676072</c:v>
                </c:pt>
                <c:pt idx="493">
                  <c:v>189.7319499959099</c:v>
                </c:pt>
                <c:pt idx="494">
                  <c:v>190.36367180001707</c:v>
                </c:pt>
                <c:pt idx="495">
                  <c:v>190.99495506123404</c:v>
                </c:pt>
                <c:pt idx="496">
                  <c:v>191.62580065918999</c:v>
                </c:pt>
                <c:pt idx="497">
                  <c:v>192.25620947100134</c:v>
                </c:pt>
                <c:pt idx="498">
                  <c:v>192.88618237128168</c:v>
                </c:pt>
                <c:pt idx="499">
                  <c:v>193.51572023215138</c:v>
                </c:pt>
                <c:pt idx="500">
                  <c:v>194.14482392324751</c:v>
                </c:pt>
                <c:pt idx="501">
                  <c:v>200.41204867404494</c:v>
                </c:pt>
                <c:pt idx="502">
                  <c:v>206.63641560599825</c:v>
                </c:pt>
                <c:pt idx="503">
                  <c:v>212.81877099395328</c:v>
                </c:pt>
                <c:pt idx="504">
                  <c:v>218.959937537184</c:v>
                </c:pt>
                <c:pt idx="505">
                  <c:v>225.06071525300908</c:v>
                </c:pt>
                <c:pt idx="506">
                  <c:v>231.12188232814771</c:v>
                </c:pt>
                <c:pt idx="507">
                  <c:v>237.14419593020742</c:v>
                </c:pt>
                <c:pt idx="508">
                  <c:v>243.12839298153852</c:v>
                </c:pt>
                <c:pt idx="509">
                  <c:v>249.07519089754504</c:v>
                </c:pt>
                <c:pt idx="510">
                  <c:v>254.98528829140653</c:v>
                </c:pt>
                <c:pt idx="511">
                  <c:v>260.85936564704076</c:v>
                </c:pt>
                <c:pt idx="512">
                  <c:v>266.69808596202108</c:v>
                </c:pt>
                <c:pt idx="513">
                  <c:v>272.50209536205506</c:v>
                </c:pt>
                <c:pt idx="514">
                  <c:v>278.27202368853045</c:v>
                </c:pt>
                <c:pt idx="515">
                  <c:v>284.00848506054314</c:v>
                </c:pt>
                <c:pt idx="516">
                  <c:v>289.71207841273377</c:v>
                </c:pt>
                <c:pt idx="517">
                  <c:v>295.38338801018074</c:v>
                </c:pt>
                <c:pt idx="518">
                  <c:v>301.02298394152155</c:v>
                </c:pt>
                <c:pt idx="519">
                  <c:v>306.63142259140579</c:v>
                </c:pt>
                <c:pt idx="520">
                  <c:v>312.209247093317</c:v>
                </c:pt>
                <c:pt idx="521">
                  <c:v>317.75698776374082</c:v>
                </c:pt>
                <c:pt idx="522">
                  <c:v>323.27516251859993</c:v>
                </c:pt>
                <c:pt idx="523">
                  <c:v>328.76427727282328</c:v>
                </c:pt>
                <c:pt idx="524">
                  <c:v>334.224826323868</c:v>
                </c:pt>
                <c:pt idx="525">
                  <c:v>339.65729271996628</c:v>
                </c:pt>
                <c:pt idx="526">
                  <c:v>345.06214861382529</c:v>
                </c:pt>
                <c:pt idx="527">
                  <c:v>350.43985560246932</c:v>
                </c:pt>
                <c:pt idx="528">
                  <c:v>355.79086505387374</c:v>
                </c:pt>
                <c:pt idx="529">
                  <c:v>361.11561842100605</c:v>
                </c:pt>
                <c:pt idx="530">
                  <c:v>366.41454754385518</c:v>
                </c:pt>
                <c:pt idx="531">
                  <c:v>371.68807493999958</c:v>
                </c:pt>
                <c:pt idx="532">
                  <c:v>376.93661408423424</c:v>
                </c:pt>
                <c:pt idx="533">
                  <c:v>382.16056967775046</c:v>
                </c:pt>
                <c:pt idx="534">
                  <c:v>387.36033790733541</c:v>
                </c:pt>
                <c:pt idx="535">
                  <c:v>392.53630669503383</c:v>
                </c:pt>
                <c:pt idx="536">
                  <c:v>397.68885593869283</c:v>
                </c:pt>
                <c:pt idx="537">
                  <c:v>402.81835774378692</c:v>
                </c:pt>
                <c:pt idx="538">
                  <c:v>407.9251766469024</c:v>
                </c:pt>
                <c:pt idx="539">
                  <c:v>413.00966983123897</c:v>
                </c:pt>
                <c:pt idx="540">
                  <c:v>418.07218733446996</c:v>
                </c:pt>
                <c:pt idx="541">
                  <c:v>423.11307224928476</c:v>
                </c:pt>
                <c:pt idx="542">
                  <c:v>428.13266091692122</c:v>
                </c:pt>
                <c:pt idx="543">
                  <c:v>433.13128311398049</c:v>
                </c:pt>
                <c:pt idx="544">
                  <c:v>438.10926223280245</c:v>
                </c:pt>
                <c:pt idx="545">
                  <c:v>443.06691545566667</c:v>
                </c:pt>
                <c:pt idx="546">
                  <c:v>448.00455392307089</c:v>
                </c:pt>
                <c:pt idx="547">
                  <c:v>452.92248289632647</c:v>
                </c:pt>
                <c:pt idx="548">
                  <c:v>457.82100191469976</c:v>
                </c:pt>
                <c:pt idx="549">
                  <c:v>462.70040494731683</c:v>
                </c:pt>
                <c:pt idx="550">
                  <c:v>467.5609805400386</c:v>
                </c:pt>
                <c:pt idx="551">
                  <c:v>472.40301195750499</c:v>
                </c:pt>
                <c:pt idx="552">
                  <c:v>477.22677732053558</c:v>
                </c:pt>
                <c:pt idx="553">
                  <c:v>482.03254973906724</c:v>
                </c:pt>
                <c:pt idx="554">
                  <c:v>486.82059744080016</c:v>
                </c:pt>
                <c:pt idx="555">
                  <c:v>491.59118389571614</c:v>
                </c:pt>
                <c:pt idx="556">
                  <c:v>496.34456793662497</c:v>
                </c:pt>
                <c:pt idx="557">
                  <c:v>501.08100387588894</c:v>
                </c:pt>
                <c:pt idx="558">
                  <c:v>505.80074161846738</c:v>
                </c:pt>
                <c:pt idx="559">
                  <c:v>510.50402677141784</c:v>
                </c:pt>
                <c:pt idx="560">
                  <c:v>515.19110074998378</c:v>
                </c:pt>
                <c:pt idx="561">
                  <c:v>519.86220088039329</c:v>
                </c:pt>
                <c:pt idx="562">
                  <c:v>524.51756049948801</c:v>
                </c:pt>
                <c:pt idx="563">
                  <c:v>529.15740905129564</c:v>
                </c:pt>
                <c:pt idx="564">
                  <c:v>533.78197218065463</c:v>
                </c:pt>
                <c:pt idx="565">
                  <c:v>538.39147182399597</c:v>
                </c:pt>
                <c:pt idx="566">
                  <c:v>542.98612629738022</c:v>
                </c:pt>
                <c:pt idx="567">
                  <c:v>547.56615038188647</c:v>
                </c:pt>
                <c:pt idx="568">
                  <c:v>552.13175540644374</c:v>
                </c:pt>
                <c:pt idx="569">
                  <c:v>556.68314932819158</c:v>
                </c:pt>
                <c:pt idx="570">
                  <c:v>561.22053681045406</c:v>
                </c:pt>
                <c:pt idx="571">
                  <c:v>565.74411929840721</c:v>
                </c:pt>
                <c:pt idx="572">
                  <c:v>570.25409509251563</c:v>
                </c:pt>
                <c:pt idx="573">
                  <c:v>574.75065941981279</c:v>
                </c:pt>
                <c:pt idx="574">
                  <c:v>579.23400450309396</c:v>
                </c:pt>
                <c:pt idx="575">
                  <c:v>583.70431962808948</c:v>
                </c:pt>
                <c:pt idx="576">
                  <c:v>588.16179120868344</c:v>
                </c:pt>
                <c:pt idx="577">
                  <c:v>592.60660285023789</c:v>
                </c:pt>
                <c:pt idx="578">
                  <c:v>597.03893541108323</c:v>
                </c:pt>
                <c:pt idx="579">
                  <c:v>601.4589670622297</c:v>
                </c:pt>
                <c:pt idx="580">
                  <c:v>605.8668733453552</c:v>
                </c:pt>
                <c:pt idx="581">
                  <c:v>610.26282722912083</c:v>
                </c:pt>
                <c:pt idx="582">
                  <c:v>614.64699916386314</c:v>
                </c:pt>
                <c:pt idx="583">
                  <c:v>619.01955713471136</c:v>
                </c:pt>
                <c:pt idx="584">
                  <c:v>623.38066671317438</c:v>
                </c:pt>
                <c:pt idx="585">
                  <c:v>627.7304911072406</c:v>
                </c:pt>
                <c:pt idx="586">
                  <c:v>632.0691912100325</c:v>
                </c:pt>
                <c:pt idx="587">
                  <c:v>636.39692564705535</c:v>
                </c:pt>
                <c:pt idx="588">
                  <c:v>640.71385082207735</c:v>
                </c:pt>
                <c:pt idx="589">
                  <c:v>645.02012096167789</c:v>
                </c:pt>
                <c:pt idx="590">
                  <c:v>649.31588815849761</c:v>
                </c:pt>
                <c:pt idx="591">
                  <c:v>653.60130241322327</c:v>
                </c:pt>
                <c:pt idx="592">
                  <c:v>657.87651167533852</c:v>
                </c:pt>
                <c:pt idx="593">
                  <c:v>662.14166188267029</c:v>
                </c:pt>
                <c:pt idx="594">
                  <c:v>666.39689699975781</c:v>
                </c:pt>
                <c:pt idx="595">
                  <c:v>670.6423590550728</c:v>
                </c:pt>
                <c:pt idx="596">
                  <c:v>674.878188177114</c:v>
                </c:pt>
                <c:pt idx="597">
                  <c:v>679.10452262940078</c:v>
                </c:pt>
                <c:pt idx="598">
                  <c:v>683.32149884438866</c:v>
                </c:pt>
                <c:pt idx="599">
                  <c:v>687.52925145632639</c:v>
                </c:pt>
                <c:pt idx="600">
                  <c:v>691.72791333307612</c:v>
                </c:pt>
                <c:pt idx="601">
                  <c:v>695.91761560691316</c:v>
                </c:pt>
                <c:pt idx="602">
                  <c:v>700.0984877043245</c:v>
                </c:pt>
                <c:pt idx="603">
                  <c:v>704.27065737482019</c:v>
                </c:pt>
                <c:pt idx="604">
                  <c:v>708.43425071877334</c:v>
                </c:pt>
                <c:pt idx="605">
                  <c:v>712.58939221430194</c:v>
                </c:pt>
                <c:pt idx="606">
                  <c:v>716.73620474320444</c:v>
                </c:pt>
                <c:pt idx="607">
                  <c:v>720.87480961595986</c:v>
                </c:pt>
                <c:pt idx="608">
                  <c:v>725.00532659580335</c:v>
                </c:pt>
                <c:pt idx="609">
                  <c:v>729.12787392188363</c:v>
                </c:pt>
                <c:pt idx="610">
                  <c:v>733.24256833151208</c:v>
                </c:pt>
                <c:pt idx="611">
                  <c:v>737.34952508150729</c:v>
                </c:pt>
                <c:pt idx="612">
                  <c:v>741.44885796864173</c:v>
                </c:pt>
                <c:pt idx="613">
                  <c:v>745.54067934919283</c:v>
                </c:pt>
                <c:pt idx="614">
                  <c:v>749.62510015760211</c:v>
                </c:pt>
                <c:pt idx="615">
                  <c:v>753.70222992424215</c:v>
                </c:pt>
                <c:pt idx="616">
                  <c:v>757.77217679229284</c:v>
                </c:pt>
                <c:pt idx="617">
                  <c:v>761.83504753372426</c:v>
                </c:pt>
                <c:pt idx="618">
                  <c:v>765.89094756438476</c:v>
                </c:pt>
                <c:pt idx="619">
                  <c:v>769.93998095818938</c:v>
                </c:pt>
                <c:pt idx="620">
                  <c:v>773.98225046040398</c:v>
                </c:pt>
                <c:pt idx="621">
                  <c:v>778.01785750001898</c:v>
                </c:pt>
                <c:pt idx="622">
                  <c:v>782.04690220120438</c:v>
                </c:pt>
                <c:pt idx="623">
                  <c:v>786.06948339383746</c:v>
                </c:pt>
                <c:pt idx="624">
                  <c:v>790.08569862309253</c:v>
                </c:pt>
                <c:pt idx="625">
                  <c:v>794.09564415808177</c:v>
                </c:pt>
                <c:pt idx="626">
                  <c:v>798.09941499953368</c:v>
                </c:pt>
                <c:pt idx="627">
                  <c:v>802.097104886495</c:v>
                </c:pt>
                <c:pt idx="628">
                  <c:v>806.08880630204158</c:v>
                </c:pt>
                <c:pt idx="629">
                  <c:v>810.07461047797983</c:v>
                </c:pt>
                <c:pt idx="630">
                  <c:v>814.05460739852299</c:v>
                </c:pt>
                <c:pt idx="631">
                  <c:v>818.02888580292165</c:v>
                </c:pt>
                <c:pt idx="632">
                  <c:v>821.9975331870296</c:v>
                </c:pt>
                <c:pt idx="633">
                  <c:v>825.96063580378279</c:v>
                </c:pt>
                <c:pt idx="634">
                  <c:v>829.91827866257074</c:v>
                </c:pt>
                <c:pt idx="635">
                  <c:v>833.87054552747713</c:v>
                </c:pt>
                <c:pt idx="636">
                  <c:v>837.81751891436534</c:v>
                </c:pt>
                <c:pt idx="637">
                  <c:v>841.75928008678682</c:v>
                </c:pt>
                <c:pt idx="638">
                  <c:v>845.69590905068696</c:v>
                </c:pt>
                <c:pt idx="639">
                  <c:v>849.62748454788459</c:v>
                </c:pt>
                <c:pt idx="640">
                  <c:v>853.55408404830109</c:v>
                </c:pt>
                <c:pt idx="641">
                  <c:v>857.47578374091643</c:v>
                </c:pt>
                <c:pt idx="642">
                  <c:v>861.39265852342839</c:v>
                </c:pt>
                <c:pt idx="643">
                  <c:v>865.30478199059564</c:v>
                </c:pt>
                <c:pt idx="644">
                  <c:v>869.21222642124349</c:v>
                </c:pt>
                <c:pt idx="645">
                  <c:v>873.11506276391663</c:v>
                </c:pt>
                <c:pt idx="646">
                  <c:v>877.01336062116468</c:v>
                </c:pt>
                <c:pt idx="647">
                  <c:v>880.90718823244958</c:v>
                </c:pt>
                <c:pt idx="648">
                  <c:v>884.79661245566911</c:v>
                </c:pt>
                <c:pt idx="649">
                  <c:v>888.68169874729551</c:v>
                </c:pt>
                <c:pt idx="650">
                  <c:v>892.56251114113491</c:v>
                </c:pt>
                <c:pt idx="651">
                  <c:v>896.43911222571819</c:v>
                </c:pt>
                <c:pt idx="652">
                  <c:v>900.31156312034477</c:v>
                </c:pt>
                <c:pt idx="653">
                  <c:v>904.17992344980757</c:v>
                </c:pt>
                <c:pt idx="654">
                  <c:v>908.04425131783933</c:v>
                </c:pt>
                <c:pt idx="655">
                  <c:v>911.90460327932954</c:v>
                </c:pt>
                <c:pt idx="656">
                  <c:v>915.76103431137722</c:v>
                </c:pt>
                <c:pt idx="657">
                  <c:v>919.61359778325425</c:v>
                </c:pt>
                <c:pt idx="658">
                  <c:v>923.46234542537297</c:v>
                </c:pt>
                <c:pt idx="659">
                  <c:v>927.30732729736451</c:v>
                </c:pt>
                <c:pt idx="660">
                  <c:v>931.14859175539277</c:v>
                </c:pt>
                <c:pt idx="661">
                  <c:v>934.98618541884673</c:v>
                </c:pt>
                <c:pt idx="662">
                  <c:v>938.82015313657098</c:v>
                </c:pt>
                <c:pt idx="663">
                  <c:v>942.65053795281415</c:v>
                </c:pt>
                <c:pt idx="664">
                  <c:v>946.47738107309294</c:v>
                </c:pt>
                <c:pt idx="665">
                  <c:v>950.30072183018797</c:v>
                </c:pt>
                <c:pt idx="666">
                  <c:v>954.12059765050526</c:v>
                </c:pt>
                <c:pt idx="667">
                  <c:v>957.93704402105368</c:v>
                </c:pt>
                <c:pt idx="668">
                  <c:v>961.7500944573037</c:v>
                </c:pt>
                <c:pt idx="669">
                  <c:v>965.55978047220367</c:v>
                </c:pt>
                <c:pt idx="670">
                  <c:v>969.36613154664178</c:v>
                </c:pt>
                <c:pt idx="671">
                  <c:v>973.1691751016466</c:v>
                </c:pt>
                <c:pt idx="672">
                  <c:v>976.96893647262129</c:v>
                </c:pt>
                <c:pt idx="673">
                  <c:v>980.76543888590629</c:v>
                </c:pt>
                <c:pt idx="674">
                  <c:v>984.55870343795686</c:v>
                </c:pt>
                <c:pt idx="675">
                  <c:v>988.34874907741244</c:v>
                </c:pt>
                <c:pt idx="676">
                  <c:v>992.13559259031592</c:v>
                </c:pt>
                <c:pt idx="677">
                  <c:v>995.91924858872176</c:v>
                </c:pt>
                <c:pt idx="678">
                  <c:v>999.69972950290389</c:v>
                </c:pt>
                <c:pt idx="679">
                  <c:v>1003.4770455773444</c:v>
                </c:pt>
                <c:pt idx="680">
                  <c:v>1007.2512048706483</c:v>
                </c:pt>
                <c:pt idx="681">
                  <c:v>1011.0222132594926</c:v>
                </c:pt>
                <c:pt idx="682">
                  <c:v>1014.7900744466757</c:v>
                </c:pt>
                <c:pt idx="683">
                  <c:v>1018.5547899732929</c:v>
                </c:pt>
                <c:pt idx="684">
                  <c:v>1022.3163592350186</c:v>
                </c:pt>
                <c:pt idx="685">
                  <c:v>1026.0747795024354</c:v>
                </c:pt>
                <c:pt idx="686">
                  <c:v>1029.8300459453078</c:v>
                </c:pt>
                <c:pt idx="687">
                  <c:v>1033.5821516606597</c:v>
                </c:pt>
                <c:pt idx="688">
                  <c:v>1037.3310877044792</c:v>
                </c:pt>
                <c:pt idx="689">
                  <c:v>1041.0768431268425</c:v>
                </c:pt>
                <c:pt idx="690">
                  <c:v>1044.8194050102229</c:v>
                </c:pt>
                <c:pt idx="691">
                  <c:v>1048.558758510723</c:v>
                </c:pt>
                <c:pt idx="692">
                  <c:v>1052.294886901959</c:v>
                </c:pt>
                <c:pt idx="693">
                  <c:v>1056.0277716213059</c:v>
                </c:pt>
                <c:pt idx="694">
                  <c:v>1059.7573923182101</c:v>
                </c:pt>
                <c:pt idx="695">
                  <c:v>1063.4837269042725</c:v>
                </c:pt>
                <c:pt idx="696">
                  <c:v>1067.2067516048032</c:v>
                </c:pt>
                <c:pt idx="697">
                  <c:v>1070.9264410115629</c:v>
                </c:pt>
                <c:pt idx="698">
                  <c:v>1074.6427681364078</c:v>
                </c:pt>
                <c:pt idx="699">
                  <c:v>1078.3557044655718</c:v>
                </c:pt>
                <c:pt idx="700">
                  <c:v>1082.0652200143343</c:v>
                </c:pt>
                <c:pt idx="701">
                  <c:v>1085.7712833818368</c:v>
                </c:pt>
                <c:pt idx="702">
                  <c:v>1089.4738618058327</c:v>
                </c:pt>
                <c:pt idx="703">
                  <c:v>1093.1729212171692</c:v>
                </c:pt>
                <c:pt idx="704">
                  <c:v>1096.8684262938268</c:v>
                </c:pt>
                <c:pt idx="705">
                  <c:v>1100.5603405143531</c:v>
                </c:pt>
                <c:pt idx="706">
                  <c:v>1104.2486262105524</c:v>
                </c:pt>
                <c:pt idx="707">
                  <c:v>1107.9332446193096</c:v>
                </c:pt>
                <c:pt idx="708">
                  <c:v>1111.6141559334435</c:v>
                </c:pt>
                <c:pt idx="709">
                  <c:v>1115.2913193515026</c:v>
                </c:pt>
                <c:pt idx="710">
                  <c:v>1118.9646931264315</c:v>
                </c:pt>
                <c:pt idx="711">
                  <c:v>1122.6342346130505</c:v>
                </c:pt>
                <c:pt idx="712">
                  <c:v>1126.2999003143043</c:v>
                </c:pt>
                <c:pt idx="713">
                  <c:v>1129.9616459262481</c:v>
                </c:pt>
                <c:pt idx="714">
                  <c:v>1133.6194263817472</c:v>
                </c:pt>
                <c:pt idx="715">
                  <c:v>1137.2731958928814</c:v>
                </c:pt>
                <c:pt idx="716">
                  <c:v>1140.9229079920487</c:v>
                </c:pt>
                <c:pt idx="717">
                  <c:v>1144.5685155717715</c:v>
                </c:pt>
                <c:pt idx="718">
                  <c:v>1148.2099709232168</c:v>
                </c:pt>
                <c:pt idx="719">
                  <c:v>1151.8472257734452</c:v>
                </c:pt>
                <c:pt idx="720">
                  <c:v>1155.4802313214084</c:v>
                </c:pt>
                <c:pt idx="721">
                  <c:v>1159.1089382727196</c:v>
                </c:pt>
                <c:pt idx="722">
                  <c:v>1162.7332968732237</c:v>
                </c:pt>
                <c:pt idx="723">
                  <c:v>1166.353256941396</c:v>
                </c:pt>
                <c:pt idx="724">
                  <c:v>1169.9687678996015</c:v>
                </c:pt>
                <c:pt idx="725">
                  <c:v>1173.579778804248</c:v>
                </c:pt>
                <c:pt idx="726">
                  <c:v>1177.1862383748653</c:v>
                </c:pt>
                <c:pt idx="727">
                  <c:v>1180.7880950221465</c:v>
                </c:pt>
                <c:pt idx="728">
                  <c:v>1184.3852968749861</c:v>
                </c:pt>
                <c:pt idx="729">
                  <c:v>1187.9777918065479</c:v>
                </c:pt>
                <c:pt idx="730">
                  <c:v>1191.5655274594005</c:v>
                </c:pt>
                <c:pt idx="731">
                  <c:v>1195.1484512697521</c:v>
                </c:pt>
                <c:pt idx="732">
                  <c:v>1198.7265104908197</c:v>
                </c:pt>
                <c:pt idx="733">
                  <c:v>1202.2996522153658</c:v>
                </c:pt>
                <c:pt idx="734">
                  <c:v>1205.8678233974342</c:v>
                </c:pt>
                <c:pt idx="735">
                  <c:v>1209.4309708733181</c:v>
                </c:pt>
                <c:pt idx="736">
                  <c:v>1212.9890413817886</c:v>
                </c:pt>
                <c:pt idx="737">
                  <c:v>1216.5419815836162</c:v>
                </c:pt>
                <c:pt idx="738">
                  <c:v>1220.0897380804113</c:v>
                </c:pt>
                <c:pt idx="739">
                  <c:v>1223.6322574328128</c:v>
                </c:pt>
                <c:pt idx="740">
                  <c:v>1227.169486178052</c:v>
                </c:pt>
                <c:pt idx="741">
                  <c:v>1230.7013708469153</c:v>
                </c:pt>
                <c:pt idx="742">
                  <c:v>1234.2278579801323</c:v>
                </c:pt>
                <c:pt idx="743">
                  <c:v>1237.7488941442109</c:v>
                </c:pt>
                <c:pt idx="744">
                  <c:v>1241.2644259467443</c:v>
                </c:pt>
                <c:pt idx="745">
                  <c:v>1244.7744000512096</c:v>
                </c:pt>
                <c:pt idx="746">
                  <c:v>1248.2787631912793</c:v>
                </c:pt>
                <c:pt idx="747">
                  <c:v>1251.7774621846645</c:v>
                </c:pt>
                <c:pt idx="748">
                  <c:v>1255.2704439465106</c:v>
                </c:pt>
                <c:pt idx="749">
                  <c:v>1258.7576555023609</c:v>
                </c:pt>
                <c:pt idx="750">
                  <c:v>1262.2390440007077</c:v>
                </c:pt>
                <c:pt idx="751">
                  <c:v>1265.7145567251448</c:v>
                </c:pt>
                <c:pt idx="752">
                  <c:v>1269.1841411061382</c:v>
                </c:pt>
                <c:pt idx="753">
                  <c:v>1272.6477447324301</c:v>
                </c:pt>
                <c:pt idx="754">
                  <c:v>1276.1053153620883</c:v>
                </c:pt>
                <c:pt idx="755">
                  <c:v>1279.5568009332178</c:v>
                </c:pt>
                <c:pt idx="756">
                  <c:v>1283.0021495743433</c:v>
                </c:pt>
                <c:pt idx="757">
                  <c:v>1286.4413096144774</c:v>
                </c:pt>
                <c:pt idx="758">
                  <c:v>1289.8742295928851</c:v>
                </c:pt>
                <c:pt idx="759">
                  <c:v>1293.3008582685557</c:v>
                </c:pt>
                <c:pt idx="760">
                  <c:v>1296.7211446293923</c:v>
                </c:pt>
                <c:pt idx="761">
                  <c:v>1300.1350379011285</c:v>
                </c:pt>
                <c:pt idx="762">
                  <c:v>1303.5424875559831</c:v>
                </c:pt>
                <c:pt idx="763">
                  <c:v>1306.9434433210592</c:v>
                </c:pt>
                <c:pt idx="764">
                  <c:v>1310.3378551864992</c:v>
                </c:pt>
                <c:pt idx="765">
                  <c:v>1313.725673413401</c:v>
                </c:pt>
                <c:pt idx="766">
                  <c:v>1317.1068485415049</c:v>
                </c:pt>
                <c:pt idx="767">
                  <c:v>1320.4813313966583</c:v>
                </c:pt>
                <c:pt idx="768">
                  <c:v>1323.8490730980636</c:v>
                </c:pt>
                <c:pt idx="769">
                  <c:v>1327.2100250653182</c:v>
                </c:pt>
                <c:pt idx="770">
                  <c:v>1330.5641390252511</c:v>
                </c:pt>
                <c:pt idx="771">
                  <c:v>1333.9113670185629</c:v>
                </c:pt>
                <c:pt idx="772">
                  <c:v>1337.2516614062749</c:v>
                </c:pt>
                <c:pt idx="773">
                  <c:v>1340.584974875992</c:v>
                </c:pt>
                <c:pt idx="774">
                  <c:v>1343.9112604479851</c:v>
                </c:pt>
                <c:pt idx="775">
                  <c:v>1347.2304714810991</c:v>
                </c:pt>
                <c:pt idx="776">
                  <c:v>1350.542561678488</c:v>
                </c:pt>
                <c:pt idx="777">
                  <c:v>1353.8474850931852</c:v>
                </c:pt>
                <c:pt idx="778">
                  <c:v>1357.1451961335104</c:v>
                </c:pt>
                <c:pt idx="779">
                  <c:v>1360.4356495683189</c:v>
                </c:pt>
                <c:pt idx="780">
                  <c:v>1363.7188005320972</c:v>
                </c:pt>
                <c:pt idx="781">
                  <c:v>1366.9946045299064</c:v>
                </c:pt>
                <c:pt idx="782">
                  <c:v>1370.2630174421795</c:v>
                </c:pt>
                <c:pt idx="783">
                  <c:v>1373.5239955293755</c:v>
                </c:pt>
                <c:pt idx="784">
                  <c:v>1376.7774954364916</c:v>
                </c:pt>
                <c:pt idx="785">
                  <c:v>1380.0234741974393</c:v>
                </c:pt>
                <c:pt idx="786">
                  <c:v>1383.2618892392852</c:v>
                </c:pt>
                <c:pt idx="787">
                  <c:v>1386.4926983863602</c:v>
                </c:pt>
                <c:pt idx="788">
                  <c:v>1389.7158598642397</c:v>
                </c:pt>
                <c:pt idx="789">
                  <c:v>1392.9313323035983</c:v>
                </c:pt>
                <c:pt idx="790">
                  <c:v>1396.1390747439384</c:v>
                </c:pt>
                <c:pt idx="791">
                  <c:v>1399.3390466371995</c:v>
                </c:pt>
                <c:pt idx="792">
                  <c:v>1402.5312078512477</c:v>
                </c:pt>
                <c:pt idx="793">
                  <c:v>1405.7155186732464</c:v>
                </c:pt>
                <c:pt idx="794">
                  <c:v>1408.8919398129142</c:v>
                </c:pt>
                <c:pt idx="795">
                  <c:v>1412.0604324056685</c:v>
                </c:pt>
                <c:pt idx="796">
                  <c:v>1415.2209580156584</c:v>
                </c:pt>
                <c:pt idx="797">
                  <c:v>1418.3734786386885</c:v>
                </c:pt>
                <c:pt idx="798">
                  <c:v>1421.5179567050352</c:v>
                </c:pt>
                <c:pt idx="799">
                  <c:v>1424.6543550821566</c:v>
                </c:pt>
                <c:pt idx="800">
                  <c:v>1427.7826370773003</c:v>
                </c:pt>
                <c:pt idx="801">
                  <c:v>1430.9027664400064</c:v>
                </c:pt>
                <c:pt idx="802">
                  <c:v>1434.0147073645121</c:v>
                </c:pt>
                <c:pt idx="803">
                  <c:v>1437.1184244920551</c:v>
                </c:pt>
                <c:pt idx="804">
                  <c:v>1440.2138829130799</c:v>
                </c:pt>
                <c:pt idx="805">
                  <c:v>1443.301048169348</c:v>
                </c:pt>
                <c:pt idx="806">
                  <c:v>1446.379886255952</c:v>
                </c:pt>
                <c:pt idx="807">
                  <c:v>1449.4503636232375</c:v>
                </c:pt>
                <c:pt idx="808">
                  <c:v>1452.5124471786316</c:v>
                </c:pt>
                <c:pt idx="809">
                  <c:v>1455.5661042883796</c:v>
                </c:pt>
                <c:pt idx="810">
                  <c:v>1458.6113027791932</c:v>
                </c:pt>
                <c:pt idx="811">
                  <c:v>1461.6480109398094</c:v>
                </c:pt>
                <c:pt idx="812">
                  <c:v>1464.6761975224608</c:v>
                </c:pt>
                <c:pt idx="813">
                  <c:v>1467.6958317442611</c:v>
                </c:pt>
                <c:pt idx="814">
                  <c:v>1470.7068832885041</c:v>
                </c:pt>
                <c:pt idx="815">
                  <c:v>1473.7093223058787</c:v>
                </c:pt>
                <c:pt idx="816">
                  <c:v>1476.7031194156011</c:v>
                </c:pt>
                <c:pt idx="817">
                  <c:v>1479.6882457064639</c:v>
                </c:pt>
                <c:pt idx="818">
                  <c:v>1482.6646727378049</c:v>
                </c:pt>
                <c:pt idx="819">
                  <c:v>1485.6323725403956</c:v>
                </c:pt>
                <c:pt idx="820">
                  <c:v>1488.5913176172498</c:v>
                </c:pt>
                <c:pt idx="821">
                  <c:v>1491.5414809443548</c:v>
                </c:pt>
                <c:pt idx="822">
                  <c:v>1494.4828359713251</c:v>
                </c:pt>
                <c:pt idx="823">
                  <c:v>1497.4153566219793</c:v>
                </c:pt>
                <c:pt idx="824">
                  <c:v>1500.3390172948421</c:v>
                </c:pt>
                <c:pt idx="825">
                  <c:v>1503.2537928635716</c:v>
                </c:pt>
                <c:pt idx="826">
                  <c:v>1506.1596586773128</c:v>
                </c:pt>
                <c:pt idx="827">
                  <c:v>1509.0565905609785</c:v>
                </c:pt>
                <c:pt idx="828">
                  <c:v>1511.9445648154581</c:v>
                </c:pt>
                <c:pt idx="829">
                  <c:v>1514.8235582177551</c:v>
                </c:pt>
                <c:pt idx="830">
                  <c:v>1517.6935480210559</c:v>
                </c:pt>
                <c:pt idx="831">
                  <c:v>1520.5545119547269</c:v>
                </c:pt>
                <c:pt idx="832">
                  <c:v>1523.406428224245</c:v>
                </c:pt>
                <c:pt idx="833">
                  <c:v>1526.2492755110595</c:v>
                </c:pt>
                <c:pt idx="834">
                  <c:v>1529.0830329723874</c:v>
                </c:pt>
                <c:pt idx="835">
                  <c:v>1531.9076802409425</c:v>
                </c:pt>
                <c:pt idx="836">
                  <c:v>1534.7231974245994</c:v>
                </c:pt>
                <c:pt idx="837">
                  <c:v>1537.529565105993</c:v>
                </c:pt>
                <c:pt idx="838">
                  <c:v>1540.3267643420543</c:v>
                </c:pt>
                <c:pt idx="839">
                  <c:v>1543.1147766634831</c:v>
                </c:pt>
                <c:pt idx="840">
                  <c:v>1545.8935840741592</c:v>
                </c:pt>
                <c:pt idx="841">
                  <c:v>1548.6631690504921</c:v>
                </c:pt>
                <c:pt idx="842">
                  <c:v>1551.4235145407094</c:v>
                </c:pt>
                <c:pt idx="843">
                  <c:v>1554.1746039640871</c:v>
                </c:pt>
                <c:pt idx="844">
                  <c:v>1556.9164212101189</c:v>
                </c:pt>
                <c:pt idx="845">
                  <c:v>1559.6489506376297</c:v>
                </c:pt>
                <c:pt idx="846">
                  <c:v>1562.3721770738293</c:v>
                </c:pt>
                <c:pt idx="847">
                  <c:v>1565.0860858133115</c:v>
                </c:pt>
                <c:pt idx="848">
                  <c:v>1567.790662616995</c:v>
                </c:pt>
                <c:pt idx="849">
                  <c:v>1570.4858937110123</c:v>
                </c:pt>
                <c:pt idx="850">
                  <c:v>1573.1717657855411</c:v>
                </c:pt>
                <c:pt idx="851">
                  <c:v>1575.8482659935842</c:v>
                </c:pt>
                <c:pt idx="852">
                  <c:v>1578.5153819496957</c:v>
                </c:pt>
                <c:pt idx="853">
                  <c:v>1581.1731017286554</c:v>
                </c:pt>
                <c:pt idx="854">
                  <c:v>1583.8214138640917</c:v>
                </c:pt>
                <c:pt idx="855">
                  <c:v>1586.4603073470539</c:v>
                </c:pt>
                <c:pt idx="856">
                  <c:v>1589.0897716245352</c:v>
                </c:pt>
                <c:pt idx="857">
                  <c:v>1591.7097965979453</c:v>
                </c:pt>
                <c:pt idx="858">
                  <c:v>1594.3203726215372</c:v>
                </c:pt>
                <c:pt idx="859">
                  <c:v>1596.9214905007832</c:v>
                </c:pt>
                <c:pt idx="860">
                  <c:v>1599.5131414907066</c:v>
                </c:pt>
                <c:pt idx="861">
                  <c:v>1602.095317294167</c:v>
                </c:pt>
                <c:pt idx="862">
                  <c:v>1604.6680100600986</c:v>
                </c:pt>
                <c:pt idx="863">
                  <c:v>1607.2312123817062</c:v>
                </c:pt>
                <c:pt idx="864">
                  <c:v>1609.7849172946158</c:v>
                </c:pt>
                <c:pt idx="865">
                  <c:v>1612.3291182749826</c:v>
                </c:pt>
                <c:pt idx="866">
                  <c:v>1614.8638092375572</c:v>
                </c:pt>
                <c:pt idx="867">
                  <c:v>1617.3889845337094</c:v>
                </c:pt>
                <c:pt idx="868">
                  <c:v>1619.9046389494113</c:v>
                </c:pt>
                <c:pt idx="869">
                  <c:v>1622.4107677031814</c:v>
                </c:pt>
                <c:pt idx="870">
                  <c:v>1624.9073664439873</c:v>
                </c:pt>
                <c:pt idx="871">
                  <c:v>1627.3944312491121</c:v>
                </c:pt>
                <c:pt idx="872">
                  <c:v>1629.8719586219809</c:v>
                </c:pt>
                <c:pt idx="873">
                  <c:v>1632.3399454899516</c:v>
                </c:pt>
                <c:pt idx="874">
                  <c:v>1634.7983892020686</c:v>
                </c:pt>
                <c:pt idx="875">
                  <c:v>1637.2472875267811</c:v>
                </c:pt>
                <c:pt idx="876">
                  <c:v>1639.686638649626</c:v>
                </c:pt>
                <c:pt idx="877">
                  <c:v>1642.1164411708774</c:v>
                </c:pt>
                <c:pt idx="878">
                  <c:v>1644.5366941031618</c:v>
                </c:pt>
                <c:pt idx="879">
                  <c:v>1646.9473968690418</c:v>
                </c:pt>
                <c:pt idx="880">
                  <c:v>1649.3485492985658</c:v>
                </c:pt>
                <c:pt idx="881">
                  <c:v>1651.7401516267882</c:v>
                </c:pt>
                <c:pt idx="882">
                  <c:v>1654.1222044912588</c:v>
                </c:pt>
                <c:pt idx="883">
                  <c:v>1656.494708929481</c:v>
                </c:pt>
                <c:pt idx="884">
                  <c:v>1658.8576663763429</c:v>
                </c:pt>
                <c:pt idx="885">
                  <c:v>1661.2110786615181</c:v>
                </c:pt>
                <c:pt idx="886">
                  <c:v>1663.55494800684</c:v>
                </c:pt>
                <c:pt idx="887">
                  <c:v>1665.8892770236494</c:v>
                </c:pt>
                <c:pt idx="888">
                  <c:v>1668.2140687101141</c:v>
                </c:pt>
                <c:pt idx="889">
                  <c:v>1670.5293264485251</c:v>
                </c:pt>
                <c:pt idx="890">
                  <c:v>1672.8350540025665</c:v>
                </c:pt>
                <c:pt idx="891">
                  <c:v>1675.1312555145614</c:v>
                </c:pt>
                <c:pt idx="892">
                  <c:v>1677.4179355026952</c:v>
                </c:pt>
                <c:pt idx="893">
                  <c:v>1679.6950988582155</c:v>
                </c:pt>
                <c:pt idx="894">
                  <c:v>1681.9627508426099</c:v>
                </c:pt>
                <c:pt idx="895">
                  <c:v>1684.2208970847626</c:v>
                </c:pt>
                <c:pt idx="896">
                  <c:v>1686.4695435780902</c:v>
                </c:pt>
                <c:pt idx="897">
                  <c:v>1688.7086966776578</c:v>
                </c:pt>
                <c:pt idx="898">
                  <c:v>1690.9383630972757</c:v>
                </c:pt>
                <c:pt idx="899">
                  <c:v>1693.1585499065766</c:v>
                </c:pt>
                <c:pt idx="900">
                  <c:v>1695.3692645280767</c:v>
                </c:pt>
                <c:pt idx="901">
                  <c:v>1697.5705147342176</c:v>
                </c:pt>
                <c:pt idx="902">
                  <c:v>1699.7623086443928</c:v>
                </c:pt>
                <c:pt idx="903">
                  <c:v>1701.9446547219572</c:v>
                </c:pt>
                <c:pt idx="904">
                  <c:v>1704.1175617712224</c:v>
                </c:pt>
                <c:pt idx="905">
                  <c:v>1706.2810389344365</c:v>
                </c:pt>
                <c:pt idx="906">
                  <c:v>1708.4350956887506</c:v>
                </c:pt>
                <c:pt idx="907">
                  <c:v>1710.5797418431707</c:v>
                </c:pt>
                <c:pt idx="908">
                  <c:v>1712.7149875354985</c:v>
                </c:pt>
                <c:pt idx="909">
                  <c:v>1714.8408432292588</c:v>
                </c:pt>
                <c:pt idx="910">
                  <c:v>1716.957319710616</c:v>
                </c:pt>
                <c:pt idx="911">
                  <c:v>1719.06442808528</c:v>
                </c:pt>
                <c:pt idx="912">
                  <c:v>1721.162179775401</c:v>
                </c:pt>
                <c:pt idx="913">
                  <c:v>1723.2505865164551</c:v>
                </c:pt>
                <c:pt idx="914">
                  <c:v>1725.3296603541219</c:v>
                </c:pt>
                <c:pt idx="915">
                  <c:v>1727.3994136411518</c:v>
                </c:pt>
                <c:pt idx="916">
                  <c:v>1729.4598590342273</c:v>
                </c:pt>
                <c:pt idx="917">
                  <c:v>1731.5110094908159</c:v>
                </c:pt>
                <c:pt idx="918">
                  <c:v>1733.5528782660169</c:v>
                </c:pt>
                <c:pt idx="919">
                  <c:v>1735.5854789094021</c:v>
                </c:pt>
                <c:pt idx="920">
                  <c:v>1737.6088252618508</c:v>
                </c:pt>
                <c:pt idx="921">
                  <c:v>1739.6229314523803</c:v>
                </c:pt>
                <c:pt idx="922">
                  <c:v>1741.6278118949717</c:v>
                </c:pt>
                <c:pt idx="923">
                  <c:v>1743.6234812853929</c:v>
                </c:pt>
                <c:pt idx="924">
                  <c:v>1745.6099545980164</c:v>
                </c:pt>
                <c:pt idx="925">
                  <c:v>1747.5872470826366</c:v>
                </c:pt>
                <c:pt idx="926">
                  <c:v>1749.5553742612838</c:v>
                </c:pt>
                <c:pt idx="927">
                  <c:v>1751.5143519250366</c:v>
                </c:pt>
                <c:pt idx="928">
                  <c:v>1753.4641961308341</c:v>
                </c:pt>
                <c:pt idx="929">
                  <c:v>1755.4049231982865</c:v>
                </c:pt>
                <c:pt idx="930">
                  <c:v>1757.3365497064863</c:v>
                </c:pt>
                <c:pt idx="931">
                  <c:v>1759.2590924908202</c:v>
                </c:pt>
                <c:pt idx="932">
                  <c:v>1761.172568639781</c:v>
                </c:pt>
                <c:pt idx="933">
                  <c:v>1763.0769954917826</c:v>
                </c:pt>
                <c:pt idx="934">
                  <c:v>1764.9723906319753</c:v>
                </c:pt>
                <c:pt idx="935">
                  <c:v>1766.8587718890649</c:v>
                </c:pt>
                <c:pt idx="936">
                  <c:v>1768.7361573321339</c:v>
                </c:pt>
                <c:pt idx="937">
                  <c:v>1770.6045652674668</c:v>
                </c:pt>
                <c:pt idx="938">
                  <c:v>1772.464014235379</c:v>
                </c:pt>
                <c:pt idx="939">
                  <c:v>1774.3145230070493</c:v>
                </c:pt>
                <c:pt idx="940">
                  <c:v>1776.1561105813587</c:v>
                </c:pt>
                <c:pt idx="941">
                  <c:v>1777.9887961817333</c:v>
                </c:pt>
                <c:pt idx="942">
                  <c:v>1779.8125992529938</c:v>
                </c:pt>
                <c:pt idx="943">
                  <c:v>1781.6275394582099</c:v>
                </c:pt>
                <c:pt idx="944">
                  <c:v>1781.6275394582099</c:v>
                </c:pt>
                <c:pt idx="945">
                  <c:v>1781.6275394582099</c:v>
                </c:pt>
                <c:pt idx="946">
                  <c:v>1781.6275394582099</c:v>
                </c:pt>
                <c:pt idx="947">
                  <c:v>1781.6275394582099</c:v>
                </c:pt>
                <c:pt idx="948">
                  <c:v>1781.6275394582099</c:v>
                </c:pt>
                <c:pt idx="949">
                  <c:v>1781.6275394582099</c:v>
                </c:pt>
                <c:pt idx="950">
                  <c:v>1781.6275394582099</c:v>
                </c:pt>
                <c:pt idx="951">
                  <c:v>1781.6275394582099</c:v>
                </c:pt>
                <c:pt idx="952">
                  <c:v>1781.6275394582099</c:v>
                </c:pt>
                <c:pt idx="953">
                  <c:v>1781.6275394582099</c:v>
                </c:pt>
                <c:pt idx="954">
                  <c:v>1781.6275394582099</c:v>
                </c:pt>
                <c:pt idx="955">
                  <c:v>1781.6275394582099</c:v>
                </c:pt>
                <c:pt idx="956">
                  <c:v>1781.6275394582099</c:v>
                </c:pt>
                <c:pt idx="957">
                  <c:v>1781.6275394582099</c:v>
                </c:pt>
                <c:pt idx="958">
                  <c:v>1781.6275394582099</c:v>
                </c:pt>
                <c:pt idx="959">
                  <c:v>1781.6275394582099</c:v>
                </c:pt>
                <c:pt idx="960">
                  <c:v>1781.6275394582099</c:v>
                </c:pt>
                <c:pt idx="961">
                  <c:v>1781.6275394582099</c:v>
                </c:pt>
                <c:pt idx="962">
                  <c:v>1781.6275394582099</c:v>
                </c:pt>
                <c:pt idx="963">
                  <c:v>1781.6275394582099</c:v>
                </c:pt>
                <c:pt idx="964">
                  <c:v>1781.6275394582099</c:v>
                </c:pt>
                <c:pt idx="965">
                  <c:v>1781.6275394582099</c:v>
                </c:pt>
                <c:pt idx="966">
                  <c:v>1781.6275394582099</c:v>
                </c:pt>
                <c:pt idx="967">
                  <c:v>1781.6275394582099</c:v>
                </c:pt>
                <c:pt idx="968">
                  <c:v>1781.6275394582099</c:v>
                </c:pt>
                <c:pt idx="969">
                  <c:v>1781.6275394582099</c:v>
                </c:pt>
                <c:pt idx="970">
                  <c:v>1781.6275394582099</c:v>
                </c:pt>
                <c:pt idx="971">
                  <c:v>1781.6275394582099</c:v>
                </c:pt>
                <c:pt idx="972">
                  <c:v>1781.6275394582099</c:v>
                </c:pt>
                <c:pt idx="973">
                  <c:v>1781.6275394582099</c:v>
                </c:pt>
                <c:pt idx="974">
                  <c:v>1781.6275394582099</c:v>
                </c:pt>
                <c:pt idx="975">
                  <c:v>1781.6275394582099</c:v>
                </c:pt>
                <c:pt idx="976">
                  <c:v>1781.6275394582099</c:v>
                </c:pt>
                <c:pt idx="977">
                  <c:v>1781.6275394582099</c:v>
                </c:pt>
                <c:pt idx="978">
                  <c:v>1781.6275394582099</c:v>
                </c:pt>
                <c:pt idx="979">
                  <c:v>1781.6275394582099</c:v>
                </c:pt>
                <c:pt idx="980">
                  <c:v>1781.6275394582099</c:v>
                </c:pt>
                <c:pt idx="981">
                  <c:v>1781.6275394582099</c:v>
                </c:pt>
                <c:pt idx="982">
                  <c:v>1781.6275394582099</c:v>
                </c:pt>
                <c:pt idx="983">
                  <c:v>1781.6275394582099</c:v>
                </c:pt>
                <c:pt idx="984">
                  <c:v>1781.6275394582099</c:v>
                </c:pt>
                <c:pt idx="985">
                  <c:v>1781.6275394582099</c:v>
                </c:pt>
                <c:pt idx="986">
                  <c:v>1781.6275394582099</c:v>
                </c:pt>
                <c:pt idx="987">
                  <c:v>1781.6275394582099</c:v>
                </c:pt>
                <c:pt idx="988">
                  <c:v>1781.6275394582099</c:v>
                </c:pt>
                <c:pt idx="989">
                  <c:v>1781.6275394582099</c:v>
                </c:pt>
                <c:pt idx="990">
                  <c:v>1781.6275394582099</c:v>
                </c:pt>
                <c:pt idx="991">
                  <c:v>1781.6275394582099</c:v>
                </c:pt>
                <c:pt idx="992">
                  <c:v>1781.6275394582099</c:v>
                </c:pt>
                <c:pt idx="993">
                  <c:v>1781.6275394582099</c:v>
                </c:pt>
                <c:pt idx="994">
                  <c:v>1781.6275394582099</c:v>
                </c:pt>
                <c:pt idx="995">
                  <c:v>1781.6275394582099</c:v>
                </c:pt>
                <c:pt idx="996">
                  <c:v>1781.6275394582099</c:v>
                </c:pt>
                <c:pt idx="997">
                  <c:v>1781.6275394582099</c:v>
                </c:pt>
                <c:pt idx="998">
                  <c:v>1781.6275394582099</c:v>
                </c:pt>
                <c:pt idx="999">
                  <c:v>1781.6275394582099</c:v>
                </c:pt>
                <c:pt idx="1000">
                  <c:v>1781.6275394582099</c:v>
                </c:pt>
              </c:numCache>
            </c:numRef>
          </c:xVal>
          <c:yVal>
            <c:numRef>
              <c:f>Calculs!$AE$4:$AE$1004</c:f>
              <c:numCache>
                <c:formatCode>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232.78714793884819</c:v>
                </c:pt>
              </c:numCache>
            </c:numRef>
          </c:xVal>
          <c:yVal>
            <c:numRef>
              <c:f>Trajecto!$C$155</c:f>
              <c:numCache>
                <c:formatCode>0</c:formatCode>
                <c:ptCount val="1"/>
                <c:pt idx="0">
                  <c:v>1341.0477059235393</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1522.2440414979214</c:v>
                </c:pt>
              </c:numCache>
            </c:numRef>
          </c:xVal>
          <c:yVal>
            <c:numRef>
              <c:f>Trajecto!$C$156</c:f>
              <c:numCache>
                <c:formatCode>0</c:formatCode>
                <c:ptCount val="1"/>
                <c:pt idx="0">
                  <c:v>1350.2167961238169</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{A6B30FA6-D886-488D-A3F2-C71AA4C2DF11}</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1003.4770455773444</c:v>
                </c:pt>
                <c:pt idx="1">
                  <c:v>1026.4770455773444</c:v>
                </c:pt>
                <c:pt idx="2">
                  <c:v>1026.4770455773444</c:v>
                </c:pt>
                <c:pt idx="3">
                  <c:v>1003.4770455773444</c:v>
                </c:pt>
                <c:pt idx="4">
                  <c:v>1026.4770455773444</c:v>
                </c:pt>
                <c:pt idx="5">
                  <c:v>1026.4770455773444</c:v>
                </c:pt>
                <c:pt idx="6">
                  <c:v>1011.4770455773444</c:v>
                </c:pt>
                <c:pt idx="7">
                  <c:v>1011.4770455773444</c:v>
                </c:pt>
                <c:pt idx="8">
                  <c:v>1026.4770455773444</c:v>
                </c:pt>
                <c:pt idx="9">
                  <c:v>1011.4770455773444</c:v>
                </c:pt>
                <c:pt idx="10">
                  <c:v>1011.0770455773444</c:v>
                </c:pt>
                <c:pt idx="11">
                  <c:v>1010.2770455773443</c:v>
                </c:pt>
                <c:pt idx="12">
                  <c:v>1009.4770455773444</c:v>
                </c:pt>
                <c:pt idx="13">
                  <c:v>1008.4770455773444</c:v>
                </c:pt>
                <c:pt idx="14">
                  <c:v>1007.2770455773443</c:v>
                </c:pt>
                <c:pt idx="15">
                  <c:v>1003.4770455773444</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1003.4770455773444</c:v>
                </c:pt>
                <c:pt idx="1">
                  <c:v>980.47704557734437</c:v>
                </c:pt>
                <c:pt idx="2">
                  <c:v>980.47704557734437</c:v>
                </c:pt>
                <c:pt idx="3">
                  <c:v>1003.4770455773444</c:v>
                </c:pt>
                <c:pt idx="4">
                  <c:v>980.47704557734437</c:v>
                </c:pt>
                <c:pt idx="5">
                  <c:v>980.47704557734437</c:v>
                </c:pt>
                <c:pt idx="6">
                  <c:v>995.47704557734437</c:v>
                </c:pt>
                <c:pt idx="7">
                  <c:v>995.47704557734437</c:v>
                </c:pt>
                <c:pt idx="8">
                  <c:v>980.47704557734437</c:v>
                </c:pt>
                <c:pt idx="9">
                  <c:v>995.47704557734437</c:v>
                </c:pt>
                <c:pt idx="10">
                  <c:v>995.87704557734435</c:v>
                </c:pt>
                <c:pt idx="11">
                  <c:v>996.67704557734442</c:v>
                </c:pt>
                <c:pt idx="12">
                  <c:v>997.47704557734437</c:v>
                </c:pt>
                <c:pt idx="13">
                  <c:v>998.47704557734437</c:v>
                </c:pt>
                <c:pt idx="14">
                  <c:v>999.67704557734442</c:v>
                </c:pt>
                <c:pt idx="15">
                  <c:v>1003.4770455773444</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{1F6BBF42-A973-4B11-B8B1-C947FBA3D331}</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1003.4770455773444</c:v>
                </c:pt>
                <c:pt idx="1">
                  <c:v>1003.4770455773444</c:v>
                </c:pt>
                <c:pt idx="2">
                  <c:v>1013.4770455773444</c:v>
                </c:pt>
                <c:pt idx="3">
                  <c:v>1003.4770455773444</c:v>
                </c:pt>
                <c:pt idx="4">
                  <c:v>1013.4770455773444</c:v>
                </c:pt>
                <c:pt idx="5">
                  <c:v>1016.4770455773444</c:v>
                </c:pt>
                <c:pt idx="6">
                  <c:v>1020.4770455773444</c:v>
                </c:pt>
                <c:pt idx="7">
                  <c:v>1023.4770455773444</c:v>
                </c:pt>
                <c:pt idx="8">
                  <c:v>1028.4770455773444</c:v>
                </c:pt>
                <c:pt idx="9">
                  <c:v>1033.4770455773444</c:v>
                </c:pt>
                <c:pt idx="10">
                  <c:v>1039.4770455773444</c:v>
                </c:pt>
                <c:pt idx="11">
                  <c:v>1051.4770455773444</c:v>
                </c:pt>
                <c:pt idx="12">
                  <c:v>1065.4770455773444</c:v>
                </c:pt>
                <c:pt idx="13">
                  <c:v>1040.4770455773444</c:v>
                </c:pt>
                <c:pt idx="14">
                  <c:v>1033.4770455773444</c:v>
                </c:pt>
                <c:pt idx="15">
                  <c:v>1018.4770455773444</c:v>
                </c:pt>
                <c:pt idx="16">
                  <c:v>1003.4770455773444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1003.4770455773444</c:v>
                </c:pt>
                <c:pt idx="1">
                  <c:v>1003.4770455773444</c:v>
                </c:pt>
                <c:pt idx="2">
                  <c:v>993.47704557734437</c:v>
                </c:pt>
                <c:pt idx="3">
                  <c:v>1003.4770455773444</c:v>
                </c:pt>
                <c:pt idx="4">
                  <c:v>993.47704557734437</c:v>
                </c:pt>
                <c:pt idx="5">
                  <c:v>990.47704557734437</c:v>
                </c:pt>
                <c:pt idx="6">
                  <c:v>986.47704557734437</c:v>
                </c:pt>
                <c:pt idx="7">
                  <c:v>983.47704557734437</c:v>
                </c:pt>
                <c:pt idx="8">
                  <c:v>978.47704557734437</c:v>
                </c:pt>
                <c:pt idx="9">
                  <c:v>973.47704557734437</c:v>
                </c:pt>
                <c:pt idx="10">
                  <c:v>967.47704557734437</c:v>
                </c:pt>
                <c:pt idx="11">
                  <c:v>955.47704557734437</c:v>
                </c:pt>
                <c:pt idx="12">
                  <c:v>941.47704557734437</c:v>
                </c:pt>
                <c:pt idx="13">
                  <c:v>966.47704557734437</c:v>
                </c:pt>
                <c:pt idx="14">
                  <c:v>973.47704557734437</c:v>
                </c:pt>
                <c:pt idx="15">
                  <c:v>988.47704557734437</c:v>
                </c:pt>
                <c:pt idx="16">
                  <c:v>1003.4770455773444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1003.4770455773444</c:v>
                </c:pt>
                <c:pt idx="1">
                  <c:v>1020.4770455773444</c:v>
                </c:pt>
                <c:pt idx="2">
                  <c:v>1014.4770455773444</c:v>
                </c:pt>
                <c:pt idx="3">
                  <c:v>1003.4770455773444</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1003.4770455773444</c:v>
                </c:pt>
                <c:pt idx="1">
                  <c:v>986.47704557734437</c:v>
                </c:pt>
                <c:pt idx="2">
                  <c:v>992.47704557734437</c:v>
                </c:pt>
                <c:pt idx="3">
                  <c:v>1003.4770455773444</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{8A38743F-1215-40EB-8B77-364463B54DA9}</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931.14859175539277</c:v>
                </c:pt>
                <c:pt idx="1">
                  <c:v>931.14859175539277</c:v>
                </c:pt>
                <c:pt idx="2">
                  <c:v>931.14859175539277</c:v>
                </c:pt>
                <c:pt idx="3">
                  <c:v>998.20097705156968</c:v>
                </c:pt>
                <c:pt idx="4">
                  <c:v>931.14859175539277</c:v>
                </c:pt>
                <c:pt idx="5">
                  <c:v>864.09620645921586</c:v>
                </c:pt>
                <c:pt idx="6">
                  <c:v>931.14859175539277</c:v>
                </c:pt>
              </c:numCache>
            </c:numRef>
          </c:xVal>
          <c:yVal>
            <c:numRef>
              <c:f>Trajecto!$C$121:$C$127</c:f>
              <c:numCache>
                <c:formatCode>0</c:formatCode>
                <c:ptCount val="7"/>
                <c:pt idx="0">
                  <c:v>2682.0954118470786</c:v>
                </c:pt>
                <c:pt idx="1">
                  <c:v>1341.0477059235393</c:v>
                </c:pt>
                <c:pt idx="2">
                  <c:v>0</c:v>
                </c:pt>
                <c:pt idx="3">
                  <c:v>134.10477059235393</c:v>
                </c:pt>
                <c:pt idx="4">
                  <c:v>0</c:v>
                </c:pt>
                <c:pt idx="5">
                  <c:v>134.10477059235393</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2700.4335922476339</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47.000000000000334</c:v>
                </c:pt>
                <c:pt idx="921">
                  <c:v>#N/A</c:v>
                </c:pt>
                <c:pt idx="922">
                  <c:v>#N/A</c:v>
                </c:pt>
                <c:pt idx="923">
                  <c:v>#N/A</c:v>
                </c:pt>
                <c:pt idx="924">
                  <c:v>#N/A</c:v>
                </c:pt>
                <c:pt idx="925">
                  <c:v>#N/A</c:v>
                </c:pt>
                <c:pt idx="926">
                  <c:v>#N/A</c:v>
                </c:pt>
                <c:pt idx="927">
                  <c:v>#N/A</c:v>
                </c:pt>
                <c:pt idx="928">
                  <c:v>#N/A</c:v>
                </c:pt>
                <c:pt idx="929">
                  <c:v>#N/A</c:v>
                </c:pt>
                <c:pt idx="930">
                  <c:v>48.000000000000348</c:v>
                </c:pt>
                <c:pt idx="931">
                  <c:v>#N/A</c:v>
                </c:pt>
                <c:pt idx="932">
                  <c:v>#N/A</c:v>
                </c:pt>
                <c:pt idx="933">
                  <c:v>#N/A</c:v>
                </c:pt>
                <c:pt idx="934">
                  <c:v>#N/A</c:v>
                </c:pt>
                <c:pt idx="935">
                  <c:v>#N/A</c:v>
                </c:pt>
                <c:pt idx="936">
                  <c:v>#N/A</c:v>
                </c:pt>
                <c:pt idx="937">
                  <c:v>#N/A</c:v>
                </c:pt>
                <c:pt idx="938">
                  <c:v>#N/A</c:v>
                </c:pt>
                <c:pt idx="939">
                  <c:v>#N/A</c:v>
                </c:pt>
                <c:pt idx="940">
                  <c:v>49.000000000000362</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2682.0954118470786</c:v>
                </c:pt>
                <c:pt idx="661">
                  <c:v>2683.9540607711888</c:v>
                </c:pt>
                <c:pt idx="662">
                  <c:v>2685.712853294111</c:v>
                </c:pt>
                <c:pt idx="663">
                  <c:v>2687.3719019504256</c:v>
                </c:pt>
                <c:pt idx="664">
                  <c:v>2688.9313163605293</c:v>
                </c:pt>
                <c:pt idx="665">
                  <c:v>2690.3912033542838</c:v>
                </c:pt>
                <c:pt idx="666">
                  <c:v>2691.7516670986306</c:v>
                </c:pt>
                <c:pt idx="667">
                  <c:v>2693.0128092292161</c:v>
                </c:pt>
                <c:pt idx="668">
                  <c:v>2694.1747289860391</c:v>
                </c:pt>
                <c:pt idx="669">
                  <c:v>2695.2375233530906</c:v>
                </c:pt>
                <c:pt idx="670">
                  <c:v>2696.2012872019259</c:v>
                </c:pt>
                <c:pt idx="671">
                  <c:v>2697.0661134390543</c:v>
                </c:pt>
                <c:pt idx="672">
                  <c:v>2697.8320931569942</c:v>
                </c:pt>
                <c:pt idx="673">
                  <c:v>2698.499315788792</c:v>
                </c:pt>
                <c:pt idx="674">
                  <c:v>2699.0678692657575</c:v>
                </c:pt>
                <c:pt idx="675">
                  <c:v>2699.537840178119</c:v>
                </c:pt>
                <c:pt idx="676">
                  <c:v>2699.9093139382608</c:v>
                </c:pt>
                <c:pt idx="677">
                  <c:v>2700.1823749461578</c:v>
                </c:pt>
                <c:pt idx="678">
                  <c:v>2700.3571067565831</c:v>
                </c:pt>
                <c:pt idx="679">
                  <c:v>2700.4335922476339</c:v>
                </c:pt>
                <c:pt idx="680">
                  <c:v>2700.4119137900852</c:v>
                </c:pt>
                <c:pt idx="681">
                  <c:v>2700.2921534170632</c:v>
                </c:pt>
                <c:pt idx="682">
                  <c:v>2700.074392993507</c:v>
                </c:pt>
                <c:pt idx="683">
                  <c:v>2699.7587143848855</c:v>
                </c:pt>
                <c:pt idx="684">
                  <c:v>2699.3451996246336</c:v>
                </c:pt>
                <c:pt idx="685">
                  <c:v>2698.833931079771</c:v>
                </c:pt>
                <c:pt idx="686">
                  <c:v>2698.2249916141932</c:v>
                </c:pt>
                <c:pt idx="687">
                  <c:v>2697.5184647491346</c:v>
                </c:pt>
                <c:pt idx="688">
                  <c:v>2696.7144348203387</c:v>
                </c:pt>
                <c:pt idx="689">
                  <c:v>2695.8129871315009</c:v>
                </c:pt>
                <c:pt idx="690">
                  <c:v>2694.8142081035871</c:v>
                </c:pt>
                <c:pt idx="691">
                  <c:v>2693.7181854196765</c:v>
                </c:pt>
                <c:pt idx="692">
                  <c:v>2692.525008165017</c:v>
                </c:pt>
                <c:pt idx="693">
                  <c:v>2691.2347669620358</c:v>
                </c:pt>
                <c:pt idx="694">
                  <c:v>2689.8475541000839</c:v>
                </c:pt>
                <c:pt idx="695">
                  <c:v>2688.363463659754</c:v>
                </c:pt>
                <c:pt idx="696">
                  <c:v>2686.782591631641</c:v>
                </c:pt>
                <c:pt idx="697">
                  <c:v>2685.105036029473</c:v>
                </c:pt>
                <c:pt idx="698">
                  <c:v>2683.3308969975724</c:v>
                </c:pt>
                <c:pt idx="699">
                  <c:v>2681.4602769126445</c:v>
                </c:pt>
                <c:pt idx="700">
                  <c:v>2679.4932804799323</c:v>
                </c:pt>
                <c:pt idx="701">
                  <c:v>2677.4300148237985</c:v>
                </c:pt>
                <c:pt idx="702">
                  <c:v>2675.2705895728318</c:v>
                </c:pt>
                <c:pt idx="703">
                  <c:v>2673.015116939589</c:v>
                </c:pt>
                <c:pt idx="704">
                  <c:v>2670.6637117951072</c:v>
                </c:pt>
                <c:pt idx="705">
                  <c:v>2668.2164917383434</c:v>
                </c:pt>
                <c:pt idx="706">
                  <c:v>2665.6735771606982</c:v>
                </c:pt>
                <c:pt idx="707">
                  <c:v>2663.0350913058019</c:v>
                </c:pt>
                <c:pt idx="708">
                  <c:v>2660.3011603247405</c:v>
                </c:pt>
                <c:pt idx="709">
                  <c:v>2657.47191332691</c:v>
                </c:pt>
                <c:pt idx="710">
                  <c:v>2654.5474824266817</c:v>
                </c:pt>
                <c:pt idx="711">
                  <c:v>2651.528002786069</c:v>
                </c:pt>
                <c:pt idx="712">
                  <c:v>2648.4136126535791</c:v>
                </c:pt>
                <c:pt idx="713">
                  <c:v>2645.2044533994349</c:v>
                </c:pt>
                <c:pt idx="714">
                  <c:v>2641.9006695473449</c:v>
                </c:pt>
                <c:pt idx="715">
                  <c:v>2638.5024088029941</c:v>
                </c:pt>
                <c:pt idx="716">
                  <c:v>2635.0098220794266</c:v>
                </c:pt>
                <c:pt idx="717">
                  <c:v>2631.4230635194826</c:v>
                </c:pt>
                <c:pt idx="718">
                  <c:v>2627.7422905154408</c:v>
                </c:pt>
                <c:pt idx="719">
                  <c:v>2623.9676637260231</c:v>
                </c:pt>
                <c:pt idx="720">
                  <c:v>2620.0993470908975</c:v>
                </c:pt>
                <c:pt idx="721">
                  <c:v>2616.1375078428159</c:v>
                </c:pt>
                <c:pt idx="722">
                  <c:v>2612.0823165175193</c:v>
                </c:pt>
                <c:pt idx="723">
                  <c:v>2607.9339469615234</c:v>
                </c:pt>
                <c:pt idx="724">
                  <c:v>2603.6925763379077</c:v>
                </c:pt>
                <c:pt idx="725">
                  <c:v>2599.3583851302124</c:v>
                </c:pt>
                <c:pt idx="726">
                  <c:v>2594.9315571445441</c:v>
                </c:pt>
                <c:pt idx="727">
                  <c:v>2590.4122795099893</c:v>
                </c:pt>
                <c:pt idx="728">
                  <c:v>2585.8007426774225</c:v>
                </c:pt>
                <c:pt idx="729">
                  <c:v>2581.0971404167985</c:v>
                </c:pt>
                <c:pt idx="730">
                  <c:v>2576.3016698130014</c:v>
                </c:pt>
                <c:pt idx="731">
                  <c:v>2571.4145312603314</c:v>
                </c:pt>
                <c:pt idx="732">
                  <c:v>2566.4359284556972</c:v>
                </c:pt>
                <c:pt idx="733">
                  <c:v>2561.3660683905764</c:v>
                </c:pt>
                <c:pt idx="734">
                  <c:v>2556.2051613418103</c:v>
                </c:pt>
                <c:pt idx="735">
                  <c:v>2550.9534208612872</c:v>
                </c:pt>
                <c:pt idx="736">
                  <c:v>2545.6110637645711</c:v>
                </c:pt>
                <c:pt idx="737">
                  <c:v>2540.178310118521</c:v>
                </c:pt>
                <c:pt idx="738">
                  <c:v>2534.6553832279569</c:v>
                </c:pt>
                <c:pt idx="739">
                  <c:v>2529.0425096214067</c:v>
                </c:pt>
                <c:pt idx="740">
                  <c:v>2523.3399190359846</c:v>
                </c:pt>
                <c:pt idx="741">
                  <c:v>2517.5478444014348</c:v>
                </c:pt>
                <c:pt idx="742">
                  <c:v>2511.6665218233802</c:v>
                </c:pt>
                <c:pt idx="743">
                  <c:v>2505.6961905658077</c:v>
                </c:pt>
                <c:pt idx="744">
                  <c:v>2499.6370930328267</c:v>
                </c:pt>
                <c:pt idx="745">
                  <c:v>2493.4894747497269</c:v>
                </c:pt>
                <c:pt idx="746">
                  <c:v>2487.2535843433684</c:v>
                </c:pt>
                <c:pt idx="747">
                  <c:v>2480.9296735219282</c:v>
                </c:pt>
                <c:pt idx="748">
                  <c:v>2474.5179970540307</c:v>
                </c:pt>
                <c:pt idx="749">
                  <c:v>2468.0188127472857</c:v>
                </c:pt>
                <c:pt idx="750">
                  <c:v>2461.4323814262575</c:v>
                </c:pt>
                <c:pt idx="751">
                  <c:v>2454.7589669098847</c:v>
                </c:pt>
                <c:pt idx="752">
                  <c:v>2447.998835988376</c:v>
                </c:pt>
                <c:pt idx="753">
                  <c:v>2441.1522583995957</c:v>
                </c:pt>
                <c:pt idx="754">
                  <c:v>2434.2195068049618</c:v>
                </c:pt>
                <c:pt idx="755">
                  <c:v>2427.2008567648736</c:v>
                </c:pt>
                <c:pt idx="756">
                  <c:v>2420.0965867136847</c:v>
                </c:pt>
                <c:pt idx="757">
                  <c:v>2412.9069779342376</c:v>
                </c:pt>
                <c:pt idx="758">
                  <c:v>2405.632314531977</c:v>
                </c:pt>
                <c:pt idx="759">
                  <c:v>2398.2728834086556</c:v>
                </c:pt>
                <c:pt idx="760">
                  <c:v>2390.8289742356442</c:v>
                </c:pt>
                <c:pt idx="761">
                  <c:v>2383.3008794268649</c:v>
                </c:pt>
                <c:pt idx="762">
                  <c:v>2375.6888941113552</c:v>
                </c:pt>
                <c:pt idx="763">
                  <c:v>2367.9933161054796</c:v>
                </c:pt>
                <c:pt idx="764">
                  <c:v>2360.2144458847984</c:v>
                </c:pt>
                <c:pt idx="765">
                  <c:v>2352.3525865556057</c:v>
                </c:pt>
                <c:pt idx="766">
                  <c:v>2344.4080438261503</c:v>
                </c:pt>
                <c:pt idx="767">
                  <c:v>2336.3811259775462</c:v>
                </c:pt>
                <c:pt idx="768">
                  <c:v>2328.2721438343874</c:v>
                </c:pt>
                <c:pt idx="769">
                  <c:v>2320.081410735077</c:v>
                </c:pt>
                <c:pt idx="770">
                  <c:v>2311.8092425018754</c:v>
                </c:pt>
                <c:pt idx="771">
                  <c:v>2303.4559574106861</c:v>
                </c:pt>
                <c:pt idx="772">
                  <c:v>2295.0218761605806</c:v>
                </c:pt>
                <c:pt idx="773">
                  <c:v>2286.5073218430762</c:v>
                </c:pt>
                <c:pt idx="774">
                  <c:v>2277.9126199111756</c:v>
                </c:pt>
                <c:pt idx="775">
                  <c:v>2269.2380981481742</c:v>
                </c:pt>
                <c:pt idx="776">
                  <c:v>2260.4840866362479</c:v>
                </c:pt>
                <c:pt idx="777">
                  <c:v>2251.6509177248263</c:v>
                </c:pt>
                <c:pt idx="778">
                  <c:v>2242.7389259987626</c:v>
                </c:pt>
                <c:pt idx="779">
                  <c:v>2233.7484482463055</c:v>
                </c:pt>
                <c:pt idx="780">
                  <c:v>2224.6798234268854</c:v>
                </c:pt>
                <c:pt idx="781">
                  <c:v>2215.5333926387157</c:v>
                </c:pt>
                <c:pt idx="782">
                  <c:v>2206.3094990862269</c:v>
                </c:pt>
                <c:pt idx="783">
                  <c:v>2197.0084880473314</c:v>
                </c:pt>
                <c:pt idx="784">
                  <c:v>2187.6307068405335</c:v>
                </c:pt>
                <c:pt idx="785">
                  <c:v>2178.1765047918884</c:v>
                </c:pt>
                <c:pt idx="786">
                  <c:v>2168.6462332018191</c:v>
                </c:pt>
                <c:pt idx="787">
                  <c:v>2159.0402453117981</c:v>
                </c:pt>
                <c:pt idx="788">
                  <c:v>2149.3588962709014</c:v>
                </c:pt>
                <c:pt idx="789">
                  <c:v>2139.6025431022413</c:v>
                </c:pt>
                <c:pt idx="790">
                  <c:v>2129.7715446692846</c:v>
                </c:pt>
                <c:pt idx="791">
                  <c:v>2119.866261642067</c:v>
                </c:pt>
                <c:pt idx="792">
                  <c:v>2109.8870564633025</c:v>
                </c:pt>
                <c:pt idx="793">
                  <c:v>2099.8342933144049</c:v>
                </c:pt>
                <c:pt idx="794">
                  <c:v>2089.7083380814192</c:v>
                </c:pt>
                <c:pt idx="795">
                  <c:v>2079.5095583208749</c:v>
                </c:pt>
                <c:pt idx="796">
                  <c:v>2069.238323225567</c:v>
                </c:pt>
                <c:pt idx="797">
                  <c:v>2058.8950035902676</c:v>
                </c:pt>
                <c:pt idx="798">
                  <c:v>2048.4799717773808</c:v>
                </c:pt>
                <c:pt idx="799">
                  <c:v>2037.9936016825429</c:v>
                </c:pt>
                <c:pt idx="800">
                  <c:v>2027.4362687001744</c:v>
                </c:pt>
                <c:pt idx="801">
                  <c:v>2016.8083496889924</c:v>
                </c:pt>
                <c:pt idx="802">
                  <c:v>2006.1102229374883</c:v>
                </c:pt>
                <c:pt idx="803">
                  <c:v>1995.3422681293771</c:v>
                </c:pt>
                <c:pt idx="804">
                  <c:v>1984.5048663090251</c:v>
                </c:pt>
                <c:pt idx="805">
                  <c:v>1973.5983998468614</c:v>
                </c:pt>
                <c:pt idx="806">
                  <c:v>1962.6232524047784</c:v>
                </c:pt>
                <c:pt idx="807">
                  <c:v>1951.5798089015314</c:v>
                </c:pt>
                <c:pt idx="808">
                  <c:v>1940.4684554781375</c:v>
                </c:pt>
                <c:pt idx="809">
                  <c:v>1929.2895794632843</c:v>
                </c:pt>
                <c:pt idx="810">
                  <c:v>1918.0435693387528</c:v>
                </c:pt>
                <c:pt idx="811">
                  <c:v>1906.7308147048586</c:v>
                </c:pt>
                <c:pt idx="812">
                  <c:v>1895.3517062459209</c:v>
                </c:pt>
                <c:pt idx="813">
                  <c:v>1883.9066356957617</c:v>
                </c:pt>
                <c:pt idx="814">
                  <c:v>1872.3959958032426</c:v>
                </c:pt>
                <c:pt idx="815">
                  <c:v>1860.8201802978444</c:v>
                </c:pt>
                <c:pt idx="816">
                  <c:v>1849.1795838552948</c:v>
                </c:pt>
                <c:pt idx="817">
                  <c:v>1837.4746020632508</c:v>
                </c:pt>
                <c:pt idx="818">
                  <c:v>1825.7056313870403</c:v>
                </c:pt>
                <c:pt idx="819">
                  <c:v>1813.8730691354679</c:v>
                </c:pt>
                <c:pt idx="820">
                  <c:v>1801.9773134266925</c:v>
                </c:pt>
                <c:pt idx="821">
                  <c:v>1790.0187631541794</c:v>
                </c:pt>
                <c:pt idx="822">
                  <c:v>1777.9978179527341</c:v>
                </c:pt>
                <c:pt idx="823">
                  <c:v>1765.9148781646222</c:v>
                </c:pt>
                <c:pt idx="824">
                  <c:v>1753.7703448057807</c:v>
                </c:pt>
                <c:pt idx="825">
                  <c:v>1741.5646195321256</c:v>
                </c:pt>
                <c:pt idx="826">
                  <c:v>1729.2981046059617</c:v>
                </c:pt>
                <c:pt idx="827">
                  <c:v>1716.9712028624995</c:v>
                </c:pt>
                <c:pt idx="828">
                  <c:v>1704.5843176764822</c:v>
                </c:pt>
                <c:pt idx="829">
                  <c:v>1692.1378529289314</c:v>
                </c:pt>
                <c:pt idx="830">
                  <c:v>1679.6322129740126</c:v>
                </c:pt>
                <c:pt idx="831">
                  <c:v>1667.067802606028</c:v>
                </c:pt>
                <c:pt idx="832">
                  <c:v>1654.4450270265397</c:v>
                </c:pt>
                <c:pt idx="833">
                  <c:v>1641.7642918116294</c:v>
                </c:pt>
                <c:pt idx="834">
                  <c:v>1629.0260028792977</c:v>
                </c:pt>
                <c:pt idx="835">
                  <c:v>1616.2305664570092</c:v>
                </c:pt>
                <c:pt idx="836">
                  <c:v>1603.3783890493855</c:v>
                </c:pt>
                <c:pt idx="837">
                  <c:v>1590.4698774060546</c:v>
                </c:pt>
                <c:pt idx="838">
                  <c:v>1577.5054384896557</c:v>
                </c:pt>
                <c:pt idx="839">
                  <c:v>1564.4854794440091</c:v>
                </c:pt>
                <c:pt idx="840">
                  <c:v>1551.4104075624516</c:v>
                </c:pt>
                <c:pt idx="841">
                  <c:v>1538.2806302563433</c:v>
                </c:pt>
                <c:pt idx="842">
                  <c:v>1525.0965550237499</c:v>
                </c:pt>
                <c:pt idx="843">
                  <c:v>1511.8585894183038</c:v>
                </c:pt>
                <c:pt idx="844">
                  <c:v>1498.567141018249</c:v>
                </c:pt>
                <c:pt idx="845">
                  <c:v>1485.2226173956726</c:v>
                </c:pt>
                <c:pt idx="846">
                  <c:v>1471.8254260859287</c:v>
                </c:pt>
                <c:pt idx="847">
                  <c:v>1458.3759745572552</c:v>
                </c:pt>
                <c:pt idx="848">
                  <c:v>1444.8746701805908</c:v>
                </c:pt>
                <c:pt idx="849">
                  <c:v>1431.3219201995944</c:v>
                </c:pt>
                <c:pt idx="850">
                  <c:v>1417.7181317008692</c:v>
                </c:pt>
                <c:pt idx="851">
                  <c:v>1404.0637115843974</c:v>
                </c:pt>
                <c:pt idx="852">
                  <c:v>1390.3590665341871</c:v>
                </c:pt>
                <c:pt idx="853">
                  <c:v>1376.6046029891359</c:v>
                </c:pt>
                <c:pt idx="854">
                  <c:v>1362.8007271141134</c:v>
                </c:pt>
                <c:pt idx="855">
                  <c:v>1348.9478447712686</c:v>
                </c:pt>
                <c:pt idx="856">
                  <c:v>1335.0463614915604</c:v>
                </c:pt>
                <c:pt idx="857">
                  <c:v>1321.0966824465195</c:v>
                </c:pt>
                <c:pt idx="858">
                  <c:v>1307.0992124202414</c:v>
                </c:pt>
                <c:pt idx="859">
                  <c:v>1293.0543557816156</c:v>
                </c:pt>
                <c:pt idx="860">
                  <c:v>1278.9625164567913</c:v>
                </c:pt>
                <c:pt idx="861">
                  <c:v>1264.8240979018854</c:v>
                </c:pt>
                <c:pt idx="862">
                  <c:v>1250.6395030759331</c:v>
                </c:pt>
                <c:pt idx="863">
                  <c:v>1236.4091344140861</c:v>
                </c:pt>
                <c:pt idx="864">
                  <c:v>1222.1333938010575</c:v>
                </c:pt>
                <c:pt idx="865">
                  <c:v>1207.8126825448203</c:v>
                </c:pt>
                <c:pt idx="866">
                  <c:v>1193.4474013505587</c:v>
                </c:pt>
                <c:pt idx="867">
                  <c:v>1179.0379502948756</c:v>
                </c:pt>
                <c:pt idx="868">
                  <c:v>1164.584728800259</c:v>
                </c:pt>
                <c:pt idx="869">
                  <c:v>1150.0881356098089</c:v>
                </c:pt>
                <c:pt idx="870">
                  <c:v>1135.5485687622272</c:v>
                </c:pt>
                <c:pt idx="871">
                  <c:v>1120.9664255670725</c:v>
                </c:pt>
                <c:pt idx="872">
                  <c:v>1106.3421025802825</c:v>
                </c:pt>
                <c:pt idx="873">
                  <c:v>1091.6759955799641</c:v>
                </c:pt>
                <c:pt idx="874">
                  <c:v>1076.9684995424557</c:v>
                </c:pt>
                <c:pt idx="875">
                  <c:v>1062.2200086186608</c:v>
                </c:pt>
                <c:pt idx="876">
                  <c:v>1047.4309161106571</c:v>
                </c:pt>
                <c:pt idx="877">
                  <c:v>1032.6016144485809</c:v>
                </c:pt>
                <c:pt idx="878">
                  <c:v>1017.7324951677889</c:v>
                </c:pt>
                <c:pt idx="879">
                  <c:v>1002.823948886299</c:v>
                </c:pt>
                <c:pt idx="880">
                  <c:v>987.87636528251198</c:v>
                </c:pt>
                <c:pt idx="881">
                  <c:v>972.89013307321432</c:v>
                </c:pt>
                <c:pt idx="882">
                  <c:v>957.86563999186455</c:v>
                </c:pt>
                <c:pt idx="883">
                  <c:v>942.80327276716332</c:v>
                </c:pt>
                <c:pt idx="884">
                  <c:v>927.70341710190951</c:v>
                </c:pt>
                <c:pt idx="885">
                  <c:v>912.56645765214182</c:v>
                </c:pt>
                <c:pt idx="886">
                  <c:v>897.39277800656873</c:v>
                </c:pt>
                <c:pt idx="887">
                  <c:v>882.18276066628584</c:v>
                </c:pt>
                <c:pt idx="888">
                  <c:v>866.93678702478326</c:v>
                </c:pt>
                <c:pt idx="889">
                  <c:v>851.65523734824205</c:v>
                </c:pt>
                <c:pt idx="890">
                  <c:v>836.3384907561217</c:v>
                </c:pt>
                <c:pt idx="891">
                  <c:v>820.98692520203917</c:v>
                </c:pt>
                <c:pt idx="892">
                  <c:v>805.60091745493901</c:v>
                </c:pt>
                <c:pt idx="893">
                  <c:v>790.18084308055631</c:v>
                </c:pt>
                <c:pt idx="894">
                  <c:v>774.72707642317221</c:v>
                </c:pt>
                <c:pt idx="895">
                  <c:v>759.23999058766253</c:v>
                </c:pt>
                <c:pt idx="896">
                  <c:v>743.71995742183981</c:v>
                </c:pt>
                <c:pt idx="897">
                  <c:v>728.16734749908892</c:v>
                </c:pt>
                <c:pt idx="898">
                  <c:v>712.58253010129613</c:v>
                </c:pt>
                <c:pt idx="899">
                  <c:v>696.96587320207277</c:v>
                </c:pt>
                <c:pt idx="900">
                  <c:v>681.31774345027191</c:v>
                </c:pt>
                <c:pt idx="901">
                  <c:v>665.63850615379965</c:v>
                </c:pt>
                <c:pt idx="902">
                  <c:v>649.92852526371951</c:v>
                </c:pt>
                <c:pt idx="903">
                  <c:v>634.18816335865085</c:v>
                </c:pt>
                <c:pt idx="904">
                  <c:v>618.41778162946071</c:v>
                </c:pt>
                <c:pt idx="905">
                  <c:v>602.61773986424805</c:v>
                </c:pt>
                <c:pt idx="906">
                  <c:v>586.78839643362164</c:v>
                </c:pt>
                <c:pt idx="907">
                  <c:v>570.93010827626961</c:v>
                </c:pt>
                <c:pt idx="908">
                  <c:v>555.04323088482101</c:v>
                </c:pt>
                <c:pt idx="909">
                  <c:v>539.12811829199927</c:v>
                </c:pt>
                <c:pt idx="910">
                  <c:v>523.1851230570652</c:v>
                </c:pt>
                <c:pt idx="911">
                  <c:v>507.21459625255142</c:v>
                </c:pt>
                <c:pt idx="912">
                  <c:v>491.2168874512854</c:v>
                </c:pt>
                <c:pt idx="913">
                  <c:v>475.1923447137014</c:v>
                </c:pt>
                <c:pt idx="914">
                  <c:v>459.14131457544033</c:v>
                </c:pt>
                <c:pt idx="915">
                  <c:v>443.06414203523644</c:v>
                </c:pt>
                <c:pt idx="916">
                  <c:v>426.96117054309047</c:v>
                </c:pt>
                <c:pt idx="917">
                  <c:v>410.83274198872743</c:v>
                </c:pt>
                <c:pt idx="918">
                  <c:v>394.67919669033893</c:v>
                </c:pt>
                <c:pt idx="919">
                  <c:v>378.50087338360828</c:v>
                </c:pt>
                <c:pt idx="920">
                  <c:v>362.29810921101785</c:v>
                </c:pt>
                <c:pt idx="921">
                  <c:v>346.0712397114367</c:v>
                </c:pt>
                <c:pt idx="922">
                  <c:v>329.82059880998827</c:v>
                </c:pt>
                <c:pt idx="923">
                  <c:v>313.54651880819614</c:v>
                </c:pt>
                <c:pt idx="924">
                  <c:v>297.24933037440678</c:v>
                </c:pt>
                <c:pt idx="925">
                  <c:v>280.92936253448801</c:v>
                </c:pt>
                <c:pt idx="926">
                  <c:v>264.58694266280162</c:v>
                </c:pt>
                <c:pt idx="927">
                  <c:v>248.22239647344895</c:v>
                </c:pt>
                <c:pt idx="928">
                  <c:v>231.8360480117878</c:v>
                </c:pt>
                <c:pt idx="929">
                  <c:v>215.42821964621891</c:v>
                </c:pt>
                <c:pt idx="930">
                  <c:v>198.99923206024107</c:v>
                </c:pt>
                <c:pt idx="931">
                  <c:v>182.54940424477255</c:v>
                </c:pt>
                <c:pt idx="932">
                  <c:v>166.07905349073775</c:v>
                </c:pt>
                <c:pt idx="933">
                  <c:v>149.58849538191711</c:v>
                </c:pt>
                <c:pt idx="934">
                  <c:v>133.07804378805864</c:v>
                </c:pt>
                <c:pt idx="935">
                  <c:v>116.5480108582493</c:v>
                </c:pt>
                <c:pt idx="936">
                  <c:v>99.998707014544564</c:v>
                </c:pt>
                <c:pt idx="937">
                  <c:v>83.430440945854102</c:v>
                </c:pt>
                <c:pt idx="938">
                  <c:v>66.843519602081969</c:v>
                </c:pt>
                <c:pt idx="939">
                  <c:v>50.238248188519286</c:v>
                </c:pt>
                <c:pt idx="940">
                  <c:v>33.614930160487539</c:v>
                </c:pt>
                <c:pt idx="941">
                  <c:v>16.973867218230524</c:v>
                </c:pt>
                <c:pt idx="942">
                  <c:v>0.31535930205298612</c:v>
                </c:pt>
                <c:pt idx="943">
                  <c:v>-16.360295412296061</c:v>
                </c:pt>
                <c:pt idx="944">
                  <c:v>-16.376979574437723</c:v>
                </c:pt>
                <c:pt idx="945">
                  <c:v>-16.393663753281871</c:v>
                </c:pt>
                <c:pt idx="946">
                  <c:v>-16.41034794882821</c:v>
                </c:pt>
                <c:pt idx="947">
                  <c:v>-16.427032161076447</c:v>
                </c:pt>
                <c:pt idx="948">
                  <c:v>-16.443716390026289</c:v>
                </c:pt>
                <c:pt idx="949">
                  <c:v>-16.460400635677441</c:v>
                </c:pt>
                <c:pt idx="950">
                  <c:v>-16.477084898029609</c:v>
                </c:pt>
                <c:pt idx="951">
                  <c:v>-16.493769177082505</c:v>
                </c:pt>
                <c:pt idx="952">
                  <c:v>-16.510453472835831</c:v>
                </c:pt>
                <c:pt idx="953">
                  <c:v>-16.527137785289295</c:v>
                </c:pt>
                <c:pt idx="954">
                  <c:v>-16.543822114442605</c:v>
                </c:pt>
                <c:pt idx="955">
                  <c:v>-16.560506460295468</c:v>
                </c:pt>
                <c:pt idx="956">
                  <c:v>-16.577190822847587</c:v>
                </c:pt>
                <c:pt idx="957">
                  <c:v>-16.593875202098673</c:v>
                </c:pt>
                <c:pt idx="958">
                  <c:v>-16.610559598048432</c:v>
                </c:pt>
                <c:pt idx="959">
                  <c:v>-16.627244010696572</c:v>
                </c:pt>
                <c:pt idx="960">
                  <c:v>-16.643928440042796</c:v>
                </c:pt>
                <c:pt idx="961">
                  <c:v>-16.660612886086813</c:v>
                </c:pt>
                <c:pt idx="962">
                  <c:v>-16.677297348828329</c:v>
                </c:pt>
                <c:pt idx="963">
                  <c:v>-16.693981828267052</c:v>
                </c:pt>
                <c:pt idx="964">
                  <c:v>-16.710666324402691</c:v>
                </c:pt>
                <c:pt idx="965">
                  <c:v>-16.727350837234948</c:v>
                </c:pt>
                <c:pt idx="966">
                  <c:v>-16.744035366763534</c:v>
                </c:pt>
                <c:pt idx="967">
                  <c:v>-16.760719912988151</c:v>
                </c:pt>
                <c:pt idx="968">
                  <c:v>-16.777404475908511</c:v>
                </c:pt>
                <c:pt idx="969">
                  <c:v>-16.794089055524317</c:v>
                </c:pt>
                <c:pt idx="970">
                  <c:v>-16.81077365183528</c:v>
                </c:pt>
                <c:pt idx="971">
                  <c:v>-16.827458264841102</c:v>
                </c:pt>
                <c:pt idx="972">
                  <c:v>-16.844142894541491</c:v>
                </c:pt>
                <c:pt idx="973">
                  <c:v>-16.860827540936157</c:v>
                </c:pt>
                <c:pt idx="974">
                  <c:v>-16.877512204024804</c:v>
                </c:pt>
                <c:pt idx="975">
                  <c:v>-16.89419688380714</c:v>
                </c:pt>
                <c:pt idx="976">
                  <c:v>-16.910881580282872</c:v>
                </c:pt>
                <c:pt idx="977">
                  <c:v>-16.927566293451704</c:v>
                </c:pt>
                <c:pt idx="978">
                  <c:v>-16.944251023313349</c:v>
                </c:pt>
                <c:pt idx="979">
                  <c:v>-16.960935769867508</c:v>
                </c:pt>
                <c:pt idx="980">
                  <c:v>-16.977620533113889</c:v>
                </c:pt>
                <c:pt idx="981">
                  <c:v>-16.994305313052202</c:v>
                </c:pt>
                <c:pt idx="982">
                  <c:v>-17.010990109682151</c:v>
                </c:pt>
                <c:pt idx="983">
                  <c:v>-17.027674923003442</c:v>
                </c:pt>
                <c:pt idx="984">
                  <c:v>-17.044359753015783</c:v>
                </c:pt>
                <c:pt idx="985">
                  <c:v>-17.061044599718883</c:v>
                </c:pt>
                <c:pt idx="986">
                  <c:v>-17.077729463112448</c:v>
                </c:pt>
                <c:pt idx="987">
                  <c:v>-17.094414343196181</c:v>
                </c:pt>
                <c:pt idx="988">
                  <c:v>-17.111099239969793</c:v>
                </c:pt>
                <c:pt idx="989">
                  <c:v>-17.127784153432987</c:v>
                </c:pt>
                <c:pt idx="990">
                  <c:v>-17.144469083585474</c:v>
                </c:pt>
                <c:pt idx="991">
                  <c:v>-17.16115403042696</c:v>
                </c:pt>
                <c:pt idx="992">
                  <c:v>-17.177838993957153</c:v>
                </c:pt>
                <c:pt idx="993">
                  <c:v>-17.194523974175755</c:v>
                </c:pt>
                <c:pt idx="994">
                  <c:v>-17.211208971082478</c:v>
                </c:pt>
                <c:pt idx="995">
                  <c:v>-17.227893984677024</c:v>
                </c:pt>
                <c:pt idx="996">
                  <c:v>-17.244579014959104</c:v>
                </c:pt>
                <c:pt idx="997">
                  <c:v>-17.261264061928426</c:v>
                </c:pt>
                <c:pt idx="998">
                  <c:v>-17.277949125584691</c:v>
                </c:pt>
                <c:pt idx="999">
                  <c:v>-17.294634205927611</c:v>
                </c:pt>
                <c:pt idx="1000">
                  <c:v>-17.311319302956893</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2682.0954118470786</c:v>
                </c:pt>
                <c:pt idx="661">
                  <c:v>2683.9540607711888</c:v>
                </c:pt>
                <c:pt idx="662">
                  <c:v>2685.712853294111</c:v>
                </c:pt>
                <c:pt idx="663">
                  <c:v>2687.3719019504256</c:v>
                </c:pt>
                <c:pt idx="664">
                  <c:v>2688.9313163605293</c:v>
                </c:pt>
                <c:pt idx="665">
                  <c:v>2690.3912033542838</c:v>
                </c:pt>
                <c:pt idx="666">
                  <c:v>2691.7516670986306</c:v>
                </c:pt>
                <c:pt idx="667">
                  <c:v>2693.0128092292161</c:v>
                </c:pt>
                <c:pt idx="668">
                  <c:v>2694.1747289860391</c:v>
                </c:pt>
                <c:pt idx="669">
                  <c:v>2695.2375233530906</c:v>
                </c:pt>
                <c:pt idx="670">
                  <c:v>2696.2012872019259</c:v>
                </c:pt>
                <c:pt idx="671">
                  <c:v>2697.0661134390543</c:v>
                </c:pt>
                <c:pt idx="672">
                  <c:v>2697.8320931569942</c:v>
                </c:pt>
                <c:pt idx="673">
                  <c:v>2698.499315788792</c:v>
                </c:pt>
                <c:pt idx="674">
                  <c:v>2699.0678692657575</c:v>
                </c:pt>
                <c:pt idx="675">
                  <c:v>2699.537840178119</c:v>
                </c:pt>
                <c:pt idx="676">
                  <c:v>2699.9093139382608</c:v>
                </c:pt>
                <c:pt idx="677">
                  <c:v>2700.1823749461578</c:v>
                </c:pt>
                <c:pt idx="678">
                  <c:v>2700.3571067565831</c:v>
                </c:pt>
                <c:pt idx="679">
                  <c:v>2700.4335922476339</c:v>
                </c:pt>
                <c:pt idx="680">
                  <c:v>2700.4119137900852</c:v>
                </c:pt>
                <c:pt idx="681">
                  <c:v>2700.2921534170632</c:v>
                </c:pt>
                <c:pt idx="682">
                  <c:v>2700.074392993507</c:v>
                </c:pt>
                <c:pt idx="683">
                  <c:v>2699.7587143848855</c:v>
                </c:pt>
                <c:pt idx="684">
                  <c:v>2699.3451996246336</c:v>
                </c:pt>
                <c:pt idx="685">
                  <c:v>2698.833931079771</c:v>
                </c:pt>
                <c:pt idx="686">
                  <c:v>2698.2249916141932</c:v>
                </c:pt>
                <c:pt idx="687">
                  <c:v>2697.5184647491346</c:v>
                </c:pt>
                <c:pt idx="688">
                  <c:v>2696.7144348203387</c:v>
                </c:pt>
                <c:pt idx="689">
                  <c:v>2695.8129871315009</c:v>
                </c:pt>
                <c:pt idx="690">
                  <c:v>2694.8142081035871</c:v>
                </c:pt>
                <c:pt idx="691">
                  <c:v>2693.7181854196765</c:v>
                </c:pt>
                <c:pt idx="692">
                  <c:v>2692.525008165017</c:v>
                </c:pt>
                <c:pt idx="693">
                  <c:v>2691.2347669620358</c:v>
                </c:pt>
                <c:pt idx="694">
                  <c:v>2689.8475541000839</c:v>
                </c:pt>
                <c:pt idx="695">
                  <c:v>2688.363463659754</c:v>
                </c:pt>
                <c:pt idx="696">
                  <c:v>2686.782591631641</c:v>
                </c:pt>
                <c:pt idx="697">
                  <c:v>2685.105036029473</c:v>
                </c:pt>
                <c:pt idx="698">
                  <c:v>2683.3308969975724</c:v>
                </c:pt>
                <c:pt idx="699">
                  <c:v>2681.4602769126445</c:v>
                </c:pt>
                <c:pt idx="700">
                  <c:v>2679.4932804799323</c:v>
                </c:pt>
                <c:pt idx="701">
                  <c:v>2677.4300148237985</c:v>
                </c:pt>
                <c:pt idx="702">
                  <c:v>2675.2705895728318</c:v>
                </c:pt>
                <c:pt idx="703">
                  <c:v>2673.015116939589</c:v>
                </c:pt>
                <c:pt idx="704">
                  <c:v>2670.6637117951072</c:v>
                </c:pt>
                <c:pt idx="705">
                  <c:v>2668.2164917383434</c:v>
                </c:pt>
                <c:pt idx="706">
                  <c:v>2665.6735771606982</c:v>
                </c:pt>
                <c:pt idx="707">
                  <c:v>2663.0350913058019</c:v>
                </c:pt>
                <c:pt idx="708">
                  <c:v>2660.3011603247405</c:v>
                </c:pt>
                <c:pt idx="709">
                  <c:v>2657.47191332691</c:v>
                </c:pt>
                <c:pt idx="710">
                  <c:v>2654.5474824266817</c:v>
                </c:pt>
                <c:pt idx="711">
                  <c:v>2651.528002786069</c:v>
                </c:pt>
                <c:pt idx="712">
                  <c:v>2648.4136126535791</c:v>
                </c:pt>
                <c:pt idx="713">
                  <c:v>2645.2044533994349</c:v>
                </c:pt>
                <c:pt idx="714">
                  <c:v>2641.9006695473449</c:v>
                </c:pt>
                <c:pt idx="715">
                  <c:v>2638.5024088029941</c:v>
                </c:pt>
                <c:pt idx="716">
                  <c:v>2635.0098220794266</c:v>
                </c:pt>
                <c:pt idx="717">
                  <c:v>2631.4230635194826</c:v>
                </c:pt>
                <c:pt idx="718">
                  <c:v>2627.7422905154408</c:v>
                </c:pt>
                <c:pt idx="719">
                  <c:v>2623.9676637260231</c:v>
                </c:pt>
                <c:pt idx="720">
                  <c:v>2620.0993470908975</c:v>
                </c:pt>
                <c:pt idx="721">
                  <c:v>2616.1375078428159</c:v>
                </c:pt>
                <c:pt idx="722">
                  <c:v>2612.0823165175193</c:v>
                </c:pt>
                <c:pt idx="723">
                  <c:v>2607.9339469615234</c:v>
                </c:pt>
                <c:pt idx="724">
                  <c:v>2603.6925763379077</c:v>
                </c:pt>
                <c:pt idx="725">
                  <c:v>2599.3583851302124</c:v>
                </c:pt>
                <c:pt idx="726">
                  <c:v>2594.9315571445441</c:v>
                </c:pt>
                <c:pt idx="727">
                  <c:v>2590.4122795099893</c:v>
                </c:pt>
                <c:pt idx="728">
                  <c:v>2585.8007426774225</c:v>
                </c:pt>
                <c:pt idx="729">
                  <c:v>2581.0971404167985</c:v>
                </c:pt>
                <c:pt idx="730">
                  <c:v>2576.3016698130014</c:v>
                </c:pt>
                <c:pt idx="731">
                  <c:v>2571.4145312603314</c:v>
                </c:pt>
                <c:pt idx="732">
                  <c:v>2566.4359284556972</c:v>
                </c:pt>
                <c:pt idx="733">
                  <c:v>2561.3660683905764</c:v>
                </c:pt>
                <c:pt idx="734">
                  <c:v>2556.2051613418103</c:v>
                </c:pt>
                <c:pt idx="735">
                  <c:v>2550.9534208612872</c:v>
                </c:pt>
                <c:pt idx="736">
                  <c:v>2545.6110637645711</c:v>
                </c:pt>
                <c:pt idx="737">
                  <c:v>2540.178310118521</c:v>
                </c:pt>
                <c:pt idx="738">
                  <c:v>2534.6553832279569</c:v>
                </c:pt>
                <c:pt idx="739">
                  <c:v>2529.0425096214067</c:v>
                </c:pt>
                <c:pt idx="740">
                  <c:v>2523.3399190359846</c:v>
                </c:pt>
                <c:pt idx="741">
                  <c:v>2517.5478444014348</c:v>
                </c:pt>
                <c:pt idx="742">
                  <c:v>2511.6665218233802</c:v>
                </c:pt>
                <c:pt idx="743">
                  <c:v>2505.6961905658077</c:v>
                </c:pt>
                <c:pt idx="744">
                  <c:v>2499.6370930328267</c:v>
                </c:pt>
                <c:pt idx="745">
                  <c:v>2493.4894747497269</c:v>
                </c:pt>
                <c:pt idx="746">
                  <c:v>2487.2535843433684</c:v>
                </c:pt>
                <c:pt idx="747">
                  <c:v>2480.9296735219282</c:v>
                </c:pt>
                <c:pt idx="748">
                  <c:v>2474.5179970540307</c:v>
                </c:pt>
                <c:pt idx="749">
                  <c:v>2468.0188127472857</c:v>
                </c:pt>
                <c:pt idx="750">
                  <c:v>2461.4323814262575</c:v>
                </c:pt>
                <c:pt idx="751">
                  <c:v>2454.7589669098847</c:v>
                </c:pt>
                <c:pt idx="752">
                  <c:v>2447.998835988376</c:v>
                </c:pt>
                <c:pt idx="753">
                  <c:v>2441.1522583995957</c:v>
                </c:pt>
                <c:pt idx="754">
                  <c:v>2434.2195068049618</c:v>
                </c:pt>
                <c:pt idx="755">
                  <c:v>2427.2008567648736</c:v>
                </c:pt>
                <c:pt idx="756">
                  <c:v>2420.0965867136847</c:v>
                </c:pt>
                <c:pt idx="757">
                  <c:v>2412.9069779342376</c:v>
                </c:pt>
                <c:pt idx="758">
                  <c:v>2405.632314531977</c:v>
                </c:pt>
                <c:pt idx="759">
                  <c:v>2398.2728834086556</c:v>
                </c:pt>
                <c:pt idx="760">
                  <c:v>2390.8289742356442</c:v>
                </c:pt>
                <c:pt idx="761">
                  <c:v>2383.3008794268649</c:v>
                </c:pt>
                <c:pt idx="762">
                  <c:v>2375.6888941113552</c:v>
                </c:pt>
                <c:pt idx="763">
                  <c:v>2367.9933161054796</c:v>
                </c:pt>
                <c:pt idx="764">
                  <c:v>2360.2144458847984</c:v>
                </c:pt>
                <c:pt idx="765">
                  <c:v>2352.3525865556057</c:v>
                </c:pt>
                <c:pt idx="766">
                  <c:v>2344.4080438261503</c:v>
                </c:pt>
                <c:pt idx="767">
                  <c:v>2336.3811259775462</c:v>
                </c:pt>
                <c:pt idx="768">
                  <c:v>2328.2721438343874</c:v>
                </c:pt>
                <c:pt idx="769">
                  <c:v>2320.081410735077</c:v>
                </c:pt>
                <c:pt idx="770">
                  <c:v>2311.8092425018754</c:v>
                </c:pt>
                <c:pt idx="771">
                  <c:v>2303.4559574106861</c:v>
                </c:pt>
                <c:pt idx="772">
                  <c:v>2295.0218761605806</c:v>
                </c:pt>
                <c:pt idx="773">
                  <c:v>2286.5073218430762</c:v>
                </c:pt>
                <c:pt idx="774">
                  <c:v>2277.9126199111756</c:v>
                </c:pt>
                <c:pt idx="775">
                  <c:v>2269.2380981481742</c:v>
                </c:pt>
                <c:pt idx="776">
                  <c:v>2260.4840866362479</c:v>
                </c:pt>
                <c:pt idx="777">
                  <c:v>2251.6509177248263</c:v>
                </c:pt>
                <c:pt idx="778">
                  <c:v>2242.7389259987626</c:v>
                </c:pt>
                <c:pt idx="779">
                  <c:v>2233.7484482463055</c:v>
                </c:pt>
                <c:pt idx="780">
                  <c:v>2224.6798234268854</c:v>
                </c:pt>
                <c:pt idx="781">
                  <c:v>2215.5333926387157</c:v>
                </c:pt>
                <c:pt idx="782">
                  <c:v>2206.3094990862269</c:v>
                </c:pt>
                <c:pt idx="783">
                  <c:v>2197.0084880473314</c:v>
                </c:pt>
                <c:pt idx="784">
                  <c:v>2187.6307068405335</c:v>
                </c:pt>
                <c:pt idx="785">
                  <c:v>2178.1765047918884</c:v>
                </c:pt>
                <c:pt idx="786">
                  <c:v>2168.6462332018191</c:v>
                </c:pt>
                <c:pt idx="787">
                  <c:v>2159.0402453117981</c:v>
                </c:pt>
                <c:pt idx="788">
                  <c:v>2149.3588962709014</c:v>
                </c:pt>
                <c:pt idx="789">
                  <c:v>2139.6025431022413</c:v>
                </c:pt>
                <c:pt idx="790">
                  <c:v>2129.7715446692846</c:v>
                </c:pt>
                <c:pt idx="791">
                  <c:v>2119.866261642067</c:v>
                </c:pt>
                <c:pt idx="792">
                  <c:v>2109.8870564633025</c:v>
                </c:pt>
                <c:pt idx="793">
                  <c:v>2099.8342933144049</c:v>
                </c:pt>
                <c:pt idx="794">
                  <c:v>2089.7083380814192</c:v>
                </c:pt>
                <c:pt idx="795">
                  <c:v>2079.5095583208749</c:v>
                </c:pt>
                <c:pt idx="796">
                  <c:v>2069.238323225567</c:v>
                </c:pt>
                <c:pt idx="797">
                  <c:v>2058.8950035902676</c:v>
                </c:pt>
                <c:pt idx="798">
                  <c:v>2048.4799717773808</c:v>
                </c:pt>
                <c:pt idx="799">
                  <c:v>2037.9936016825429</c:v>
                </c:pt>
                <c:pt idx="800">
                  <c:v>2027.4362687001744</c:v>
                </c:pt>
                <c:pt idx="801">
                  <c:v>2016.8083496889924</c:v>
                </c:pt>
                <c:pt idx="802">
                  <c:v>2006.1102229374883</c:v>
                </c:pt>
                <c:pt idx="803">
                  <c:v>1995.3422681293771</c:v>
                </c:pt>
                <c:pt idx="804">
                  <c:v>1984.5048663090251</c:v>
                </c:pt>
                <c:pt idx="805">
                  <c:v>1973.5983998468614</c:v>
                </c:pt>
                <c:pt idx="806">
                  <c:v>1962.6232524047784</c:v>
                </c:pt>
                <c:pt idx="807">
                  <c:v>1951.5798089015314</c:v>
                </c:pt>
                <c:pt idx="808">
                  <c:v>1940.4684554781375</c:v>
                </c:pt>
                <c:pt idx="809">
                  <c:v>1929.2895794632843</c:v>
                </c:pt>
                <c:pt idx="810">
                  <c:v>1918.0435693387528</c:v>
                </c:pt>
                <c:pt idx="811">
                  <c:v>1906.7308147048586</c:v>
                </c:pt>
                <c:pt idx="812">
                  <c:v>1895.3517062459209</c:v>
                </c:pt>
                <c:pt idx="813">
                  <c:v>1883.9066356957617</c:v>
                </c:pt>
                <c:pt idx="814">
                  <c:v>1872.3959958032426</c:v>
                </c:pt>
                <c:pt idx="815">
                  <c:v>1860.8201802978444</c:v>
                </c:pt>
                <c:pt idx="816">
                  <c:v>1849.1795838552948</c:v>
                </c:pt>
                <c:pt idx="817">
                  <c:v>1837.4746020632508</c:v>
                </c:pt>
                <c:pt idx="818">
                  <c:v>1825.7056313870403</c:v>
                </c:pt>
                <c:pt idx="819">
                  <c:v>1813.8730691354679</c:v>
                </c:pt>
                <c:pt idx="820">
                  <c:v>1801.9773134266925</c:v>
                </c:pt>
                <c:pt idx="821">
                  <c:v>1790.0187631541794</c:v>
                </c:pt>
                <c:pt idx="822">
                  <c:v>1777.9978179527341</c:v>
                </c:pt>
                <c:pt idx="823">
                  <c:v>1765.9148781646222</c:v>
                </c:pt>
                <c:pt idx="824">
                  <c:v>1753.7703448057807</c:v>
                </c:pt>
                <c:pt idx="825">
                  <c:v>1741.5646195321256</c:v>
                </c:pt>
                <c:pt idx="826">
                  <c:v>1729.2981046059617</c:v>
                </c:pt>
                <c:pt idx="827">
                  <c:v>1716.9712028624995</c:v>
                </c:pt>
                <c:pt idx="828">
                  <c:v>1704.5843176764822</c:v>
                </c:pt>
                <c:pt idx="829">
                  <c:v>1692.1378529289314</c:v>
                </c:pt>
                <c:pt idx="830">
                  <c:v>1679.6322129740126</c:v>
                </c:pt>
                <c:pt idx="831">
                  <c:v>1667.067802606028</c:v>
                </c:pt>
                <c:pt idx="832">
                  <c:v>1654.4450270265397</c:v>
                </c:pt>
                <c:pt idx="833">
                  <c:v>1641.7642918116294</c:v>
                </c:pt>
                <c:pt idx="834">
                  <c:v>1629.0260028792977</c:v>
                </c:pt>
                <c:pt idx="835">
                  <c:v>1616.2305664570092</c:v>
                </c:pt>
                <c:pt idx="836">
                  <c:v>1603.3783890493855</c:v>
                </c:pt>
                <c:pt idx="837">
                  <c:v>1590.4698774060546</c:v>
                </c:pt>
                <c:pt idx="838">
                  <c:v>1577.5054384896557</c:v>
                </c:pt>
                <c:pt idx="839">
                  <c:v>1564.4854794440091</c:v>
                </c:pt>
                <c:pt idx="840">
                  <c:v>1551.4104075624516</c:v>
                </c:pt>
                <c:pt idx="841">
                  <c:v>1538.2806302563433</c:v>
                </c:pt>
                <c:pt idx="842">
                  <c:v>1525.0965550237499</c:v>
                </c:pt>
                <c:pt idx="843">
                  <c:v>1511.8585894183038</c:v>
                </c:pt>
                <c:pt idx="844">
                  <c:v>1498.567141018249</c:v>
                </c:pt>
                <c:pt idx="845">
                  <c:v>1485.2226173956726</c:v>
                </c:pt>
                <c:pt idx="846">
                  <c:v>1471.8254260859287</c:v>
                </c:pt>
                <c:pt idx="847">
                  <c:v>1458.3759745572552</c:v>
                </c:pt>
                <c:pt idx="848">
                  <c:v>1444.8746701805908</c:v>
                </c:pt>
                <c:pt idx="849">
                  <c:v>1431.3219201995944</c:v>
                </c:pt>
                <c:pt idx="850">
                  <c:v>1417.7181317008692</c:v>
                </c:pt>
                <c:pt idx="851">
                  <c:v>1404.0637115843974</c:v>
                </c:pt>
                <c:pt idx="852">
                  <c:v>1390.3590665341871</c:v>
                </c:pt>
                <c:pt idx="853">
                  <c:v>1376.6046029891359</c:v>
                </c:pt>
                <c:pt idx="854">
                  <c:v>1362.8007271141134</c:v>
                </c:pt>
                <c:pt idx="855">
                  <c:v>1348.9478447712686</c:v>
                </c:pt>
                <c:pt idx="856">
                  <c:v>1335.0463614915604</c:v>
                </c:pt>
                <c:pt idx="857">
                  <c:v>1321.0966824465195</c:v>
                </c:pt>
                <c:pt idx="858">
                  <c:v>1307.0992124202414</c:v>
                </c:pt>
                <c:pt idx="859">
                  <c:v>1293.0543557816156</c:v>
                </c:pt>
                <c:pt idx="860">
                  <c:v>1278.9625164567913</c:v>
                </c:pt>
                <c:pt idx="861">
                  <c:v>1264.8240979018854</c:v>
                </c:pt>
                <c:pt idx="862">
                  <c:v>1250.6395030759331</c:v>
                </c:pt>
                <c:pt idx="863">
                  <c:v>1236.4091344140861</c:v>
                </c:pt>
                <c:pt idx="864">
                  <c:v>1222.1333938010575</c:v>
                </c:pt>
                <c:pt idx="865">
                  <c:v>1207.8126825448203</c:v>
                </c:pt>
                <c:pt idx="866">
                  <c:v>1193.4474013505587</c:v>
                </c:pt>
                <c:pt idx="867">
                  <c:v>1179.0379502948756</c:v>
                </c:pt>
                <c:pt idx="868">
                  <c:v>1164.584728800259</c:v>
                </c:pt>
                <c:pt idx="869">
                  <c:v>1150.0881356098089</c:v>
                </c:pt>
                <c:pt idx="870">
                  <c:v>1135.5485687622272</c:v>
                </c:pt>
                <c:pt idx="871">
                  <c:v>1120.9664255670725</c:v>
                </c:pt>
                <c:pt idx="872">
                  <c:v>1106.3421025802825</c:v>
                </c:pt>
                <c:pt idx="873">
                  <c:v>1091.6759955799641</c:v>
                </c:pt>
                <c:pt idx="874">
                  <c:v>1076.9684995424557</c:v>
                </c:pt>
                <c:pt idx="875">
                  <c:v>1062.2200086186608</c:v>
                </c:pt>
                <c:pt idx="876">
                  <c:v>1047.4309161106571</c:v>
                </c:pt>
                <c:pt idx="877">
                  <c:v>1032.6016144485809</c:v>
                </c:pt>
                <c:pt idx="878">
                  <c:v>1017.7324951677889</c:v>
                </c:pt>
                <c:pt idx="879">
                  <c:v>1002.823948886299</c:v>
                </c:pt>
                <c:pt idx="880">
                  <c:v>987.87636528251198</c:v>
                </c:pt>
                <c:pt idx="881">
                  <c:v>972.89013307321432</c:v>
                </c:pt>
                <c:pt idx="882">
                  <c:v>957.86563999186455</c:v>
                </c:pt>
                <c:pt idx="883">
                  <c:v>942.80327276716332</c:v>
                </c:pt>
                <c:pt idx="884">
                  <c:v>927.70341710190951</c:v>
                </c:pt>
                <c:pt idx="885">
                  <c:v>912.56645765214182</c:v>
                </c:pt>
                <c:pt idx="886">
                  <c:v>897.39277800656873</c:v>
                </c:pt>
                <c:pt idx="887">
                  <c:v>882.18276066628584</c:v>
                </c:pt>
                <c:pt idx="888">
                  <c:v>866.93678702478326</c:v>
                </c:pt>
                <c:pt idx="889">
                  <c:v>851.65523734824205</c:v>
                </c:pt>
                <c:pt idx="890">
                  <c:v>836.3384907561217</c:v>
                </c:pt>
                <c:pt idx="891">
                  <c:v>820.98692520203917</c:v>
                </c:pt>
                <c:pt idx="892">
                  <c:v>805.60091745493901</c:v>
                </c:pt>
                <c:pt idx="893">
                  <c:v>790.18084308055631</c:v>
                </c:pt>
                <c:pt idx="894">
                  <c:v>774.72707642317221</c:v>
                </c:pt>
                <c:pt idx="895">
                  <c:v>759.23999058766253</c:v>
                </c:pt>
                <c:pt idx="896">
                  <c:v>743.71995742183981</c:v>
                </c:pt>
                <c:pt idx="897">
                  <c:v>728.16734749908892</c:v>
                </c:pt>
                <c:pt idx="898">
                  <c:v>712.58253010129613</c:v>
                </c:pt>
                <c:pt idx="899">
                  <c:v>696.96587320207277</c:v>
                </c:pt>
                <c:pt idx="900">
                  <c:v>681.31774345027191</c:v>
                </c:pt>
                <c:pt idx="901">
                  <c:v>665.63850615379965</c:v>
                </c:pt>
                <c:pt idx="902">
                  <c:v>649.92852526371951</c:v>
                </c:pt>
                <c:pt idx="903">
                  <c:v>634.18816335865085</c:v>
                </c:pt>
                <c:pt idx="904">
                  <c:v>618.41778162946071</c:v>
                </c:pt>
                <c:pt idx="905">
                  <c:v>602.61773986424805</c:v>
                </c:pt>
                <c:pt idx="906">
                  <c:v>586.78839643362164</c:v>
                </c:pt>
                <c:pt idx="907">
                  <c:v>570.93010827626961</c:v>
                </c:pt>
                <c:pt idx="908">
                  <c:v>555.04323088482101</c:v>
                </c:pt>
                <c:pt idx="909">
                  <c:v>539.12811829199927</c:v>
                </c:pt>
                <c:pt idx="910">
                  <c:v>523.1851230570652</c:v>
                </c:pt>
                <c:pt idx="911">
                  <c:v>507.21459625255142</c:v>
                </c:pt>
                <c:pt idx="912">
                  <c:v>491.2168874512854</c:v>
                </c:pt>
                <c:pt idx="913">
                  <c:v>475.1923447137014</c:v>
                </c:pt>
                <c:pt idx="914">
                  <c:v>459.14131457544033</c:v>
                </c:pt>
                <c:pt idx="915">
                  <c:v>443.06414203523644</c:v>
                </c:pt>
                <c:pt idx="916">
                  <c:v>426.96117054309047</c:v>
                </c:pt>
                <c:pt idx="917">
                  <c:v>410.83274198872743</c:v>
                </c:pt>
                <c:pt idx="918">
                  <c:v>394.67919669033893</c:v>
                </c:pt>
                <c:pt idx="919">
                  <c:v>378.50087338360828</c:v>
                </c:pt>
                <c:pt idx="920">
                  <c:v>362.29810921101785</c:v>
                </c:pt>
                <c:pt idx="921">
                  <c:v>346.0712397114367</c:v>
                </c:pt>
                <c:pt idx="922">
                  <c:v>329.82059880998827</c:v>
                </c:pt>
                <c:pt idx="923">
                  <c:v>313.54651880819614</c:v>
                </c:pt>
                <c:pt idx="924">
                  <c:v>297.24933037440678</c:v>
                </c:pt>
                <c:pt idx="925">
                  <c:v>280.92936253448801</c:v>
                </c:pt>
                <c:pt idx="926">
                  <c:v>264.58694266280162</c:v>
                </c:pt>
                <c:pt idx="927">
                  <c:v>248.22239647344895</c:v>
                </c:pt>
                <c:pt idx="928">
                  <c:v>231.8360480117878</c:v>
                </c:pt>
                <c:pt idx="929">
                  <c:v>215.42821964621891</c:v>
                </c:pt>
                <c:pt idx="930">
                  <c:v>198.99923206024107</c:v>
                </c:pt>
                <c:pt idx="931">
                  <c:v>182.54940424477255</c:v>
                </c:pt>
                <c:pt idx="932">
                  <c:v>166.07905349073775</c:v>
                </c:pt>
                <c:pt idx="933">
                  <c:v>149.58849538191711</c:v>
                </c:pt>
                <c:pt idx="934">
                  <c:v>133.07804378805864</c:v>
                </c:pt>
                <c:pt idx="935">
                  <c:v>116.5480108582493</c:v>
                </c:pt>
                <c:pt idx="936">
                  <c:v>99.998707014544564</c:v>
                </c:pt>
                <c:pt idx="937">
                  <c:v>83.430440945854102</c:v>
                </c:pt>
                <c:pt idx="938">
                  <c:v>66.843519602081969</c:v>
                </c:pt>
                <c:pt idx="939">
                  <c:v>50.238248188519286</c:v>
                </c:pt>
                <c:pt idx="940">
                  <c:v>33.614930160487539</c:v>
                </c:pt>
                <c:pt idx="941">
                  <c:v>16.973867218230524</c:v>
                </c:pt>
                <c:pt idx="942">
                  <c:v>0.31535930205298612</c:v>
                </c:pt>
                <c:pt idx="943">
                  <c:v>-16.360295412296061</c:v>
                </c:pt>
                <c:pt idx="944">
                  <c:v>-16.376979574437723</c:v>
                </c:pt>
                <c:pt idx="945">
                  <c:v>-16.393663753281871</c:v>
                </c:pt>
                <c:pt idx="946">
                  <c:v>-16.41034794882821</c:v>
                </c:pt>
                <c:pt idx="947">
                  <c:v>-16.427032161076447</c:v>
                </c:pt>
                <c:pt idx="948">
                  <c:v>-16.443716390026289</c:v>
                </c:pt>
                <c:pt idx="949">
                  <c:v>-16.460400635677441</c:v>
                </c:pt>
                <c:pt idx="950">
                  <c:v>-16.477084898029609</c:v>
                </c:pt>
                <c:pt idx="951">
                  <c:v>-16.493769177082505</c:v>
                </c:pt>
                <c:pt idx="952">
                  <c:v>-16.510453472835831</c:v>
                </c:pt>
                <c:pt idx="953">
                  <c:v>-16.527137785289295</c:v>
                </c:pt>
                <c:pt idx="954">
                  <c:v>-16.543822114442605</c:v>
                </c:pt>
                <c:pt idx="955">
                  <c:v>-16.560506460295468</c:v>
                </c:pt>
                <c:pt idx="956">
                  <c:v>-16.577190822847587</c:v>
                </c:pt>
                <c:pt idx="957">
                  <c:v>-16.593875202098673</c:v>
                </c:pt>
                <c:pt idx="958">
                  <c:v>-16.610559598048432</c:v>
                </c:pt>
                <c:pt idx="959">
                  <c:v>-16.627244010696572</c:v>
                </c:pt>
                <c:pt idx="960">
                  <c:v>-16.643928440042796</c:v>
                </c:pt>
                <c:pt idx="961">
                  <c:v>-16.660612886086813</c:v>
                </c:pt>
                <c:pt idx="962">
                  <c:v>-16.677297348828329</c:v>
                </c:pt>
                <c:pt idx="963">
                  <c:v>-16.693981828267052</c:v>
                </c:pt>
                <c:pt idx="964">
                  <c:v>-16.710666324402691</c:v>
                </c:pt>
                <c:pt idx="965">
                  <c:v>-16.727350837234948</c:v>
                </c:pt>
                <c:pt idx="966">
                  <c:v>-16.744035366763534</c:v>
                </c:pt>
                <c:pt idx="967">
                  <c:v>-16.760719912988151</c:v>
                </c:pt>
                <c:pt idx="968">
                  <c:v>-16.777404475908511</c:v>
                </c:pt>
                <c:pt idx="969">
                  <c:v>-16.794089055524317</c:v>
                </c:pt>
                <c:pt idx="970">
                  <c:v>-16.81077365183528</c:v>
                </c:pt>
                <c:pt idx="971">
                  <c:v>-16.827458264841102</c:v>
                </c:pt>
                <c:pt idx="972">
                  <c:v>-16.844142894541491</c:v>
                </c:pt>
                <c:pt idx="973">
                  <c:v>-16.860827540936157</c:v>
                </c:pt>
                <c:pt idx="974">
                  <c:v>-16.877512204024804</c:v>
                </c:pt>
                <c:pt idx="975">
                  <c:v>-16.89419688380714</c:v>
                </c:pt>
                <c:pt idx="976">
                  <c:v>-16.910881580282872</c:v>
                </c:pt>
                <c:pt idx="977">
                  <c:v>-16.927566293451704</c:v>
                </c:pt>
                <c:pt idx="978">
                  <c:v>-16.944251023313349</c:v>
                </c:pt>
                <c:pt idx="979">
                  <c:v>-16.960935769867508</c:v>
                </c:pt>
                <c:pt idx="980">
                  <c:v>-16.977620533113889</c:v>
                </c:pt>
                <c:pt idx="981">
                  <c:v>-16.994305313052202</c:v>
                </c:pt>
                <c:pt idx="982">
                  <c:v>-17.010990109682151</c:v>
                </c:pt>
                <c:pt idx="983">
                  <c:v>-17.027674923003442</c:v>
                </c:pt>
                <c:pt idx="984">
                  <c:v>-17.044359753015783</c:v>
                </c:pt>
                <c:pt idx="985">
                  <c:v>-17.061044599718883</c:v>
                </c:pt>
                <c:pt idx="986">
                  <c:v>-17.077729463112448</c:v>
                </c:pt>
                <c:pt idx="987">
                  <c:v>-17.094414343196181</c:v>
                </c:pt>
                <c:pt idx="988">
                  <c:v>-17.111099239969793</c:v>
                </c:pt>
                <c:pt idx="989">
                  <c:v>-17.127784153432987</c:v>
                </c:pt>
                <c:pt idx="990">
                  <c:v>-17.144469083585474</c:v>
                </c:pt>
                <c:pt idx="991">
                  <c:v>-17.16115403042696</c:v>
                </c:pt>
                <c:pt idx="992">
                  <c:v>-17.177838993957153</c:v>
                </c:pt>
                <c:pt idx="993">
                  <c:v>-17.194523974175755</c:v>
                </c:pt>
                <c:pt idx="994">
                  <c:v>-17.211208971082478</c:v>
                </c:pt>
                <c:pt idx="995">
                  <c:v>-17.227893984677024</c:v>
                </c:pt>
                <c:pt idx="996">
                  <c:v>-17.244579014959104</c:v>
                </c:pt>
                <c:pt idx="997">
                  <c:v>-17.261264061928426</c:v>
                </c:pt>
                <c:pt idx="998">
                  <c:v>-17.277949125584691</c:v>
                </c:pt>
                <c:pt idx="999">
                  <c:v>-17.294634205927611</c:v>
                </c:pt>
                <c:pt idx="1000">
                  <c:v>-17.311319302956893</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21</c:v>
                </c:pt>
                <c:pt idx="1">
                  <c:v>211.35392801291565</c:v>
                </c:pt>
                <c:pt idx="2">
                  <c:v>401.70785602583129</c:v>
                </c:pt>
                <c:pt idx="3">
                  <c:v>399.50058063451644</c:v>
                </c:pt>
                <c:pt idx="4">
                  <c:v>401.70785602583129</c:v>
                </c:pt>
                <c:pt idx="5">
                  <c:v>394.57058063451638</c:v>
                </c:pt>
                <c:pt idx="6">
                  <c:v>401.70785602583129</c:v>
                </c:pt>
              </c:numCache>
            </c:numRef>
          </c:xVal>
          <c:yVal>
            <c:numRef>
              <c:f>Trajecto!$C$129:$C$135</c:f>
              <c:numCache>
                <c:formatCode>0</c:formatCode>
                <c:ptCount val="7"/>
                <c:pt idx="0">
                  <c:v>2682.0954118470786</c:v>
                </c:pt>
                <c:pt idx="1">
                  <c:v>1341.0477059235393</c:v>
                </c:pt>
                <c:pt idx="2">
                  <c:v>0</c:v>
                </c:pt>
                <c:pt idx="3">
                  <c:v>48.845752018323864</c:v>
                </c:pt>
                <c:pt idx="4">
                  <c:v>0</c:v>
                </c:pt>
                <c:pt idx="5">
                  <c:v>17.436932823791111</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Calculs!$AE$4:$AE$1004</c:f>
              <c:numCache>
                <c:formatCode>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5.25</c:v>
                </c:pt>
              </c:numCache>
            </c:numRef>
          </c:xVal>
          <c:yVal>
            <c:numRef>
              <c:f>Trajecto!$C$155</c:f>
              <c:numCache>
                <c:formatCode>0</c:formatCode>
                <c:ptCount val="1"/>
                <c:pt idx="0">
                  <c:v>1341.0477059235393</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36.100000000000179</c:v>
                </c:pt>
              </c:numCache>
            </c:numRef>
          </c:xVal>
          <c:yVal>
            <c:numRef>
              <c:f>Trajecto!$C$156</c:f>
              <c:numCache>
                <c:formatCode>0</c:formatCode>
                <c:ptCount val="1"/>
                <c:pt idx="0">
                  <c:v>1350.2167961238169</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Calculs!$T$4:$T$1004</c:f>
              <c:numCache>
                <c:formatCode>0.00</c:formatCode>
                <c:ptCount val="1001"/>
                <c:pt idx="0">
                  <c:v>112.92291</c:v>
                </c:pt>
                <c:pt idx="1">
                  <c:v>112.91235932965608</c:v>
                </c:pt>
                <c:pt idx="2">
                  <c:v>112.89017250883352</c:v>
                </c:pt>
                <c:pt idx="3">
                  <c:v>112.86316108918267</c:v>
                </c:pt>
                <c:pt idx="4">
                  <c:v>112.83132507070353</c:v>
                </c:pt>
                <c:pt idx="5">
                  <c:v>112.79466445339612</c:v>
                </c:pt>
                <c:pt idx="6">
                  <c:v>112.75317923726043</c:v>
                </c:pt>
                <c:pt idx="7">
                  <c:v>112.70686942229645</c:v>
                </c:pt>
                <c:pt idx="8">
                  <c:v>112.65573500850421</c:v>
                </c:pt>
                <c:pt idx="9">
                  <c:v>112.59977599588369</c:v>
                </c:pt>
                <c:pt idx="10">
                  <c:v>112.53899238443489</c:v>
                </c:pt>
                <c:pt idx="11">
                  <c:v>112.47615274911919</c:v>
                </c:pt>
                <c:pt idx="12">
                  <c:v>112.41402566489799</c:v>
                </c:pt>
                <c:pt idx="13">
                  <c:v>112.35263219239475</c:v>
                </c:pt>
                <c:pt idx="14">
                  <c:v>112.29199339223298</c:v>
                </c:pt>
                <c:pt idx="15">
                  <c:v>112.23210926441266</c:v>
                </c:pt>
                <c:pt idx="16">
                  <c:v>112.17297980893377</c:v>
                </c:pt>
                <c:pt idx="17">
                  <c:v>112.11460502579637</c:v>
                </c:pt>
                <c:pt idx="18">
                  <c:v>112.0569849150004</c:v>
                </c:pt>
                <c:pt idx="19">
                  <c:v>112.00011947654588</c:v>
                </c:pt>
                <c:pt idx="20">
                  <c:v>111.94400871043281</c:v>
                </c:pt>
                <c:pt idx="21">
                  <c:v>111.8886526166612</c:v>
                </c:pt>
                <c:pt idx="22">
                  <c:v>111.83405119523105</c:v>
                </c:pt>
                <c:pt idx="23">
                  <c:v>111.78020444614235</c:v>
                </c:pt>
                <c:pt idx="24">
                  <c:v>111.7271123693951</c:v>
                </c:pt>
                <c:pt idx="25">
                  <c:v>111.6747749649893</c:v>
                </c:pt>
                <c:pt idx="26">
                  <c:v>111.62319223292495</c:v>
                </c:pt>
                <c:pt idx="27">
                  <c:v>111.57199502727381</c:v>
                </c:pt>
                <c:pt idx="28">
                  <c:v>111.5208142021076</c:v>
                </c:pt>
                <c:pt idx="29">
                  <c:v>111.46964975742631</c:v>
                </c:pt>
                <c:pt idx="30">
                  <c:v>111.41850169322996</c:v>
                </c:pt>
                <c:pt idx="31">
                  <c:v>111.36737000951854</c:v>
                </c:pt>
                <c:pt idx="32">
                  <c:v>111.31625470629204</c:v>
                </c:pt>
                <c:pt idx="33">
                  <c:v>111.26515578355048</c:v>
                </c:pt>
                <c:pt idx="34">
                  <c:v>111.21407324129385</c:v>
                </c:pt>
                <c:pt idx="35">
                  <c:v>111.16300707952215</c:v>
                </c:pt>
                <c:pt idx="36">
                  <c:v>111.11195729823538</c:v>
                </c:pt>
                <c:pt idx="37">
                  <c:v>111.06092389743354</c:v>
                </c:pt>
                <c:pt idx="38">
                  <c:v>111.00990687711662</c:v>
                </c:pt>
                <c:pt idx="39">
                  <c:v>110.95890623728464</c:v>
                </c:pt>
                <c:pt idx="40">
                  <c:v>110.9079219779376</c:v>
                </c:pt>
                <c:pt idx="41">
                  <c:v>110.85695409907548</c:v>
                </c:pt>
                <c:pt idx="42">
                  <c:v>110.80600260069829</c:v>
                </c:pt>
                <c:pt idx="43">
                  <c:v>110.75506748280603</c:v>
                </c:pt>
                <c:pt idx="44">
                  <c:v>110.70414874539871</c:v>
                </c:pt>
                <c:pt idx="45">
                  <c:v>110.65324638847633</c:v>
                </c:pt>
                <c:pt idx="46">
                  <c:v>110.60236041203886</c:v>
                </c:pt>
                <c:pt idx="47">
                  <c:v>110.55149081608633</c:v>
                </c:pt>
                <c:pt idx="48">
                  <c:v>110.50063760061873</c:v>
                </c:pt>
                <c:pt idx="49">
                  <c:v>110.44980076563607</c:v>
                </c:pt>
                <c:pt idx="50">
                  <c:v>110.39898031113832</c:v>
                </c:pt>
                <c:pt idx="51">
                  <c:v>110.34817623712551</c:v>
                </c:pt>
                <c:pt idx="52">
                  <c:v>110.29738854359763</c:v>
                </c:pt>
                <c:pt idx="53">
                  <c:v>110.24661723055469</c:v>
                </c:pt>
                <c:pt idx="54">
                  <c:v>110.19586229799667</c:v>
                </c:pt>
                <c:pt idx="55">
                  <c:v>110.14512374592358</c:v>
                </c:pt>
                <c:pt idx="56">
                  <c:v>110.09440157433542</c:v>
                </c:pt>
                <c:pt idx="57">
                  <c:v>110.04369578323221</c:v>
                </c:pt>
                <c:pt idx="58">
                  <c:v>109.99300637261392</c:v>
                </c:pt>
                <c:pt idx="59">
                  <c:v>109.94233334248055</c:v>
                </c:pt>
                <c:pt idx="60">
                  <c:v>109.89167669283212</c:v>
                </c:pt>
                <c:pt idx="61">
                  <c:v>109.84103642366863</c:v>
                </c:pt>
                <c:pt idx="62">
                  <c:v>109.79041253499007</c:v>
                </c:pt>
                <c:pt idx="63">
                  <c:v>109.73980502679642</c:v>
                </c:pt>
                <c:pt idx="64">
                  <c:v>109.6892138990877</c:v>
                </c:pt>
                <c:pt idx="65">
                  <c:v>109.63863915186393</c:v>
                </c:pt>
                <c:pt idx="66">
                  <c:v>109.58808078512509</c:v>
                </c:pt>
                <c:pt idx="67">
                  <c:v>109.53753879887117</c:v>
                </c:pt>
                <c:pt idx="68">
                  <c:v>109.48701319310219</c:v>
                </c:pt>
                <c:pt idx="69">
                  <c:v>109.43650396781813</c:v>
                </c:pt>
                <c:pt idx="70">
                  <c:v>109.38601112301902</c:v>
                </c:pt>
                <c:pt idx="71">
                  <c:v>109.33553465870482</c:v>
                </c:pt>
                <c:pt idx="72">
                  <c:v>109.28507871310332</c:v>
                </c:pt>
                <c:pt idx="73">
                  <c:v>109.2346474244423</c:v>
                </c:pt>
                <c:pt idx="74">
                  <c:v>109.18424079272175</c:v>
                </c:pt>
                <c:pt idx="75">
                  <c:v>109.13385881794169</c:v>
                </c:pt>
                <c:pt idx="76">
                  <c:v>109.0835015001021</c:v>
                </c:pt>
                <c:pt idx="77">
                  <c:v>109.03316883920297</c:v>
                </c:pt>
                <c:pt idx="78">
                  <c:v>108.98286083524434</c:v>
                </c:pt>
                <c:pt idx="79">
                  <c:v>108.93257748822617</c:v>
                </c:pt>
                <c:pt idx="80">
                  <c:v>108.88231879814849</c:v>
                </c:pt>
                <c:pt idx="81">
                  <c:v>108.83208476501127</c:v>
                </c:pt>
                <c:pt idx="82">
                  <c:v>108.78187538881453</c:v>
                </c:pt>
                <c:pt idx="83">
                  <c:v>108.73169066955826</c:v>
                </c:pt>
                <c:pt idx="84">
                  <c:v>108.68153060724245</c:v>
                </c:pt>
                <c:pt idx="85">
                  <c:v>108.63139520186715</c:v>
                </c:pt>
                <c:pt idx="86">
                  <c:v>108.5812844534323</c:v>
                </c:pt>
                <c:pt idx="87">
                  <c:v>108.53119836193794</c:v>
                </c:pt>
                <c:pt idx="88">
                  <c:v>108.48113692738404</c:v>
                </c:pt>
                <c:pt idx="89">
                  <c:v>108.43110014977061</c:v>
                </c:pt>
                <c:pt idx="90">
                  <c:v>108.38108802909767</c:v>
                </c:pt>
                <c:pt idx="91">
                  <c:v>108.33110056536519</c:v>
                </c:pt>
                <c:pt idx="92">
                  <c:v>108.28113775857321</c:v>
                </c:pt>
                <c:pt idx="93">
                  <c:v>108.23119960872168</c:v>
                </c:pt>
                <c:pt idx="94">
                  <c:v>108.18128611581064</c:v>
                </c:pt>
                <c:pt idx="95">
                  <c:v>108.13139727984006</c:v>
                </c:pt>
                <c:pt idx="96">
                  <c:v>108.08153310080998</c:v>
                </c:pt>
                <c:pt idx="97">
                  <c:v>108.03169357872035</c:v>
                </c:pt>
                <c:pt idx="98">
                  <c:v>107.98187871357121</c:v>
                </c:pt>
                <c:pt idx="99">
                  <c:v>107.93208850536253</c:v>
                </c:pt>
                <c:pt idx="100">
                  <c:v>107.88232295409433</c:v>
                </c:pt>
                <c:pt idx="101">
                  <c:v>107.83258205976661</c:v>
                </c:pt>
                <c:pt idx="102">
                  <c:v>107.78286582237936</c:v>
                </c:pt>
                <c:pt idx="103">
                  <c:v>107.7331742419326</c:v>
                </c:pt>
                <c:pt idx="104">
                  <c:v>107.68350731842629</c:v>
                </c:pt>
                <c:pt idx="105">
                  <c:v>107.63386505186047</c:v>
                </c:pt>
                <c:pt idx="106">
                  <c:v>107.58424744223512</c:v>
                </c:pt>
                <c:pt idx="107">
                  <c:v>107.53465448955025</c:v>
                </c:pt>
                <c:pt idx="108">
                  <c:v>107.48508619380584</c:v>
                </c:pt>
                <c:pt idx="109">
                  <c:v>107.43554255500192</c:v>
                </c:pt>
                <c:pt idx="110">
                  <c:v>107.38602357313847</c:v>
                </c:pt>
                <c:pt idx="111">
                  <c:v>107.3365292482155</c:v>
                </c:pt>
                <c:pt idx="112">
                  <c:v>107.28705958023301</c:v>
                </c:pt>
                <c:pt idx="113">
                  <c:v>107.23761456919098</c:v>
                </c:pt>
                <c:pt idx="114">
                  <c:v>107.18819421508942</c:v>
                </c:pt>
                <c:pt idx="115">
                  <c:v>107.13879851792835</c:v>
                </c:pt>
                <c:pt idx="116">
                  <c:v>107.08942747770774</c:v>
                </c:pt>
                <c:pt idx="117">
                  <c:v>107.04008109442762</c:v>
                </c:pt>
                <c:pt idx="118">
                  <c:v>106.99075936808798</c:v>
                </c:pt>
                <c:pt idx="119">
                  <c:v>106.9414622986888</c:v>
                </c:pt>
                <c:pt idx="120">
                  <c:v>106.8921898862301</c:v>
                </c:pt>
                <c:pt idx="121">
                  <c:v>106.84294213071186</c:v>
                </c:pt>
                <c:pt idx="122">
                  <c:v>106.79371903213412</c:v>
                </c:pt>
                <c:pt idx="123">
                  <c:v>106.74452059049683</c:v>
                </c:pt>
                <c:pt idx="124">
                  <c:v>106.69534680580003</c:v>
                </c:pt>
                <c:pt idx="125">
                  <c:v>106.64619767804371</c:v>
                </c:pt>
                <c:pt idx="126">
                  <c:v>106.59707320722785</c:v>
                </c:pt>
                <c:pt idx="127">
                  <c:v>106.54797339335248</c:v>
                </c:pt>
                <c:pt idx="128">
                  <c:v>106.49889823641757</c:v>
                </c:pt>
                <c:pt idx="129">
                  <c:v>106.44986636068742</c:v>
                </c:pt>
                <c:pt idx="130">
                  <c:v>106.40089639042628</c:v>
                </c:pt>
                <c:pt idx="131">
                  <c:v>106.35198832563418</c:v>
                </c:pt>
                <c:pt idx="132">
                  <c:v>106.3031421663111</c:v>
                </c:pt>
                <c:pt idx="133">
                  <c:v>106.25435791245704</c:v>
                </c:pt>
                <c:pt idx="134">
                  <c:v>106.20563556407201</c:v>
                </c:pt>
                <c:pt idx="135">
                  <c:v>106.15697512115601</c:v>
                </c:pt>
                <c:pt idx="136">
                  <c:v>106.10837658370903</c:v>
                </c:pt>
                <c:pt idx="137">
                  <c:v>106.05983995173108</c:v>
                </c:pt>
                <c:pt idx="138">
                  <c:v>106.01136522522214</c:v>
                </c:pt>
                <c:pt idx="139">
                  <c:v>105.96295240418222</c:v>
                </c:pt>
                <c:pt idx="140">
                  <c:v>105.91460148861131</c:v>
                </c:pt>
                <c:pt idx="141">
                  <c:v>105.86631247850944</c:v>
                </c:pt>
                <c:pt idx="142">
                  <c:v>105.8180853738766</c:v>
                </c:pt>
                <c:pt idx="143">
                  <c:v>105.76992017471279</c:v>
                </c:pt>
                <c:pt idx="144">
                  <c:v>105.721816881018</c:v>
                </c:pt>
                <c:pt idx="145">
                  <c:v>105.67377549279223</c:v>
                </c:pt>
                <c:pt idx="146">
                  <c:v>105.62579601003549</c:v>
                </c:pt>
                <c:pt idx="147">
                  <c:v>105.57787843274777</c:v>
                </c:pt>
                <c:pt idx="148">
                  <c:v>105.53002276092909</c:v>
                </c:pt>
                <c:pt idx="149">
                  <c:v>105.48222899457942</c:v>
                </c:pt>
                <c:pt idx="150">
                  <c:v>105.43449713369876</c:v>
                </c:pt>
                <c:pt idx="151">
                  <c:v>105.38682717828713</c:v>
                </c:pt>
                <c:pt idx="152">
                  <c:v>105.33921912834452</c:v>
                </c:pt>
                <c:pt idx="153">
                  <c:v>105.29167298387094</c:v>
                </c:pt>
                <c:pt idx="154">
                  <c:v>105.24418874486639</c:v>
                </c:pt>
                <c:pt idx="155">
                  <c:v>105.19676641133086</c:v>
                </c:pt>
                <c:pt idx="156">
                  <c:v>105.14940598326436</c:v>
                </c:pt>
                <c:pt idx="157">
                  <c:v>105.10210746066687</c:v>
                </c:pt>
                <c:pt idx="158">
                  <c:v>105.05487084353842</c:v>
                </c:pt>
                <c:pt idx="159">
                  <c:v>105.007696131879</c:v>
                </c:pt>
                <c:pt idx="160">
                  <c:v>104.96058332568859</c:v>
                </c:pt>
                <c:pt idx="161">
                  <c:v>104.91353242496722</c:v>
                </c:pt>
                <c:pt idx="162">
                  <c:v>104.86654342971487</c:v>
                </c:pt>
                <c:pt idx="163">
                  <c:v>104.81961633993153</c:v>
                </c:pt>
                <c:pt idx="164">
                  <c:v>104.77275115561721</c:v>
                </c:pt>
                <c:pt idx="165">
                  <c:v>104.72594787677191</c:v>
                </c:pt>
                <c:pt idx="166">
                  <c:v>104.67920650339565</c:v>
                </c:pt>
                <c:pt idx="167">
                  <c:v>104.63252703548841</c:v>
                </c:pt>
                <c:pt idx="168">
                  <c:v>104.58590947305019</c:v>
                </c:pt>
                <c:pt idx="169">
                  <c:v>104.539353816081</c:v>
                </c:pt>
                <c:pt idx="170">
                  <c:v>104.49286006458084</c:v>
                </c:pt>
                <c:pt idx="171">
                  <c:v>104.4464282185497</c:v>
                </c:pt>
                <c:pt idx="172">
                  <c:v>104.4000582779876</c:v>
                </c:pt>
                <c:pt idx="173">
                  <c:v>104.35375024289451</c:v>
                </c:pt>
                <c:pt idx="174">
                  <c:v>104.30750411327044</c:v>
                </c:pt>
                <c:pt idx="175">
                  <c:v>104.26131988911538</c:v>
                </c:pt>
                <c:pt idx="176">
                  <c:v>104.21519757042937</c:v>
                </c:pt>
                <c:pt idx="177">
                  <c:v>104.16913715721236</c:v>
                </c:pt>
                <c:pt idx="178">
                  <c:v>104.12313864946438</c:v>
                </c:pt>
                <c:pt idx="179">
                  <c:v>104.07720204718542</c:v>
                </c:pt>
                <c:pt idx="180">
                  <c:v>104.03132735037551</c:v>
                </c:pt>
                <c:pt idx="181">
                  <c:v>103.9855145590346</c:v>
                </c:pt>
                <c:pt idx="182">
                  <c:v>103.93976367316273</c:v>
                </c:pt>
                <c:pt idx="183">
                  <c:v>103.89407469275987</c:v>
                </c:pt>
                <c:pt idx="184">
                  <c:v>103.84844761782605</c:v>
                </c:pt>
                <c:pt idx="185">
                  <c:v>103.80288244836126</c:v>
                </c:pt>
                <c:pt idx="186">
                  <c:v>103.75737918436549</c:v>
                </c:pt>
                <c:pt idx="187">
                  <c:v>103.71193782583872</c:v>
                </c:pt>
                <c:pt idx="188">
                  <c:v>103.66655837278098</c:v>
                </c:pt>
                <c:pt idx="189">
                  <c:v>103.62124082519226</c:v>
                </c:pt>
                <c:pt idx="190">
                  <c:v>103.57598518307258</c:v>
                </c:pt>
                <c:pt idx="191">
                  <c:v>103.53079144642192</c:v>
                </c:pt>
                <c:pt idx="192">
                  <c:v>103.48565961524028</c:v>
                </c:pt>
                <c:pt idx="193">
                  <c:v>103.44058968952767</c:v>
                </c:pt>
                <c:pt idx="194">
                  <c:v>103.39558166928408</c:v>
                </c:pt>
                <c:pt idx="195">
                  <c:v>103.35063555450952</c:v>
                </c:pt>
                <c:pt idx="196">
                  <c:v>103.30575134520399</c:v>
                </c:pt>
                <c:pt idx="197">
                  <c:v>103.26092904136748</c:v>
                </c:pt>
                <c:pt idx="198">
                  <c:v>103.21616864299999</c:v>
                </c:pt>
                <c:pt idx="199">
                  <c:v>103.17147015010153</c:v>
                </c:pt>
                <c:pt idx="200">
                  <c:v>103.12683356267208</c:v>
                </c:pt>
                <c:pt idx="201">
                  <c:v>103.08225888071165</c:v>
                </c:pt>
                <c:pt idx="202">
                  <c:v>103.03774610422026</c:v>
                </c:pt>
                <c:pt idx="203">
                  <c:v>102.99329523319788</c:v>
                </c:pt>
                <c:pt idx="204">
                  <c:v>102.94890626764453</c:v>
                </c:pt>
                <c:pt idx="205">
                  <c:v>102.9045792075602</c:v>
                </c:pt>
                <c:pt idx="206">
                  <c:v>102.86031845475705</c:v>
                </c:pt>
                <c:pt idx="207">
                  <c:v>102.81612841104717</c:v>
                </c:pt>
                <c:pt idx="208">
                  <c:v>102.77200907643058</c:v>
                </c:pt>
                <c:pt idx="209">
                  <c:v>102.72796045090726</c:v>
                </c:pt>
                <c:pt idx="210">
                  <c:v>102.68398253447722</c:v>
                </c:pt>
                <c:pt idx="211">
                  <c:v>102.64007532714048</c:v>
                </c:pt>
                <c:pt idx="212">
                  <c:v>102.59623882889703</c:v>
                </c:pt>
                <c:pt idx="213">
                  <c:v>102.55247303974686</c:v>
                </c:pt>
                <c:pt idx="214">
                  <c:v>102.50877795968997</c:v>
                </c:pt>
                <c:pt idx="215">
                  <c:v>102.46515358872635</c:v>
                </c:pt>
                <c:pt idx="216">
                  <c:v>102.42159992685603</c:v>
                </c:pt>
                <c:pt idx="217">
                  <c:v>102.37811697407899</c:v>
                </c:pt>
                <c:pt idx="218">
                  <c:v>102.33470473039523</c:v>
                </c:pt>
                <c:pt idx="219">
                  <c:v>102.29136319580476</c:v>
                </c:pt>
                <c:pt idx="220">
                  <c:v>102.24809237030759</c:v>
                </c:pt>
                <c:pt idx="221">
                  <c:v>102.20489225390369</c:v>
                </c:pt>
                <c:pt idx="222">
                  <c:v>102.16176284659308</c:v>
                </c:pt>
                <c:pt idx="223">
                  <c:v>102.11870414837574</c:v>
                </c:pt>
                <c:pt idx="224">
                  <c:v>102.07571615925168</c:v>
                </c:pt>
                <c:pt idx="225">
                  <c:v>102.03279887922093</c:v>
                </c:pt>
                <c:pt idx="226">
                  <c:v>101.98995230828346</c:v>
                </c:pt>
                <c:pt idx="227">
                  <c:v>101.94717644643927</c:v>
                </c:pt>
                <c:pt idx="228">
                  <c:v>101.90447129368836</c:v>
                </c:pt>
                <c:pt idx="229">
                  <c:v>101.86183685003074</c:v>
                </c:pt>
                <c:pt idx="230">
                  <c:v>101.81927311546639</c:v>
                </c:pt>
                <c:pt idx="231">
                  <c:v>101.77678008999533</c:v>
                </c:pt>
                <c:pt idx="232">
                  <c:v>101.73435777361756</c:v>
                </c:pt>
                <c:pt idx="233">
                  <c:v>101.69200616633309</c:v>
                </c:pt>
                <c:pt idx="234">
                  <c:v>101.64972526814188</c:v>
                </c:pt>
                <c:pt idx="235">
                  <c:v>101.60751507904396</c:v>
                </c:pt>
                <c:pt idx="236">
                  <c:v>101.56537559903933</c:v>
                </c:pt>
                <c:pt idx="237">
                  <c:v>101.52330682812797</c:v>
                </c:pt>
                <c:pt idx="238">
                  <c:v>101.48130876630992</c:v>
                </c:pt>
                <c:pt idx="239">
                  <c:v>101.43938141358515</c:v>
                </c:pt>
                <c:pt idx="240">
                  <c:v>101.39752476995366</c:v>
                </c:pt>
                <c:pt idx="241">
                  <c:v>101.35573883541545</c:v>
                </c:pt>
                <c:pt idx="242">
                  <c:v>101.31403862541504</c:v>
                </c:pt>
                <c:pt idx="243">
                  <c:v>101.27243915539695</c:v>
                </c:pt>
                <c:pt idx="244">
                  <c:v>101.2309404253612</c:v>
                </c:pt>
                <c:pt idx="245">
                  <c:v>101.18954243530776</c:v>
                </c:pt>
                <c:pt idx="246">
                  <c:v>101.14824518523665</c:v>
                </c:pt>
                <c:pt idx="247">
                  <c:v>101.10704867514785</c:v>
                </c:pt>
                <c:pt idx="248">
                  <c:v>101.06595290504139</c:v>
                </c:pt>
                <c:pt idx="249">
                  <c:v>101.02495787491725</c:v>
                </c:pt>
                <c:pt idx="250">
                  <c:v>100.98406358477544</c:v>
                </c:pt>
                <c:pt idx="251">
                  <c:v>100.94327003461596</c:v>
                </c:pt>
                <c:pt idx="252">
                  <c:v>100.9025772244388</c:v>
                </c:pt>
                <c:pt idx="253">
                  <c:v>100.86198515424397</c:v>
                </c:pt>
                <c:pt idx="254">
                  <c:v>100.82149382403146</c:v>
                </c:pt>
                <c:pt idx="255">
                  <c:v>100.78110323380128</c:v>
                </c:pt>
                <c:pt idx="256">
                  <c:v>100.74081338355342</c:v>
                </c:pt>
                <c:pt idx="257">
                  <c:v>100.70062427328787</c:v>
                </c:pt>
                <c:pt idx="258">
                  <c:v>100.66053590300466</c:v>
                </c:pt>
                <c:pt idx="259">
                  <c:v>100.62054827270376</c:v>
                </c:pt>
                <c:pt idx="260">
                  <c:v>100.58066138238519</c:v>
                </c:pt>
                <c:pt idx="261">
                  <c:v>100.54087523204895</c:v>
                </c:pt>
                <c:pt idx="262">
                  <c:v>100.50118982169502</c:v>
                </c:pt>
                <c:pt idx="263">
                  <c:v>100.46160515132343</c:v>
                </c:pt>
                <c:pt idx="264">
                  <c:v>100.42212122093414</c:v>
                </c:pt>
                <c:pt idx="265">
                  <c:v>100.38273803052719</c:v>
                </c:pt>
                <c:pt idx="266">
                  <c:v>100.34345558010256</c:v>
                </c:pt>
                <c:pt idx="267">
                  <c:v>100.30427386966026</c:v>
                </c:pt>
                <c:pt idx="268">
                  <c:v>100.2651928992003</c:v>
                </c:pt>
                <c:pt idx="269">
                  <c:v>100.22621266872265</c:v>
                </c:pt>
                <c:pt idx="270">
                  <c:v>100.18733317822733</c:v>
                </c:pt>
                <c:pt idx="271">
                  <c:v>100.14855442771434</c:v>
                </c:pt>
                <c:pt idx="272">
                  <c:v>100.10987641718367</c:v>
                </c:pt>
                <c:pt idx="273">
                  <c:v>100.07129914663531</c:v>
                </c:pt>
                <c:pt idx="274">
                  <c:v>100.03282261606928</c:v>
                </c:pt>
                <c:pt idx="275">
                  <c:v>99.994446825485582</c:v>
                </c:pt>
                <c:pt idx="276">
                  <c:v>99.956171774884197</c:v>
                </c:pt>
                <c:pt idx="277">
                  <c:v>99.917997464265142</c:v>
                </c:pt>
                <c:pt idx="278">
                  <c:v>99.879923893628415</c:v>
                </c:pt>
                <c:pt idx="279">
                  <c:v>99.841951062974005</c:v>
                </c:pt>
                <c:pt idx="280">
                  <c:v>99.804078972301909</c:v>
                </c:pt>
                <c:pt idx="281">
                  <c:v>99.766307621612142</c:v>
                </c:pt>
                <c:pt idx="282">
                  <c:v>99.728637010904706</c:v>
                </c:pt>
                <c:pt idx="283">
                  <c:v>99.691067140179584</c:v>
                </c:pt>
                <c:pt idx="284">
                  <c:v>99.653580634422426</c:v>
                </c:pt>
                <c:pt idx="285">
                  <c:v>99.616160118618851</c:v>
                </c:pt>
                <c:pt idx="286">
                  <c:v>99.57880559276883</c:v>
                </c:pt>
                <c:pt idx="287">
                  <c:v>99.541517056872422</c:v>
                </c:pt>
                <c:pt idx="288">
                  <c:v>99.504294510929569</c:v>
                </c:pt>
                <c:pt idx="289">
                  <c:v>99.467137954940299</c:v>
                </c:pt>
                <c:pt idx="290">
                  <c:v>99.430047388904612</c:v>
                </c:pt>
                <c:pt idx="291">
                  <c:v>99.393022812822494</c:v>
                </c:pt>
                <c:pt idx="292">
                  <c:v>99.35606422669396</c:v>
                </c:pt>
                <c:pt idx="293">
                  <c:v>99.319171630519008</c:v>
                </c:pt>
                <c:pt idx="294">
                  <c:v>99.282345024297641</c:v>
                </c:pt>
                <c:pt idx="295">
                  <c:v>99.245584408029828</c:v>
                </c:pt>
                <c:pt idx="296">
                  <c:v>99.208889781715612</c:v>
                </c:pt>
                <c:pt idx="297">
                  <c:v>99.172261145354966</c:v>
                </c:pt>
                <c:pt idx="298">
                  <c:v>99.135698498947917</c:v>
                </c:pt>
                <c:pt idx="299">
                  <c:v>99.099201842494423</c:v>
                </c:pt>
                <c:pt idx="300">
                  <c:v>99.062771175994513</c:v>
                </c:pt>
                <c:pt idx="301">
                  <c:v>99.026406499448186</c:v>
                </c:pt>
                <c:pt idx="302">
                  <c:v>98.990107812855442</c:v>
                </c:pt>
                <c:pt idx="303">
                  <c:v>98.953875116216267</c:v>
                </c:pt>
                <c:pt idx="304">
                  <c:v>98.917708409530675</c:v>
                </c:pt>
                <c:pt idx="305">
                  <c:v>98.881607692798653</c:v>
                </c:pt>
                <c:pt idx="306">
                  <c:v>98.845572966020214</c:v>
                </c:pt>
                <c:pt idx="307">
                  <c:v>98.809604229195358</c:v>
                </c:pt>
                <c:pt idx="308">
                  <c:v>98.773701482324086</c:v>
                </c:pt>
                <c:pt idx="309">
                  <c:v>98.737864725406382</c:v>
                </c:pt>
                <c:pt idx="310">
                  <c:v>98.702093958442248</c:v>
                </c:pt>
                <c:pt idx="311">
                  <c:v>98.666389181431697</c:v>
                </c:pt>
                <c:pt idx="312">
                  <c:v>98.630750394374743</c:v>
                </c:pt>
                <c:pt idx="313">
                  <c:v>98.595177597271345</c:v>
                </c:pt>
                <c:pt idx="314">
                  <c:v>98.559670790121544</c:v>
                </c:pt>
                <c:pt idx="315">
                  <c:v>98.524229972925312</c:v>
                </c:pt>
                <c:pt idx="316">
                  <c:v>98.488855145682649</c:v>
                </c:pt>
                <c:pt idx="317">
                  <c:v>98.45354630839357</c:v>
                </c:pt>
                <c:pt idx="318">
                  <c:v>98.418303461058088</c:v>
                </c:pt>
                <c:pt idx="319">
                  <c:v>98.38312660367616</c:v>
                </c:pt>
                <c:pt idx="320">
                  <c:v>98.348015736247817</c:v>
                </c:pt>
                <c:pt idx="321">
                  <c:v>98.312970858773042</c:v>
                </c:pt>
                <c:pt idx="322">
                  <c:v>98.277991971251865</c:v>
                </c:pt>
                <c:pt idx="323">
                  <c:v>98.243079073684271</c:v>
                </c:pt>
                <c:pt idx="324">
                  <c:v>98.208232166070246</c:v>
                </c:pt>
                <c:pt idx="325">
                  <c:v>98.173451248409791</c:v>
                </c:pt>
                <c:pt idx="326">
                  <c:v>98.138735267671734</c:v>
                </c:pt>
                <c:pt idx="327">
                  <c:v>98.104083170824907</c:v>
                </c:pt>
                <c:pt idx="328">
                  <c:v>98.069494957869338</c:v>
                </c:pt>
                <c:pt idx="329">
                  <c:v>98.034970628804984</c:v>
                </c:pt>
                <c:pt idx="330">
                  <c:v>98.000510183631874</c:v>
                </c:pt>
                <c:pt idx="331">
                  <c:v>97.96611362234998</c:v>
                </c:pt>
                <c:pt idx="332">
                  <c:v>97.931780944959314</c:v>
                </c:pt>
                <c:pt idx="333">
                  <c:v>97.897512151459878</c:v>
                </c:pt>
                <c:pt idx="334">
                  <c:v>97.863307241851672</c:v>
                </c:pt>
                <c:pt idx="335">
                  <c:v>97.829166216134695</c:v>
                </c:pt>
                <c:pt idx="336">
                  <c:v>97.795089074308947</c:v>
                </c:pt>
                <c:pt idx="337">
                  <c:v>97.761075816374429</c:v>
                </c:pt>
                <c:pt idx="338">
                  <c:v>97.727126442331141</c:v>
                </c:pt>
                <c:pt idx="339">
                  <c:v>97.693240952179082</c:v>
                </c:pt>
                <c:pt idx="340">
                  <c:v>97.659419345918252</c:v>
                </c:pt>
                <c:pt idx="341">
                  <c:v>97.625661623548666</c:v>
                </c:pt>
                <c:pt idx="342">
                  <c:v>97.59196778507031</c:v>
                </c:pt>
                <c:pt idx="343">
                  <c:v>97.558337830483183</c:v>
                </c:pt>
                <c:pt idx="344">
                  <c:v>97.524771759787271</c:v>
                </c:pt>
                <c:pt idx="345">
                  <c:v>97.491269572982603</c:v>
                </c:pt>
                <c:pt idx="346">
                  <c:v>97.457831270069164</c:v>
                </c:pt>
                <c:pt idx="347">
                  <c:v>97.424456851046941</c:v>
                </c:pt>
                <c:pt idx="348">
                  <c:v>97.391146315915947</c:v>
                </c:pt>
                <c:pt idx="349">
                  <c:v>97.357899664676196</c:v>
                </c:pt>
                <c:pt idx="350">
                  <c:v>97.324716897327662</c:v>
                </c:pt>
                <c:pt idx="351">
                  <c:v>97.29159801387037</c:v>
                </c:pt>
                <c:pt idx="352">
                  <c:v>97.258543014304323</c:v>
                </c:pt>
                <c:pt idx="353">
                  <c:v>97.22555189862949</c:v>
                </c:pt>
                <c:pt idx="354">
                  <c:v>97.192624666845887</c:v>
                </c:pt>
                <c:pt idx="355">
                  <c:v>97.159761318953514</c:v>
                </c:pt>
                <c:pt idx="356">
                  <c:v>97.12696185495237</c:v>
                </c:pt>
                <c:pt idx="357">
                  <c:v>97.094226274842455</c:v>
                </c:pt>
                <c:pt idx="358">
                  <c:v>97.06155457862377</c:v>
                </c:pt>
                <c:pt idx="359">
                  <c:v>97.028946766296315</c:v>
                </c:pt>
                <c:pt idx="360">
                  <c:v>96.996402837860089</c:v>
                </c:pt>
                <c:pt idx="361">
                  <c:v>96.963922793315092</c:v>
                </c:pt>
                <c:pt idx="362">
                  <c:v>96.931506632661325</c:v>
                </c:pt>
                <c:pt idx="363">
                  <c:v>96.899154355898787</c:v>
                </c:pt>
                <c:pt idx="364">
                  <c:v>96.866865963027493</c:v>
                </c:pt>
                <c:pt idx="365">
                  <c:v>96.834641454047429</c:v>
                </c:pt>
                <c:pt idx="366">
                  <c:v>96.802454456377845</c:v>
                </c:pt>
                <c:pt idx="367">
                  <c:v>96.770278597438022</c:v>
                </c:pt>
                <c:pt idx="368">
                  <c:v>96.738113877227946</c:v>
                </c:pt>
                <c:pt idx="369">
                  <c:v>96.705960295747616</c:v>
                </c:pt>
                <c:pt idx="370">
                  <c:v>96.673817852997047</c:v>
                </c:pt>
                <c:pt idx="371">
                  <c:v>96.641686548976224</c:v>
                </c:pt>
                <c:pt idx="372">
                  <c:v>96.609566383685163</c:v>
                </c:pt>
                <c:pt idx="373">
                  <c:v>96.577457357123862</c:v>
                </c:pt>
                <c:pt idx="374">
                  <c:v>96.545359469292308</c:v>
                </c:pt>
                <c:pt idx="375">
                  <c:v>96.5132727201905</c:v>
                </c:pt>
                <c:pt idx="376">
                  <c:v>96.481197109818439</c:v>
                </c:pt>
                <c:pt idx="377">
                  <c:v>96.449132638176138</c:v>
                </c:pt>
                <c:pt idx="378">
                  <c:v>96.417079305263599</c:v>
                </c:pt>
                <c:pt idx="379">
                  <c:v>96.385037111080791</c:v>
                </c:pt>
                <c:pt idx="380">
                  <c:v>96.353006055627745</c:v>
                </c:pt>
                <c:pt idx="381">
                  <c:v>96.321014477143393</c:v>
                </c:pt>
                <c:pt idx="382">
                  <c:v>96.289090713866656</c:v>
                </c:pt>
                <c:pt idx="383">
                  <c:v>96.25723476579752</c:v>
                </c:pt>
                <c:pt idx="384">
                  <c:v>96.225446632935999</c:v>
                </c:pt>
                <c:pt idx="385">
                  <c:v>96.193726315282092</c:v>
                </c:pt>
                <c:pt idx="386">
                  <c:v>96.1620738128358</c:v>
                </c:pt>
                <c:pt idx="387">
                  <c:v>96.130489125597123</c:v>
                </c:pt>
                <c:pt idx="388">
                  <c:v>96.098972253566075</c:v>
                </c:pt>
                <c:pt idx="389">
                  <c:v>96.067523196742613</c:v>
                </c:pt>
                <c:pt idx="390">
                  <c:v>96.03614195512678</c:v>
                </c:pt>
                <c:pt idx="391">
                  <c:v>96.004828528718548</c:v>
                </c:pt>
                <c:pt idx="392">
                  <c:v>95.973582917517945</c:v>
                </c:pt>
                <c:pt idx="393">
                  <c:v>95.942405121524942</c:v>
                </c:pt>
                <c:pt idx="394">
                  <c:v>95.911295140739554</c:v>
                </c:pt>
                <c:pt idx="395">
                  <c:v>95.880252975161795</c:v>
                </c:pt>
                <c:pt idx="396">
                  <c:v>95.849278624791637</c:v>
                </c:pt>
                <c:pt idx="397">
                  <c:v>95.818372089629094</c:v>
                </c:pt>
                <c:pt idx="398">
                  <c:v>95.787533369674165</c:v>
                </c:pt>
                <c:pt idx="399">
                  <c:v>95.756762464926837</c:v>
                </c:pt>
                <c:pt idx="400">
                  <c:v>95.726059375387138</c:v>
                </c:pt>
                <c:pt idx="401">
                  <c:v>95.695446214709705</c:v>
                </c:pt>
                <c:pt idx="402">
                  <c:v>95.664945096549189</c:v>
                </c:pt>
                <c:pt idx="403">
                  <c:v>95.63455602090562</c:v>
                </c:pt>
                <c:pt idx="404">
                  <c:v>95.604278987778969</c:v>
                </c:pt>
                <c:pt idx="405">
                  <c:v>95.574113997169249</c:v>
                </c:pt>
                <c:pt idx="406">
                  <c:v>95.544061049076447</c:v>
                </c:pt>
                <c:pt idx="407">
                  <c:v>95.514120143500563</c:v>
                </c:pt>
                <c:pt idx="408">
                  <c:v>95.484291280441624</c:v>
                </c:pt>
                <c:pt idx="409">
                  <c:v>95.454574459899604</c:v>
                </c:pt>
                <c:pt idx="410">
                  <c:v>95.424969681874501</c:v>
                </c:pt>
                <c:pt idx="411">
                  <c:v>95.395598653369376</c:v>
                </c:pt>
                <c:pt idx="412">
                  <c:v>95.366583081387247</c:v>
                </c:pt>
                <c:pt idx="413">
                  <c:v>95.337922965928115</c:v>
                </c:pt>
                <c:pt idx="414">
                  <c:v>95.309618306991979</c:v>
                </c:pt>
                <c:pt idx="415">
                  <c:v>95.281669104578825</c:v>
                </c:pt>
                <c:pt idx="416">
                  <c:v>95.254075358688681</c:v>
                </c:pt>
                <c:pt idx="417">
                  <c:v>95.226837069321533</c:v>
                </c:pt>
                <c:pt idx="418">
                  <c:v>95.199954236477382</c:v>
                </c:pt>
                <c:pt idx="419">
                  <c:v>95.173426860156226</c:v>
                </c:pt>
                <c:pt idx="420">
                  <c:v>95.147323943150838</c:v>
                </c:pt>
                <c:pt idx="421">
                  <c:v>95.121714488254</c:v>
                </c:pt>
                <c:pt idx="422">
                  <c:v>95.096598495465699</c:v>
                </c:pt>
                <c:pt idx="423">
                  <c:v>95.071975964785935</c:v>
                </c:pt>
                <c:pt idx="424">
                  <c:v>95.047846896214708</c:v>
                </c:pt>
                <c:pt idx="425">
                  <c:v>95.024211289752017</c:v>
                </c:pt>
                <c:pt idx="426">
                  <c:v>95.001069145397864</c:v>
                </c:pt>
                <c:pt idx="427">
                  <c:v>94.978420463152261</c:v>
                </c:pt>
                <c:pt idx="428">
                  <c:v>94.956265243015196</c:v>
                </c:pt>
                <c:pt idx="429">
                  <c:v>94.934603484986681</c:v>
                </c:pt>
                <c:pt idx="430">
                  <c:v>94.913435189066689</c:v>
                </c:pt>
                <c:pt idx="431">
                  <c:v>94.892760355255248</c:v>
                </c:pt>
                <c:pt idx="432">
                  <c:v>94.872689756581693</c:v>
                </c:pt>
                <c:pt idx="433">
                  <c:v>94.853334166075356</c:v>
                </c:pt>
                <c:pt idx="434">
                  <c:v>94.834693583736239</c:v>
                </c:pt>
                <c:pt idx="435">
                  <c:v>94.81676800956437</c:v>
                </c:pt>
                <c:pt idx="436">
                  <c:v>94.799557443559735</c:v>
                </c:pt>
                <c:pt idx="437">
                  <c:v>94.783061885722304</c:v>
                </c:pt>
                <c:pt idx="438">
                  <c:v>94.767281336052108</c:v>
                </c:pt>
                <c:pt idx="439">
                  <c:v>94.752215794549144</c:v>
                </c:pt>
                <c:pt idx="440">
                  <c:v>94.737865261213415</c:v>
                </c:pt>
                <c:pt idx="441">
                  <c:v>94.724229736044904</c:v>
                </c:pt>
                <c:pt idx="442">
                  <c:v>94.711242096283797</c:v>
                </c:pt>
                <c:pt idx="443">
                  <c:v>94.698835219170221</c:v>
                </c:pt>
                <c:pt idx="444">
                  <c:v>94.687009104704188</c:v>
                </c:pt>
                <c:pt idx="445">
                  <c:v>94.675763752885715</c:v>
                </c:pt>
                <c:pt idx="446">
                  <c:v>94.665099163714785</c:v>
                </c:pt>
                <c:pt idx="447">
                  <c:v>94.655015337191386</c:v>
                </c:pt>
                <c:pt idx="448">
                  <c:v>94.645512273315546</c:v>
                </c:pt>
                <c:pt idx="449">
                  <c:v>94.636589972087251</c:v>
                </c:pt>
                <c:pt idx="450">
                  <c:v>94.628248433506485</c:v>
                </c:pt>
                <c:pt idx="451">
                  <c:v>94.620487657573278</c:v>
                </c:pt>
                <c:pt idx="452">
                  <c:v>94.613307644287616</c:v>
                </c:pt>
                <c:pt idx="453">
                  <c:v>94.606612428206248</c:v>
                </c:pt>
                <c:pt idx="454">
                  <c:v>94.600306043885936</c:v>
                </c:pt>
                <c:pt idx="455">
                  <c:v>94.594388491326654</c:v>
                </c:pt>
                <c:pt idx="456">
                  <c:v>94.588859770528416</c:v>
                </c:pt>
                <c:pt idx="457">
                  <c:v>94.583719881491234</c:v>
                </c:pt>
                <c:pt idx="458">
                  <c:v>94.578968824215096</c:v>
                </c:pt>
                <c:pt idx="459">
                  <c:v>94.574606598700001</c:v>
                </c:pt>
                <c:pt idx="460">
                  <c:v>94.570633204945949</c:v>
                </c:pt>
                <c:pt idx="461">
                  <c:v>94.566962338272944</c:v>
                </c:pt>
                <c:pt idx="462">
                  <c:v>94.563507694001032</c:v>
                </c:pt>
                <c:pt idx="463">
                  <c:v>94.560269272130213</c:v>
                </c:pt>
                <c:pt idx="464">
                  <c:v>94.557247072660488</c:v>
                </c:pt>
                <c:pt idx="465">
                  <c:v>94.554441095591841</c:v>
                </c:pt>
                <c:pt idx="466">
                  <c:v>94.55192382457011</c:v>
                </c:pt>
                <c:pt idx="467">
                  <c:v>94.549767743241091</c:v>
                </c:pt>
                <c:pt idx="468">
                  <c:v>94.548779999999766</c:v>
                </c:pt>
                <c:pt idx="469">
                  <c:v>94.548779999999766</c:v>
                </c:pt>
                <c:pt idx="470">
                  <c:v>94.548779999999766</c:v>
                </c:pt>
                <c:pt idx="471">
                  <c:v>94.548779999999766</c:v>
                </c:pt>
                <c:pt idx="472">
                  <c:v>94.548779999999766</c:v>
                </c:pt>
                <c:pt idx="473">
                  <c:v>94.548779999999766</c:v>
                </c:pt>
                <c:pt idx="474">
                  <c:v>94.548779999999766</c:v>
                </c:pt>
                <c:pt idx="475">
                  <c:v>94.548779999999766</c:v>
                </c:pt>
                <c:pt idx="476">
                  <c:v>94.548779999999766</c:v>
                </c:pt>
                <c:pt idx="477">
                  <c:v>94.548779999999766</c:v>
                </c:pt>
                <c:pt idx="478">
                  <c:v>94.548779999999766</c:v>
                </c:pt>
                <c:pt idx="479">
                  <c:v>94.548779999999766</c:v>
                </c:pt>
                <c:pt idx="480">
                  <c:v>94.548779999999766</c:v>
                </c:pt>
                <c:pt idx="481">
                  <c:v>94.548779999999766</c:v>
                </c:pt>
                <c:pt idx="482">
                  <c:v>94.548779999999766</c:v>
                </c:pt>
                <c:pt idx="483">
                  <c:v>94.548779999999766</c:v>
                </c:pt>
                <c:pt idx="484">
                  <c:v>94.548779999999766</c:v>
                </c:pt>
                <c:pt idx="485">
                  <c:v>94.548779999999766</c:v>
                </c:pt>
                <c:pt idx="486">
                  <c:v>94.548779999999766</c:v>
                </c:pt>
                <c:pt idx="487">
                  <c:v>94.548779999999766</c:v>
                </c:pt>
                <c:pt idx="488">
                  <c:v>94.548779999999766</c:v>
                </c:pt>
                <c:pt idx="489">
                  <c:v>94.548779999999766</c:v>
                </c:pt>
                <c:pt idx="490">
                  <c:v>94.548779999999766</c:v>
                </c:pt>
                <c:pt idx="491">
                  <c:v>94.548779999999766</c:v>
                </c:pt>
                <c:pt idx="492">
                  <c:v>94.548779999999766</c:v>
                </c:pt>
                <c:pt idx="493">
                  <c:v>94.548779999999766</c:v>
                </c:pt>
                <c:pt idx="494">
                  <c:v>94.548779999999766</c:v>
                </c:pt>
                <c:pt idx="495">
                  <c:v>94.548779999999766</c:v>
                </c:pt>
                <c:pt idx="496">
                  <c:v>94.548779999999766</c:v>
                </c:pt>
                <c:pt idx="497">
                  <c:v>94.548779999999766</c:v>
                </c:pt>
                <c:pt idx="498">
                  <c:v>94.548779999999766</c:v>
                </c:pt>
                <c:pt idx="499">
                  <c:v>94.548779999999766</c:v>
                </c:pt>
                <c:pt idx="500">
                  <c:v>94.548779999999766</c:v>
                </c:pt>
                <c:pt idx="501">
                  <c:v>94.548779999999766</c:v>
                </c:pt>
                <c:pt idx="502">
                  <c:v>94.548779999999766</c:v>
                </c:pt>
                <c:pt idx="503">
                  <c:v>94.548779999999766</c:v>
                </c:pt>
                <c:pt idx="504">
                  <c:v>94.548779999999766</c:v>
                </c:pt>
                <c:pt idx="505">
                  <c:v>94.548779999999766</c:v>
                </c:pt>
                <c:pt idx="506">
                  <c:v>94.548779999999766</c:v>
                </c:pt>
                <c:pt idx="507">
                  <c:v>94.548779999999766</c:v>
                </c:pt>
                <c:pt idx="508">
                  <c:v>94.548779999999766</c:v>
                </c:pt>
                <c:pt idx="509">
                  <c:v>94.548779999999766</c:v>
                </c:pt>
                <c:pt idx="510">
                  <c:v>94.548779999999766</c:v>
                </c:pt>
                <c:pt idx="511">
                  <c:v>94.548779999999766</c:v>
                </c:pt>
                <c:pt idx="512">
                  <c:v>94.548779999999766</c:v>
                </c:pt>
                <c:pt idx="513">
                  <c:v>94.548779999999766</c:v>
                </c:pt>
                <c:pt idx="514">
                  <c:v>94.548779999999766</c:v>
                </c:pt>
                <c:pt idx="515">
                  <c:v>94.548779999999766</c:v>
                </c:pt>
                <c:pt idx="516">
                  <c:v>94.548779999999766</c:v>
                </c:pt>
                <c:pt idx="517">
                  <c:v>94.548779999999766</c:v>
                </c:pt>
                <c:pt idx="518">
                  <c:v>94.548779999999766</c:v>
                </c:pt>
                <c:pt idx="519">
                  <c:v>94.548779999999766</c:v>
                </c:pt>
                <c:pt idx="520">
                  <c:v>94.548779999999766</c:v>
                </c:pt>
                <c:pt idx="521">
                  <c:v>94.548779999999766</c:v>
                </c:pt>
                <c:pt idx="522">
                  <c:v>94.548779999999766</c:v>
                </c:pt>
                <c:pt idx="523">
                  <c:v>94.548779999999766</c:v>
                </c:pt>
                <c:pt idx="524">
                  <c:v>94.548779999999766</c:v>
                </c:pt>
                <c:pt idx="525">
                  <c:v>94.548779999999766</c:v>
                </c:pt>
                <c:pt idx="526">
                  <c:v>94.548779999999766</c:v>
                </c:pt>
                <c:pt idx="527">
                  <c:v>94.548779999999766</c:v>
                </c:pt>
                <c:pt idx="528">
                  <c:v>94.548779999999766</c:v>
                </c:pt>
                <c:pt idx="529">
                  <c:v>94.548779999999766</c:v>
                </c:pt>
                <c:pt idx="530">
                  <c:v>94.548779999999766</c:v>
                </c:pt>
                <c:pt idx="531">
                  <c:v>94.548779999999766</c:v>
                </c:pt>
                <c:pt idx="532">
                  <c:v>94.548779999999766</c:v>
                </c:pt>
                <c:pt idx="533">
                  <c:v>94.548779999999766</c:v>
                </c:pt>
                <c:pt idx="534">
                  <c:v>94.548779999999766</c:v>
                </c:pt>
                <c:pt idx="535">
                  <c:v>94.548779999999766</c:v>
                </c:pt>
                <c:pt idx="536">
                  <c:v>94.548779999999766</c:v>
                </c:pt>
                <c:pt idx="537">
                  <c:v>94.548779999999766</c:v>
                </c:pt>
                <c:pt idx="538">
                  <c:v>94.548779999999766</c:v>
                </c:pt>
                <c:pt idx="539">
                  <c:v>94.548779999999766</c:v>
                </c:pt>
                <c:pt idx="540">
                  <c:v>94.548779999999766</c:v>
                </c:pt>
                <c:pt idx="541">
                  <c:v>94.548779999999766</c:v>
                </c:pt>
                <c:pt idx="542">
                  <c:v>94.548779999999766</c:v>
                </c:pt>
                <c:pt idx="543">
                  <c:v>94.548779999999766</c:v>
                </c:pt>
                <c:pt idx="544">
                  <c:v>94.548779999999766</c:v>
                </c:pt>
                <c:pt idx="545">
                  <c:v>94.548779999999766</c:v>
                </c:pt>
                <c:pt idx="546">
                  <c:v>94.548779999999766</c:v>
                </c:pt>
                <c:pt idx="547">
                  <c:v>94.548779999999766</c:v>
                </c:pt>
                <c:pt idx="548">
                  <c:v>94.548779999999766</c:v>
                </c:pt>
                <c:pt idx="549">
                  <c:v>94.548779999999766</c:v>
                </c:pt>
                <c:pt idx="550">
                  <c:v>94.548779999999766</c:v>
                </c:pt>
                <c:pt idx="551">
                  <c:v>94.548779999999766</c:v>
                </c:pt>
                <c:pt idx="552">
                  <c:v>94.548779999999766</c:v>
                </c:pt>
                <c:pt idx="553">
                  <c:v>94.548779999999766</c:v>
                </c:pt>
                <c:pt idx="554">
                  <c:v>94.548779999999766</c:v>
                </c:pt>
                <c:pt idx="555">
                  <c:v>94.548779999999766</c:v>
                </c:pt>
                <c:pt idx="556">
                  <c:v>94.548779999999766</c:v>
                </c:pt>
                <c:pt idx="557">
                  <c:v>94.548779999999766</c:v>
                </c:pt>
                <c:pt idx="558">
                  <c:v>94.548779999999766</c:v>
                </c:pt>
                <c:pt idx="559">
                  <c:v>94.548779999999766</c:v>
                </c:pt>
                <c:pt idx="560">
                  <c:v>94.548779999999766</c:v>
                </c:pt>
                <c:pt idx="561">
                  <c:v>94.548779999999766</c:v>
                </c:pt>
                <c:pt idx="562">
                  <c:v>94.548779999999766</c:v>
                </c:pt>
                <c:pt idx="563">
                  <c:v>94.548779999999766</c:v>
                </c:pt>
                <c:pt idx="564">
                  <c:v>94.548779999999766</c:v>
                </c:pt>
                <c:pt idx="565">
                  <c:v>94.548779999999766</c:v>
                </c:pt>
                <c:pt idx="566">
                  <c:v>94.548779999999766</c:v>
                </c:pt>
                <c:pt idx="567">
                  <c:v>94.548779999999766</c:v>
                </c:pt>
                <c:pt idx="568">
                  <c:v>94.548779999999766</c:v>
                </c:pt>
                <c:pt idx="569">
                  <c:v>94.548779999999766</c:v>
                </c:pt>
                <c:pt idx="570">
                  <c:v>94.548779999999766</c:v>
                </c:pt>
                <c:pt idx="571">
                  <c:v>94.548779999999766</c:v>
                </c:pt>
                <c:pt idx="572">
                  <c:v>94.548779999999766</c:v>
                </c:pt>
                <c:pt idx="573">
                  <c:v>94.548779999999766</c:v>
                </c:pt>
                <c:pt idx="574">
                  <c:v>94.548779999999766</c:v>
                </c:pt>
                <c:pt idx="575">
                  <c:v>94.548779999999766</c:v>
                </c:pt>
                <c:pt idx="576">
                  <c:v>94.548779999999766</c:v>
                </c:pt>
                <c:pt idx="577">
                  <c:v>94.548779999999766</c:v>
                </c:pt>
                <c:pt idx="578">
                  <c:v>94.548779999999766</c:v>
                </c:pt>
                <c:pt idx="579">
                  <c:v>94.548779999999766</c:v>
                </c:pt>
                <c:pt idx="580">
                  <c:v>94.548779999999766</c:v>
                </c:pt>
                <c:pt idx="581">
                  <c:v>94.548779999999766</c:v>
                </c:pt>
                <c:pt idx="582">
                  <c:v>94.548779999999766</c:v>
                </c:pt>
                <c:pt idx="583">
                  <c:v>94.548779999999766</c:v>
                </c:pt>
                <c:pt idx="584">
                  <c:v>94.548779999999766</c:v>
                </c:pt>
                <c:pt idx="585">
                  <c:v>94.548779999999766</c:v>
                </c:pt>
                <c:pt idx="586">
                  <c:v>94.548779999999766</c:v>
                </c:pt>
                <c:pt idx="587">
                  <c:v>94.548779999999766</c:v>
                </c:pt>
                <c:pt idx="588">
                  <c:v>94.548779999999766</c:v>
                </c:pt>
                <c:pt idx="589">
                  <c:v>94.548779999999766</c:v>
                </c:pt>
                <c:pt idx="590">
                  <c:v>94.548779999999766</c:v>
                </c:pt>
                <c:pt idx="591">
                  <c:v>94.548779999999766</c:v>
                </c:pt>
                <c:pt idx="592">
                  <c:v>94.548779999999766</c:v>
                </c:pt>
                <c:pt idx="593">
                  <c:v>94.548779999999766</c:v>
                </c:pt>
                <c:pt idx="594">
                  <c:v>94.548779999999766</c:v>
                </c:pt>
                <c:pt idx="595">
                  <c:v>94.548779999999766</c:v>
                </c:pt>
                <c:pt idx="596">
                  <c:v>94.548779999999766</c:v>
                </c:pt>
                <c:pt idx="597">
                  <c:v>94.548779999999766</c:v>
                </c:pt>
                <c:pt idx="598">
                  <c:v>94.548779999999766</c:v>
                </c:pt>
                <c:pt idx="599">
                  <c:v>94.548779999999766</c:v>
                </c:pt>
                <c:pt idx="600">
                  <c:v>94.548779999999766</c:v>
                </c:pt>
                <c:pt idx="601">
                  <c:v>94.548779999999766</c:v>
                </c:pt>
                <c:pt idx="602">
                  <c:v>94.548779999999766</c:v>
                </c:pt>
                <c:pt idx="603">
                  <c:v>94.548779999999766</c:v>
                </c:pt>
                <c:pt idx="604">
                  <c:v>94.548779999999766</c:v>
                </c:pt>
                <c:pt idx="605">
                  <c:v>94.548779999999766</c:v>
                </c:pt>
                <c:pt idx="606">
                  <c:v>94.548779999999766</c:v>
                </c:pt>
                <c:pt idx="607">
                  <c:v>94.548779999999766</c:v>
                </c:pt>
                <c:pt idx="608">
                  <c:v>94.548779999999766</c:v>
                </c:pt>
                <c:pt idx="609">
                  <c:v>94.548779999999766</c:v>
                </c:pt>
                <c:pt idx="610">
                  <c:v>94.548779999999766</c:v>
                </c:pt>
                <c:pt idx="611">
                  <c:v>94.548779999999766</c:v>
                </c:pt>
                <c:pt idx="612">
                  <c:v>94.548779999999766</c:v>
                </c:pt>
                <c:pt idx="613">
                  <c:v>94.548779999999766</c:v>
                </c:pt>
                <c:pt idx="614">
                  <c:v>94.548779999999766</c:v>
                </c:pt>
                <c:pt idx="615">
                  <c:v>94.548779999999766</c:v>
                </c:pt>
                <c:pt idx="616">
                  <c:v>94.548779999999766</c:v>
                </c:pt>
                <c:pt idx="617">
                  <c:v>94.548779999999766</c:v>
                </c:pt>
                <c:pt idx="618">
                  <c:v>94.548779999999766</c:v>
                </c:pt>
                <c:pt idx="619">
                  <c:v>94.548779999999766</c:v>
                </c:pt>
                <c:pt idx="620">
                  <c:v>94.548779999999766</c:v>
                </c:pt>
                <c:pt idx="621">
                  <c:v>94.548779999999766</c:v>
                </c:pt>
                <c:pt idx="622">
                  <c:v>94.548779999999766</c:v>
                </c:pt>
                <c:pt idx="623">
                  <c:v>94.548779999999766</c:v>
                </c:pt>
                <c:pt idx="624">
                  <c:v>94.548779999999766</c:v>
                </c:pt>
                <c:pt idx="625">
                  <c:v>94.548779999999766</c:v>
                </c:pt>
                <c:pt idx="626">
                  <c:v>94.548779999999766</c:v>
                </c:pt>
                <c:pt idx="627">
                  <c:v>94.548779999999766</c:v>
                </c:pt>
                <c:pt idx="628">
                  <c:v>94.548779999999766</c:v>
                </c:pt>
                <c:pt idx="629">
                  <c:v>94.548779999999766</c:v>
                </c:pt>
                <c:pt idx="630">
                  <c:v>94.548779999999766</c:v>
                </c:pt>
                <c:pt idx="631">
                  <c:v>94.548779999999766</c:v>
                </c:pt>
                <c:pt idx="632">
                  <c:v>94.548779999999766</c:v>
                </c:pt>
                <c:pt idx="633">
                  <c:v>94.548779999999766</c:v>
                </c:pt>
                <c:pt idx="634">
                  <c:v>94.548779999999766</c:v>
                </c:pt>
                <c:pt idx="635">
                  <c:v>94.548779999999766</c:v>
                </c:pt>
                <c:pt idx="636">
                  <c:v>94.548779999999766</c:v>
                </c:pt>
                <c:pt idx="637">
                  <c:v>94.548779999999766</c:v>
                </c:pt>
                <c:pt idx="638">
                  <c:v>94.548779999999766</c:v>
                </c:pt>
                <c:pt idx="639">
                  <c:v>94.548779999999766</c:v>
                </c:pt>
                <c:pt idx="640">
                  <c:v>94.548779999999766</c:v>
                </c:pt>
                <c:pt idx="641">
                  <c:v>94.548779999999766</c:v>
                </c:pt>
                <c:pt idx="642">
                  <c:v>94.548779999999766</c:v>
                </c:pt>
                <c:pt idx="643">
                  <c:v>94.548779999999766</c:v>
                </c:pt>
                <c:pt idx="644">
                  <c:v>94.548779999999766</c:v>
                </c:pt>
                <c:pt idx="645">
                  <c:v>94.548779999999766</c:v>
                </c:pt>
                <c:pt idx="646">
                  <c:v>94.548779999999766</c:v>
                </c:pt>
                <c:pt idx="647">
                  <c:v>94.548779999999766</c:v>
                </c:pt>
                <c:pt idx="648">
                  <c:v>94.548779999999766</c:v>
                </c:pt>
                <c:pt idx="649">
                  <c:v>94.548779999999766</c:v>
                </c:pt>
                <c:pt idx="650">
                  <c:v>94.548779999999766</c:v>
                </c:pt>
                <c:pt idx="651">
                  <c:v>94.548779999999766</c:v>
                </c:pt>
                <c:pt idx="652">
                  <c:v>94.548779999999766</c:v>
                </c:pt>
                <c:pt idx="653">
                  <c:v>94.548779999999766</c:v>
                </c:pt>
                <c:pt idx="654">
                  <c:v>94.548779999999766</c:v>
                </c:pt>
                <c:pt idx="655">
                  <c:v>94.548779999999766</c:v>
                </c:pt>
                <c:pt idx="656">
                  <c:v>94.548779999999766</c:v>
                </c:pt>
                <c:pt idx="657">
                  <c:v>94.548779999999766</c:v>
                </c:pt>
                <c:pt idx="658">
                  <c:v>94.548779999999766</c:v>
                </c:pt>
                <c:pt idx="659">
                  <c:v>94.548779999999766</c:v>
                </c:pt>
                <c:pt idx="660">
                  <c:v>94.548779999999766</c:v>
                </c:pt>
                <c:pt idx="661">
                  <c:v>94.548779999999766</c:v>
                </c:pt>
                <c:pt idx="662">
                  <c:v>94.548779999999766</c:v>
                </c:pt>
                <c:pt idx="663">
                  <c:v>94.548779999999766</c:v>
                </c:pt>
                <c:pt idx="664">
                  <c:v>94.548779999999766</c:v>
                </c:pt>
                <c:pt idx="665">
                  <c:v>94.548779999999766</c:v>
                </c:pt>
                <c:pt idx="666">
                  <c:v>94.548779999999766</c:v>
                </c:pt>
                <c:pt idx="667">
                  <c:v>94.548779999999766</c:v>
                </c:pt>
                <c:pt idx="668">
                  <c:v>94.548779999999766</c:v>
                </c:pt>
                <c:pt idx="669">
                  <c:v>94.548779999999766</c:v>
                </c:pt>
                <c:pt idx="670">
                  <c:v>94.548779999999766</c:v>
                </c:pt>
                <c:pt idx="671">
                  <c:v>94.548779999999766</c:v>
                </c:pt>
                <c:pt idx="672">
                  <c:v>94.548779999999766</c:v>
                </c:pt>
                <c:pt idx="673">
                  <c:v>94.548779999999766</c:v>
                </c:pt>
                <c:pt idx="674">
                  <c:v>94.548779999999766</c:v>
                </c:pt>
                <c:pt idx="675">
                  <c:v>94.548779999999766</c:v>
                </c:pt>
                <c:pt idx="676">
                  <c:v>94.548779999999766</c:v>
                </c:pt>
                <c:pt idx="677">
                  <c:v>94.548779999999766</c:v>
                </c:pt>
                <c:pt idx="678">
                  <c:v>94.548779999999766</c:v>
                </c:pt>
                <c:pt idx="679">
                  <c:v>94.548779999999766</c:v>
                </c:pt>
                <c:pt idx="680">
                  <c:v>94.548779999999766</c:v>
                </c:pt>
                <c:pt idx="681">
                  <c:v>94.548779999999766</c:v>
                </c:pt>
                <c:pt idx="682">
                  <c:v>94.548779999999766</c:v>
                </c:pt>
                <c:pt idx="683">
                  <c:v>94.548779999999766</c:v>
                </c:pt>
                <c:pt idx="684">
                  <c:v>94.548779999999766</c:v>
                </c:pt>
                <c:pt idx="685">
                  <c:v>94.548779999999766</c:v>
                </c:pt>
                <c:pt idx="686">
                  <c:v>94.548779999999766</c:v>
                </c:pt>
                <c:pt idx="687">
                  <c:v>94.548779999999766</c:v>
                </c:pt>
                <c:pt idx="688">
                  <c:v>94.548779999999766</c:v>
                </c:pt>
                <c:pt idx="689">
                  <c:v>94.548779999999766</c:v>
                </c:pt>
                <c:pt idx="690">
                  <c:v>94.548779999999766</c:v>
                </c:pt>
                <c:pt idx="691">
                  <c:v>94.548779999999766</c:v>
                </c:pt>
                <c:pt idx="692">
                  <c:v>94.548779999999766</c:v>
                </c:pt>
                <c:pt idx="693">
                  <c:v>94.548779999999766</c:v>
                </c:pt>
                <c:pt idx="694">
                  <c:v>94.548779999999766</c:v>
                </c:pt>
                <c:pt idx="695">
                  <c:v>94.548779999999766</c:v>
                </c:pt>
                <c:pt idx="696">
                  <c:v>94.548779999999766</c:v>
                </c:pt>
                <c:pt idx="697">
                  <c:v>94.548779999999766</c:v>
                </c:pt>
                <c:pt idx="698">
                  <c:v>94.548779999999766</c:v>
                </c:pt>
                <c:pt idx="699">
                  <c:v>94.548779999999766</c:v>
                </c:pt>
                <c:pt idx="700">
                  <c:v>94.548779999999766</c:v>
                </c:pt>
                <c:pt idx="701">
                  <c:v>94.548779999999766</c:v>
                </c:pt>
                <c:pt idx="702">
                  <c:v>94.548779999999766</c:v>
                </c:pt>
                <c:pt idx="703">
                  <c:v>94.548779999999766</c:v>
                </c:pt>
                <c:pt idx="704">
                  <c:v>94.548779999999766</c:v>
                </c:pt>
                <c:pt idx="705">
                  <c:v>94.548779999999766</c:v>
                </c:pt>
                <c:pt idx="706">
                  <c:v>94.548779999999766</c:v>
                </c:pt>
                <c:pt idx="707">
                  <c:v>94.548779999999766</c:v>
                </c:pt>
                <c:pt idx="708">
                  <c:v>94.548779999999766</c:v>
                </c:pt>
                <c:pt idx="709">
                  <c:v>94.548779999999766</c:v>
                </c:pt>
                <c:pt idx="710">
                  <c:v>94.548779999999766</c:v>
                </c:pt>
                <c:pt idx="711">
                  <c:v>94.548779999999766</c:v>
                </c:pt>
                <c:pt idx="712">
                  <c:v>94.548779999999766</c:v>
                </c:pt>
                <c:pt idx="713">
                  <c:v>94.548779999999766</c:v>
                </c:pt>
                <c:pt idx="714">
                  <c:v>94.548779999999766</c:v>
                </c:pt>
                <c:pt idx="715">
                  <c:v>94.548779999999766</c:v>
                </c:pt>
                <c:pt idx="716">
                  <c:v>94.548779999999766</c:v>
                </c:pt>
                <c:pt idx="717">
                  <c:v>94.548779999999766</c:v>
                </c:pt>
                <c:pt idx="718">
                  <c:v>94.548779999999766</c:v>
                </c:pt>
                <c:pt idx="719">
                  <c:v>94.548779999999766</c:v>
                </c:pt>
                <c:pt idx="720">
                  <c:v>94.548779999999766</c:v>
                </c:pt>
                <c:pt idx="721">
                  <c:v>94.548779999999766</c:v>
                </c:pt>
                <c:pt idx="722">
                  <c:v>94.548779999999766</c:v>
                </c:pt>
                <c:pt idx="723">
                  <c:v>94.548779999999766</c:v>
                </c:pt>
                <c:pt idx="724">
                  <c:v>94.548779999999766</c:v>
                </c:pt>
                <c:pt idx="725">
                  <c:v>94.548779999999766</c:v>
                </c:pt>
                <c:pt idx="726">
                  <c:v>94.548779999999766</c:v>
                </c:pt>
                <c:pt idx="727">
                  <c:v>94.548779999999766</c:v>
                </c:pt>
                <c:pt idx="728">
                  <c:v>94.548779999999766</c:v>
                </c:pt>
                <c:pt idx="729">
                  <c:v>94.548779999999766</c:v>
                </c:pt>
                <c:pt idx="730">
                  <c:v>94.548779999999766</c:v>
                </c:pt>
                <c:pt idx="731">
                  <c:v>94.548779999999766</c:v>
                </c:pt>
                <c:pt idx="732">
                  <c:v>94.548779999999766</c:v>
                </c:pt>
                <c:pt idx="733">
                  <c:v>94.548779999999766</c:v>
                </c:pt>
                <c:pt idx="734">
                  <c:v>94.548779999999766</c:v>
                </c:pt>
                <c:pt idx="735">
                  <c:v>94.548779999999766</c:v>
                </c:pt>
                <c:pt idx="736">
                  <c:v>94.548779999999766</c:v>
                </c:pt>
                <c:pt idx="737">
                  <c:v>94.548779999999766</c:v>
                </c:pt>
                <c:pt idx="738">
                  <c:v>94.548779999999766</c:v>
                </c:pt>
                <c:pt idx="739">
                  <c:v>94.548779999999766</c:v>
                </c:pt>
                <c:pt idx="740">
                  <c:v>94.548779999999766</c:v>
                </c:pt>
                <c:pt idx="741">
                  <c:v>94.548779999999766</c:v>
                </c:pt>
                <c:pt idx="742">
                  <c:v>94.548779999999766</c:v>
                </c:pt>
                <c:pt idx="743">
                  <c:v>94.548779999999766</c:v>
                </c:pt>
                <c:pt idx="744">
                  <c:v>94.548779999999766</c:v>
                </c:pt>
                <c:pt idx="745">
                  <c:v>94.548779999999766</c:v>
                </c:pt>
                <c:pt idx="746">
                  <c:v>94.548779999999766</c:v>
                </c:pt>
                <c:pt idx="747">
                  <c:v>94.548779999999766</c:v>
                </c:pt>
                <c:pt idx="748">
                  <c:v>94.548779999999766</c:v>
                </c:pt>
                <c:pt idx="749">
                  <c:v>94.548779999999766</c:v>
                </c:pt>
                <c:pt idx="750">
                  <c:v>94.548779999999766</c:v>
                </c:pt>
                <c:pt idx="751">
                  <c:v>94.548779999999766</c:v>
                </c:pt>
                <c:pt idx="752">
                  <c:v>94.548779999999766</c:v>
                </c:pt>
                <c:pt idx="753">
                  <c:v>94.548779999999766</c:v>
                </c:pt>
                <c:pt idx="754">
                  <c:v>94.548779999999766</c:v>
                </c:pt>
                <c:pt idx="755">
                  <c:v>94.548779999999766</c:v>
                </c:pt>
                <c:pt idx="756">
                  <c:v>94.548779999999766</c:v>
                </c:pt>
                <c:pt idx="757">
                  <c:v>94.548779999999766</c:v>
                </c:pt>
                <c:pt idx="758">
                  <c:v>94.548779999999766</c:v>
                </c:pt>
                <c:pt idx="759">
                  <c:v>94.548779999999766</c:v>
                </c:pt>
                <c:pt idx="760">
                  <c:v>94.548779999999766</c:v>
                </c:pt>
                <c:pt idx="761">
                  <c:v>94.548779999999766</c:v>
                </c:pt>
                <c:pt idx="762">
                  <c:v>94.548779999999766</c:v>
                </c:pt>
                <c:pt idx="763">
                  <c:v>94.548779999999766</c:v>
                </c:pt>
                <c:pt idx="764">
                  <c:v>94.548779999999766</c:v>
                </c:pt>
                <c:pt idx="765">
                  <c:v>94.548779999999766</c:v>
                </c:pt>
                <c:pt idx="766">
                  <c:v>94.548779999999766</c:v>
                </c:pt>
                <c:pt idx="767">
                  <c:v>94.548779999999766</c:v>
                </c:pt>
                <c:pt idx="768">
                  <c:v>94.548779999999766</c:v>
                </c:pt>
                <c:pt idx="769">
                  <c:v>94.548779999999766</c:v>
                </c:pt>
                <c:pt idx="770">
                  <c:v>94.548779999999766</c:v>
                </c:pt>
                <c:pt idx="771">
                  <c:v>94.548779999999766</c:v>
                </c:pt>
                <c:pt idx="772">
                  <c:v>94.548779999999766</c:v>
                </c:pt>
                <c:pt idx="773">
                  <c:v>94.548779999999766</c:v>
                </c:pt>
                <c:pt idx="774">
                  <c:v>94.548779999999766</c:v>
                </c:pt>
                <c:pt idx="775">
                  <c:v>94.548779999999766</c:v>
                </c:pt>
                <c:pt idx="776">
                  <c:v>94.548779999999766</c:v>
                </c:pt>
                <c:pt idx="777">
                  <c:v>94.548779999999766</c:v>
                </c:pt>
                <c:pt idx="778">
                  <c:v>94.548779999999766</c:v>
                </c:pt>
                <c:pt idx="779">
                  <c:v>94.548779999999766</c:v>
                </c:pt>
                <c:pt idx="780">
                  <c:v>94.548779999999766</c:v>
                </c:pt>
                <c:pt idx="781">
                  <c:v>94.548779999999766</c:v>
                </c:pt>
                <c:pt idx="782">
                  <c:v>94.548779999999766</c:v>
                </c:pt>
                <c:pt idx="783">
                  <c:v>94.548779999999766</c:v>
                </c:pt>
                <c:pt idx="784">
                  <c:v>94.548779999999766</c:v>
                </c:pt>
                <c:pt idx="785">
                  <c:v>94.548779999999766</c:v>
                </c:pt>
                <c:pt idx="786">
                  <c:v>94.548779999999766</c:v>
                </c:pt>
                <c:pt idx="787">
                  <c:v>94.548779999999766</c:v>
                </c:pt>
                <c:pt idx="788">
                  <c:v>94.548779999999766</c:v>
                </c:pt>
                <c:pt idx="789">
                  <c:v>94.548779999999766</c:v>
                </c:pt>
                <c:pt idx="790">
                  <c:v>94.548779999999766</c:v>
                </c:pt>
                <c:pt idx="791">
                  <c:v>94.548779999999766</c:v>
                </c:pt>
                <c:pt idx="792">
                  <c:v>94.548779999999766</c:v>
                </c:pt>
                <c:pt idx="793">
                  <c:v>94.548779999999766</c:v>
                </c:pt>
                <c:pt idx="794">
                  <c:v>94.548779999999766</c:v>
                </c:pt>
                <c:pt idx="795">
                  <c:v>94.548779999999766</c:v>
                </c:pt>
                <c:pt idx="796">
                  <c:v>94.548779999999766</c:v>
                </c:pt>
                <c:pt idx="797">
                  <c:v>94.548779999999766</c:v>
                </c:pt>
                <c:pt idx="798">
                  <c:v>94.548779999999766</c:v>
                </c:pt>
                <c:pt idx="799">
                  <c:v>94.548779999999766</c:v>
                </c:pt>
                <c:pt idx="800">
                  <c:v>94.548779999999766</c:v>
                </c:pt>
                <c:pt idx="801">
                  <c:v>94.548779999999766</c:v>
                </c:pt>
                <c:pt idx="802">
                  <c:v>94.548779999999766</c:v>
                </c:pt>
                <c:pt idx="803">
                  <c:v>94.548779999999766</c:v>
                </c:pt>
                <c:pt idx="804">
                  <c:v>94.548779999999766</c:v>
                </c:pt>
                <c:pt idx="805">
                  <c:v>94.548779999999766</c:v>
                </c:pt>
                <c:pt idx="806">
                  <c:v>94.548779999999766</c:v>
                </c:pt>
                <c:pt idx="807">
                  <c:v>94.548779999999766</c:v>
                </c:pt>
                <c:pt idx="808">
                  <c:v>94.548779999999766</c:v>
                </c:pt>
                <c:pt idx="809">
                  <c:v>94.548779999999766</c:v>
                </c:pt>
                <c:pt idx="810">
                  <c:v>94.548779999999766</c:v>
                </c:pt>
                <c:pt idx="811">
                  <c:v>94.548779999999766</c:v>
                </c:pt>
                <c:pt idx="812">
                  <c:v>94.548779999999766</c:v>
                </c:pt>
                <c:pt idx="813">
                  <c:v>94.548779999999766</c:v>
                </c:pt>
                <c:pt idx="814">
                  <c:v>94.548779999999766</c:v>
                </c:pt>
                <c:pt idx="815">
                  <c:v>94.548779999999766</c:v>
                </c:pt>
                <c:pt idx="816">
                  <c:v>94.548779999999766</c:v>
                </c:pt>
                <c:pt idx="817">
                  <c:v>94.548779999999766</c:v>
                </c:pt>
                <c:pt idx="818">
                  <c:v>94.548779999999766</c:v>
                </c:pt>
                <c:pt idx="819">
                  <c:v>94.548779999999766</c:v>
                </c:pt>
                <c:pt idx="820">
                  <c:v>94.548779999999766</c:v>
                </c:pt>
                <c:pt idx="821">
                  <c:v>94.548779999999766</c:v>
                </c:pt>
                <c:pt idx="822">
                  <c:v>94.548779999999766</c:v>
                </c:pt>
                <c:pt idx="823">
                  <c:v>94.548779999999766</c:v>
                </c:pt>
                <c:pt idx="824">
                  <c:v>94.548779999999766</c:v>
                </c:pt>
                <c:pt idx="825">
                  <c:v>94.548779999999766</c:v>
                </c:pt>
                <c:pt idx="826">
                  <c:v>94.548779999999766</c:v>
                </c:pt>
                <c:pt idx="827">
                  <c:v>94.548779999999766</c:v>
                </c:pt>
                <c:pt idx="828">
                  <c:v>94.548779999999766</c:v>
                </c:pt>
                <c:pt idx="829">
                  <c:v>94.548779999999766</c:v>
                </c:pt>
                <c:pt idx="830">
                  <c:v>94.548779999999766</c:v>
                </c:pt>
                <c:pt idx="831">
                  <c:v>94.548779999999766</c:v>
                </c:pt>
                <c:pt idx="832">
                  <c:v>94.548779999999766</c:v>
                </c:pt>
                <c:pt idx="833">
                  <c:v>94.548779999999766</c:v>
                </c:pt>
                <c:pt idx="834">
                  <c:v>94.548779999999766</c:v>
                </c:pt>
                <c:pt idx="835">
                  <c:v>94.548779999999766</c:v>
                </c:pt>
                <c:pt idx="836">
                  <c:v>94.548779999999766</c:v>
                </c:pt>
                <c:pt idx="837">
                  <c:v>94.548779999999766</c:v>
                </c:pt>
                <c:pt idx="838">
                  <c:v>94.548779999999766</c:v>
                </c:pt>
                <c:pt idx="839">
                  <c:v>94.548779999999766</c:v>
                </c:pt>
                <c:pt idx="840">
                  <c:v>94.548779999999766</c:v>
                </c:pt>
                <c:pt idx="841">
                  <c:v>94.548779999999766</c:v>
                </c:pt>
                <c:pt idx="842">
                  <c:v>94.548779999999766</c:v>
                </c:pt>
                <c:pt idx="843">
                  <c:v>94.548779999999766</c:v>
                </c:pt>
                <c:pt idx="844">
                  <c:v>94.548779999999766</c:v>
                </c:pt>
                <c:pt idx="845">
                  <c:v>94.548779999999766</c:v>
                </c:pt>
                <c:pt idx="846">
                  <c:v>94.548779999999766</c:v>
                </c:pt>
                <c:pt idx="847">
                  <c:v>94.548779999999766</c:v>
                </c:pt>
                <c:pt idx="848">
                  <c:v>94.548779999999766</c:v>
                </c:pt>
                <c:pt idx="849">
                  <c:v>94.548779999999766</c:v>
                </c:pt>
                <c:pt idx="850">
                  <c:v>94.548779999999766</c:v>
                </c:pt>
                <c:pt idx="851">
                  <c:v>94.548779999999766</c:v>
                </c:pt>
                <c:pt idx="852">
                  <c:v>94.548779999999766</c:v>
                </c:pt>
                <c:pt idx="853">
                  <c:v>94.548779999999766</c:v>
                </c:pt>
                <c:pt idx="854">
                  <c:v>94.548779999999766</c:v>
                </c:pt>
                <c:pt idx="855">
                  <c:v>94.548779999999766</c:v>
                </c:pt>
                <c:pt idx="856">
                  <c:v>94.548779999999766</c:v>
                </c:pt>
                <c:pt idx="857">
                  <c:v>94.548779999999766</c:v>
                </c:pt>
                <c:pt idx="858">
                  <c:v>94.548779999999766</c:v>
                </c:pt>
                <c:pt idx="859">
                  <c:v>94.548779999999766</c:v>
                </c:pt>
                <c:pt idx="860">
                  <c:v>94.548779999999766</c:v>
                </c:pt>
                <c:pt idx="861">
                  <c:v>94.548779999999766</c:v>
                </c:pt>
                <c:pt idx="862">
                  <c:v>94.548779999999766</c:v>
                </c:pt>
                <c:pt idx="863">
                  <c:v>94.548779999999766</c:v>
                </c:pt>
                <c:pt idx="864">
                  <c:v>94.548779999999766</c:v>
                </c:pt>
                <c:pt idx="865">
                  <c:v>94.548779999999766</c:v>
                </c:pt>
                <c:pt idx="866">
                  <c:v>94.548779999999766</c:v>
                </c:pt>
                <c:pt idx="867">
                  <c:v>94.548779999999766</c:v>
                </c:pt>
                <c:pt idx="868">
                  <c:v>94.548779999999766</c:v>
                </c:pt>
                <c:pt idx="869">
                  <c:v>94.548779999999766</c:v>
                </c:pt>
                <c:pt idx="870">
                  <c:v>94.548779999999766</c:v>
                </c:pt>
                <c:pt idx="871">
                  <c:v>94.548779999999766</c:v>
                </c:pt>
                <c:pt idx="872">
                  <c:v>94.548779999999766</c:v>
                </c:pt>
                <c:pt idx="873">
                  <c:v>94.548779999999766</c:v>
                </c:pt>
                <c:pt idx="874">
                  <c:v>94.548779999999766</c:v>
                </c:pt>
                <c:pt idx="875">
                  <c:v>94.548779999999766</c:v>
                </c:pt>
                <c:pt idx="876">
                  <c:v>94.548779999999766</c:v>
                </c:pt>
                <c:pt idx="877">
                  <c:v>94.548779999999766</c:v>
                </c:pt>
                <c:pt idx="878">
                  <c:v>94.548779999999766</c:v>
                </c:pt>
                <c:pt idx="879">
                  <c:v>94.548779999999766</c:v>
                </c:pt>
                <c:pt idx="880">
                  <c:v>94.548779999999766</c:v>
                </c:pt>
                <c:pt idx="881">
                  <c:v>94.548779999999766</c:v>
                </c:pt>
                <c:pt idx="882">
                  <c:v>94.548779999999766</c:v>
                </c:pt>
                <c:pt idx="883">
                  <c:v>94.548779999999766</c:v>
                </c:pt>
                <c:pt idx="884">
                  <c:v>94.548779999999766</c:v>
                </c:pt>
                <c:pt idx="885">
                  <c:v>94.548779999999766</c:v>
                </c:pt>
                <c:pt idx="886">
                  <c:v>94.548779999999766</c:v>
                </c:pt>
                <c:pt idx="887">
                  <c:v>94.548779999999766</c:v>
                </c:pt>
                <c:pt idx="888">
                  <c:v>94.548779999999766</c:v>
                </c:pt>
                <c:pt idx="889">
                  <c:v>94.548779999999766</c:v>
                </c:pt>
                <c:pt idx="890">
                  <c:v>94.548779999999766</c:v>
                </c:pt>
                <c:pt idx="891">
                  <c:v>94.548779999999766</c:v>
                </c:pt>
                <c:pt idx="892">
                  <c:v>94.548779999999766</c:v>
                </c:pt>
                <c:pt idx="893">
                  <c:v>94.548779999999766</c:v>
                </c:pt>
                <c:pt idx="894">
                  <c:v>94.548779999999766</c:v>
                </c:pt>
                <c:pt idx="895">
                  <c:v>94.548779999999766</c:v>
                </c:pt>
                <c:pt idx="896">
                  <c:v>94.548779999999766</c:v>
                </c:pt>
                <c:pt idx="897">
                  <c:v>94.548779999999766</c:v>
                </c:pt>
                <c:pt idx="898">
                  <c:v>94.548779999999766</c:v>
                </c:pt>
                <c:pt idx="899">
                  <c:v>94.548779999999766</c:v>
                </c:pt>
                <c:pt idx="900">
                  <c:v>94.548779999999766</c:v>
                </c:pt>
                <c:pt idx="901">
                  <c:v>94.548779999999766</c:v>
                </c:pt>
                <c:pt idx="902">
                  <c:v>94.548779999999766</c:v>
                </c:pt>
                <c:pt idx="903">
                  <c:v>94.548779999999766</c:v>
                </c:pt>
                <c:pt idx="904">
                  <c:v>94.548779999999766</c:v>
                </c:pt>
                <c:pt idx="905">
                  <c:v>94.548779999999766</c:v>
                </c:pt>
                <c:pt idx="906">
                  <c:v>94.548779999999766</c:v>
                </c:pt>
                <c:pt idx="907">
                  <c:v>94.548779999999766</c:v>
                </c:pt>
                <c:pt idx="908">
                  <c:v>94.548779999999766</c:v>
                </c:pt>
                <c:pt idx="909">
                  <c:v>94.548779999999766</c:v>
                </c:pt>
                <c:pt idx="910">
                  <c:v>94.548779999999766</c:v>
                </c:pt>
                <c:pt idx="911">
                  <c:v>94.548779999999766</c:v>
                </c:pt>
                <c:pt idx="912">
                  <c:v>94.548779999999766</c:v>
                </c:pt>
                <c:pt idx="913">
                  <c:v>94.548779999999766</c:v>
                </c:pt>
                <c:pt idx="914">
                  <c:v>94.548779999999766</c:v>
                </c:pt>
                <c:pt idx="915">
                  <c:v>94.548779999999766</c:v>
                </c:pt>
                <c:pt idx="916">
                  <c:v>94.548779999999766</c:v>
                </c:pt>
                <c:pt idx="917">
                  <c:v>94.548779999999766</c:v>
                </c:pt>
                <c:pt idx="918">
                  <c:v>94.548779999999766</c:v>
                </c:pt>
                <c:pt idx="919">
                  <c:v>94.548779999999766</c:v>
                </c:pt>
                <c:pt idx="920">
                  <c:v>94.548779999999766</c:v>
                </c:pt>
                <c:pt idx="921">
                  <c:v>94.548779999999766</c:v>
                </c:pt>
                <c:pt idx="922">
                  <c:v>94.548779999999766</c:v>
                </c:pt>
                <c:pt idx="923">
                  <c:v>94.548779999999766</c:v>
                </c:pt>
                <c:pt idx="924">
                  <c:v>94.548779999999766</c:v>
                </c:pt>
                <c:pt idx="925">
                  <c:v>94.548779999999766</c:v>
                </c:pt>
                <c:pt idx="926">
                  <c:v>94.548779999999766</c:v>
                </c:pt>
                <c:pt idx="927">
                  <c:v>94.548779999999766</c:v>
                </c:pt>
                <c:pt idx="928">
                  <c:v>94.548779999999766</c:v>
                </c:pt>
                <c:pt idx="929">
                  <c:v>94.548779999999766</c:v>
                </c:pt>
                <c:pt idx="930">
                  <c:v>94.548779999999766</c:v>
                </c:pt>
                <c:pt idx="931">
                  <c:v>94.548779999999766</c:v>
                </c:pt>
                <c:pt idx="932">
                  <c:v>94.548779999999766</c:v>
                </c:pt>
                <c:pt idx="933">
                  <c:v>94.548779999999766</c:v>
                </c:pt>
                <c:pt idx="934">
                  <c:v>94.548779999999766</c:v>
                </c:pt>
                <c:pt idx="935">
                  <c:v>94.548779999999766</c:v>
                </c:pt>
                <c:pt idx="936">
                  <c:v>94.548779999999766</c:v>
                </c:pt>
                <c:pt idx="937">
                  <c:v>94.548779999999766</c:v>
                </c:pt>
                <c:pt idx="938">
                  <c:v>94.548779999999766</c:v>
                </c:pt>
                <c:pt idx="939">
                  <c:v>94.548779999999766</c:v>
                </c:pt>
                <c:pt idx="940">
                  <c:v>94.548779999999766</c:v>
                </c:pt>
                <c:pt idx="941">
                  <c:v>94.548779999999766</c:v>
                </c:pt>
                <c:pt idx="942">
                  <c:v>94.548779999999766</c:v>
                </c:pt>
                <c:pt idx="943">
                  <c:v>94.548779999999766</c:v>
                </c:pt>
                <c:pt idx="944">
                  <c:v>94.548779999999766</c:v>
                </c:pt>
                <c:pt idx="945">
                  <c:v>94.548779999999766</c:v>
                </c:pt>
                <c:pt idx="946">
                  <c:v>94.548779999999766</c:v>
                </c:pt>
                <c:pt idx="947">
                  <c:v>94.548779999999766</c:v>
                </c:pt>
                <c:pt idx="948">
                  <c:v>94.548779999999766</c:v>
                </c:pt>
                <c:pt idx="949">
                  <c:v>94.548779999999766</c:v>
                </c:pt>
                <c:pt idx="950">
                  <c:v>94.548779999999766</c:v>
                </c:pt>
                <c:pt idx="951">
                  <c:v>94.548779999999766</c:v>
                </c:pt>
                <c:pt idx="952">
                  <c:v>94.548779999999766</c:v>
                </c:pt>
                <c:pt idx="953">
                  <c:v>94.548779999999766</c:v>
                </c:pt>
                <c:pt idx="954">
                  <c:v>94.548779999999766</c:v>
                </c:pt>
                <c:pt idx="955">
                  <c:v>94.548779999999766</c:v>
                </c:pt>
                <c:pt idx="956">
                  <c:v>94.548779999999766</c:v>
                </c:pt>
                <c:pt idx="957">
                  <c:v>94.548779999999766</c:v>
                </c:pt>
                <c:pt idx="958">
                  <c:v>94.548779999999766</c:v>
                </c:pt>
                <c:pt idx="959">
                  <c:v>94.548779999999766</c:v>
                </c:pt>
                <c:pt idx="960">
                  <c:v>94.548779999999766</c:v>
                </c:pt>
                <c:pt idx="961">
                  <c:v>94.548779999999766</c:v>
                </c:pt>
                <c:pt idx="962">
                  <c:v>94.548779999999766</c:v>
                </c:pt>
                <c:pt idx="963">
                  <c:v>94.548779999999766</c:v>
                </c:pt>
                <c:pt idx="964">
                  <c:v>94.548779999999766</c:v>
                </c:pt>
                <c:pt idx="965">
                  <c:v>94.548779999999766</c:v>
                </c:pt>
                <c:pt idx="966">
                  <c:v>94.548779999999766</c:v>
                </c:pt>
                <c:pt idx="967">
                  <c:v>94.548779999999766</c:v>
                </c:pt>
                <c:pt idx="968">
                  <c:v>94.548779999999766</c:v>
                </c:pt>
                <c:pt idx="969">
                  <c:v>94.548779999999766</c:v>
                </c:pt>
                <c:pt idx="970">
                  <c:v>94.548779999999766</c:v>
                </c:pt>
                <c:pt idx="971">
                  <c:v>94.548779999999766</c:v>
                </c:pt>
                <c:pt idx="972">
                  <c:v>94.548779999999766</c:v>
                </c:pt>
                <c:pt idx="973">
                  <c:v>94.548779999999766</c:v>
                </c:pt>
                <c:pt idx="974">
                  <c:v>94.548779999999766</c:v>
                </c:pt>
                <c:pt idx="975">
                  <c:v>94.548779999999766</c:v>
                </c:pt>
                <c:pt idx="976">
                  <c:v>94.548779999999766</c:v>
                </c:pt>
                <c:pt idx="977">
                  <c:v>94.548779999999766</c:v>
                </c:pt>
                <c:pt idx="978">
                  <c:v>94.548779999999766</c:v>
                </c:pt>
                <c:pt idx="979">
                  <c:v>94.548779999999766</c:v>
                </c:pt>
                <c:pt idx="980">
                  <c:v>94.548779999999766</c:v>
                </c:pt>
                <c:pt idx="981">
                  <c:v>94.548779999999766</c:v>
                </c:pt>
                <c:pt idx="982">
                  <c:v>94.548779999999766</c:v>
                </c:pt>
                <c:pt idx="983">
                  <c:v>94.548779999999766</c:v>
                </c:pt>
                <c:pt idx="984">
                  <c:v>94.548779999999766</c:v>
                </c:pt>
                <c:pt idx="985">
                  <c:v>94.548779999999766</c:v>
                </c:pt>
                <c:pt idx="986">
                  <c:v>94.548779999999766</c:v>
                </c:pt>
                <c:pt idx="987">
                  <c:v>94.548779999999766</c:v>
                </c:pt>
                <c:pt idx="988">
                  <c:v>94.548779999999766</c:v>
                </c:pt>
                <c:pt idx="989">
                  <c:v>94.548779999999766</c:v>
                </c:pt>
                <c:pt idx="990">
                  <c:v>94.548779999999766</c:v>
                </c:pt>
                <c:pt idx="991">
                  <c:v>94.548779999999766</c:v>
                </c:pt>
                <c:pt idx="992">
                  <c:v>94.548779999999766</c:v>
                </c:pt>
                <c:pt idx="993">
                  <c:v>94.548779999999766</c:v>
                </c:pt>
                <c:pt idx="994">
                  <c:v>94.548779999999766</c:v>
                </c:pt>
                <c:pt idx="995">
                  <c:v>94.548779999999766</c:v>
                </c:pt>
                <c:pt idx="996">
                  <c:v>94.548779999999766</c:v>
                </c:pt>
                <c:pt idx="997">
                  <c:v>94.548779999999766</c:v>
                </c:pt>
                <c:pt idx="998">
                  <c:v>94.548779999999766</c:v>
                </c:pt>
                <c:pt idx="999">
                  <c:v>94.548779999999766</c:v>
                </c:pt>
                <c:pt idx="1000">
                  <c:v>94.548779999999766</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Calculs!$W$4:$W$1004</c:f>
              <c:numCache>
                <c:formatCode>0.00</c:formatCode>
                <c:ptCount val="1001"/>
                <c:pt idx="0">
                  <c:v>0</c:v>
                </c:pt>
                <c:pt idx="1">
                  <c:v>2.2620250828289688E-5</c:v>
                </c:pt>
                <c:pt idx="2">
                  <c:v>4.1603463633641522E-4</c:v>
                </c:pt>
                <c:pt idx="3">
                  <c:v>1.6447936989920041E-3</c:v>
                </c:pt>
                <c:pt idx="4">
                  <c:v>4.2558458727412693E-3</c:v>
                </c:pt>
                <c:pt idx="5">
                  <c:v>8.9195222004872631E-3</c:v>
                </c:pt>
                <c:pt idx="6">
                  <c:v>1.6430025808692874E-2</c:v>
                </c:pt>
                <c:pt idx="7">
                  <c:v>2.7705993562472834E-2</c:v>
                </c:pt>
                <c:pt idx="8">
                  <c:v>4.3791129063640799E-2</c:v>
                </c:pt>
                <c:pt idx="9">
                  <c:v>6.5854906216999853E-2</c:v>
                </c:pt>
                <c:pt idx="10">
                  <c:v>9.5193342650451734E-2</c:v>
                </c:pt>
                <c:pt idx="11">
                  <c:v>0.1313383155511246</c:v>
                </c:pt>
                <c:pt idx="12">
                  <c:v>0.17275622634945123</c:v>
                </c:pt>
                <c:pt idx="13">
                  <c:v>0.21922318689738998</c:v>
                </c:pt>
                <c:pt idx="14">
                  <c:v>0.27050893776194418</c:v>
                </c:pt>
                <c:pt idx="15">
                  <c:v>0.3263997743783737</c:v>
                </c:pt>
                <c:pt idx="16">
                  <c:v>0.38668424183231431</c:v>
                </c:pt>
                <c:pt idx="17">
                  <c:v>0.45115316630058128</c:v>
                </c:pt>
                <c:pt idx="18">
                  <c:v>0.51959968599146811</c:v>
                </c:pt>
                <c:pt idx="19">
                  <c:v>0.59181928158104458</c:v>
                </c:pt>
                <c:pt idx="20">
                  <c:v>0.66760980614217191</c:v>
                </c:pt>
                <c:pt idx="21">
                  <c:v>0.74677151456313817</c:v>
                </c:pt>
                <c:pt idx="22">
                  <c:v>0.82910709245303105</c:v>
                </c:pt>
                <c:pt idx="23">
                  <c:v>0.91442168453115003</c:v>
                </c:pt>
                <c:pt idx="24">
                  <c:v>1.0025229224979726</c:v>
                </c:pt>
                <c:pt idx="25">
                  <c:v>1.093220952385378</c:v>
                </c:pt>
                <c:pt idx="26">
                  <c:v>1.1863284613840361</c:v>
                </c:pt>
                <c:pt idx="27">
                  <c:v>1.2824520304007625</c:v>
                </c:pt>
                <c:pt idx="28">
                  <c:v>1.3823216744316973</c:v>
                </c:pt>
                <c:pt idx="29">
                  <c:v>1.4859370516084029</c:v>
                </c:pt>
                <c:pt idx="30">
                  <c:v>1.5932977392563514</c:v>
                </c:pt>
                <c:pt idx="31">
                  <c:v>1.7044032338062978</c:v>
                </c:pt>
                <c:pt idx="32">
                  <c:v>1.8192529507092132</c:v>
                </c:pt>
                <c:pt idx="33">
                  <c:v>1.9378462243547807</c:v>
                </c:pt>
                <c:pt idx="34">
                  <c:v>2.0601830984187721</c:v>
                </c:pt>
                <c:pt idx="35">
                  <c:v>2.1862636646084272</c:v>
                </c:pt>
                <c:pt idx="36">
                  <c:v>2.3160871224626058</c:v>
                </c:pt>
                <c:pt idx="37">
                  <c:v>2.4496525878659172</c:v>
                </c:pt>
                <c:pt idx="38">
                  <c:v>2.5869590930921436</c:v>
                </c:pt>
                <c:pt idx="39">
                  <c:v>2.7280055868500526</c:v>
                </c:pt>
                <c:pt idx="40">
                  <c:v>2.8727909343250504</c:v>
                </c:pt>
                <c:pt idx="41">
                  <c:v>3.0213139172174635</c:v>
                </c:pt>
                <c:pt idx="42">
                  <c:v>3.1735732337781082</c:v>
                </c:pt>
                <c:pt idx="43">
                  <c:v>3.3295674988417465</c:v>
                </c:pt>
                <c:pt idx="44">
                  <c:v>3.4892952438589493</c:v>
                </c:pt>
                <c:pt idx="45">
                  <c:v>3.6527549169268623</c:v>
                </c:pt>
                <c:pt idx="46">
                  <c:v>3.8199448828192639</c:v>
                </c:pt>
                <c:pt idx="47">
                  <c:v>3.9908634230163038</c:v>
                </c:pt>
                <c:pt idx="48">
                  <c:v>4.1655087357342646</c:v>
                </c:pt>
                <c:pt idx="49">
                  <c:v>4.3438789359556624</c:v>
                </c:pt>
                <c:pt idx="50">
                  <c:v>4.525972055459901</c:v>
                </c:pt>
                <c:pt idx="51">
                  <c:v>4.7117860428548139</c:v>
                </c:pt>
                <c:pt idx="52">
                  <c:v>4.9013187636092574</c:v>
                </c:pt>
                <c:pt idx="53">
                  <c:v>5.094568000086964</c:v>
                </c:pt>
                <c:pt idx="54">
                  <c:v>5.2915314515818697</c:v>
                </c:pt>
                <c:pt idx="55">
                  <c:v>5.4922067343550589</c:v>
                </c:pt>
                <c:pt idx="56">
                  <c:v>5.6965913816734908</c:v>
                </c:pt>
                <c:pt idx="57">
                  <c:v>5.9046828438506447</c:v>
                </c:pt>
                <c:pt idx="58">
                  <c:v>6.1164784882892045</c:v>
                </c:pt>
                <c:pt idx="59">
                  <c:v>6.3319755995259381</c:v>
                </c:pt>
                <c:pt idx="60">
                  <c:v>6.5511713792788129</c:v>
                </c:pt>
                <c:pt idx="61">
                  <c:v>6.7740629464965316</c:v>
                </c:pt>
                <c:pt idx="62">
                  <c:v>7.0006473374104932</c:v>
                </c:pt>
                <c:pt idx="63">
                  <c:v>7.2309215055893175</c:v>
                </c:pt>
                <c:pt idx="64">
                  <c:v>7.4648823219960372</c:v>
                </c:pt>
                <c:pt idx="65">
                  <c:v>7.7025265750479202</c:v>
                </c:pt>
                <c:pt idx="66">
                  <c:v>7.9438509706791338</c:v>
                </c:pt>
                <c:pt idx="67">
                  <c:v>8.1888521324061845</c:v>
                </c:pt>
                <c:pt idx="68">
                  <c:v>8.4375266013962822</c:v>
                </c:pt>
                <c:pt idx="69">
                  <c:v>8.6898708365386064</c:v>
                </c:pt>
                <c:pt idx="70">
                  <c:v>8.9458812145186055</c:v>
                </c:pt>
                <c:pt idx="71">
                  <c:v>9.2055540298952874</c:v>
                </c:pt>
                <c:pt idx="72">
                  <c:v>9.4688609041726615</c:v>
                </c:pt>
                <c:pt idx="73">
                  <c:v>9.7357719649382339</c:v>
                </c:pt>
                <c:pt idx="74">
                  <c:v>10.006281146398647</c:v>
                </c:pt>
                <c:pt idx="75">
                  <c:v>10.280382300497134</c:v>
                </c:pt>
                <c:pt idx="76">
                  <c:v>10.558069197105032</c:v>
                </c:pt>
                <c:pt idx="77">
                  <c:v>10.839335524216649</c:v>
                </c:pt>
                <c:pt idx="78">
                  <c:v>11.124174888147486</c:v>
                </c:pt>
                <c:pt idx="79">
                  <c:v>11.412580813735838</c:v>
                </c:pt>
                <c:pt idx="80">
                  <c:v>11.704546744547805</c:v>
                </c:pt>
                <c:pt idx="81">
                  <c:v>12.000066043085704</c:v>
                </c:pt>
                <c:pt idx="82">
                  <c:v>12.299131990999928</c:v>
                </c:pt>
                <c:pt idx="83">
                  <c:v>12.601737789304201</c:v>
                </c:pt>
                <c:pt idx="84">
                  <c:v>12.907876558594308</c:v>
                </c:pt>
                <c:pt idx="85">
                  <c:v>13.21754133927025</c:v>
                </c:pt>
                <c:pt idx="86">
                  <c:v>13.530725091761902</c:v>
                </c:pt>
                <c:pt idx="87">
                  <c:v>13.847420696758057</c:v>
                </c:pt>
                <c:pt idx="88">
                  <c:v>14.167620955438991</c:v>
                </c:pt>
                <c:pt idx="89">
                  <c:v>14.491318589712526</c:v>
                </c:pt>
                <c:pt idx="90">
                  <c:v>14.818506242453438</c:v>
                </c:pt>
                <c:pt idx="91">
                  <c:v>15.149176477746463</c:v>
                </c:pt>
                <c:pt idx="92">
                  <c:v>15.483321781132704</c:v>
                </c:pt>
                <c:pt idx="93">
                  <c:v>15.820934559859488</c:v>
                </c:pt>
                <c:pt idx="94">
                  <c:v>16.162007143133756</c:v>
                </c:pt>
                <c:pt idx="95">
                  <c:v>16.506531782378847</c:v>
                </c:pt>
                <c:pt idx="96">
                  <c:v>16.85450065149475</c:v>
                </c:pt>
                <c:pt idx="97">
                  <c:v>17.205905847121787</c:v>
                </c:pt>
                <c:pt idx="98">
                  <c:v>17.560739388907816</c:v>
                </c:pt>
                <c:pt idx="99">
                  <c:v>17.918993219778773</c:v>
                </c:pt>
                <c:pt idx="100">
                  <c:v>18.280659206212668</c:v>
                </c:pt>
                <c:pt idx="101">
                  <c:v>18.645729138517051</c:v>
                </c:pt>
                <c:pt idx="102">
                  <c:v>19.014194731109818</c:v>
                </c:pt>
                <c:pt idx="103">
                  <c:v>19.386047622803463</c:v>
                </c:pt>
                <c:pt idx="104">
                  <c:v>19.761279377092677</c:v>
                </c:pt>
                <c:pt idx="105">
                  <c:v>20.139881482445393</c:v>
                </c:pt>
                <c:pt idx="106">
                  <c:v>20.521845352597097</c:v>
                </c:pt>
                <c:pt idx="107">
                  <c:v>20.907162326848635</c:v>
                </c:pt>
                <c:pt idx="108">
                  <c:v>21.295823670367188</c:v>
                </c:pt>
                <c:pt idx="109">
                  <c:v>21.687820574490729</c:v>
                </c:pt>
                <c:pt idx="110">
                  <c:v>22.083144157035711</c:v>
                </c:pt>
                <c:pt idx="111">
                  <c:v>22.48178546260807</c:v>
                </c:pt>
                <c:pt idx="112">
                  <c:v>22.883735462917528</c:v>
                </c:pt>
                <c:pt idx="113">
                  <c:v>23.288985057095164</c:v>
                </c:pt>
                <c:pt idx="114">
                  <c:v>23.697525072014233</c:v>
                </c:pt>
                <c:pt idx="115">
                  <c:v>24.109346262614203</c:v>
                </c:pt>
                <c:pt idx="116">
                  <c:v>24.524439312228061</c:v>
                </c:pt>
                <c:pt idx="117">
                  <c:v>24.942794832912814</c:v>
                </c:pt>
                <c:pt idx="118">
                  <c:v>25.364403365783101</c:v>
                </c:pt>
                <c:pt idx="119">
                  <c:v>25.789255381348106</c:v>
                </c:pt>
                <c:pt idx="120">
                  <c:v>26.217341279851489</c:v>
                </c:pt>
                <c:pt idx="121">
                  <c:v>26.648651391614571</c:v>
                </c:pt>
                <c:pt idx="122">
                  <c:v>27.08317597738252</c:v>
                </c:pt>
                <c:pt idx="123">
                  <c:v>27.520905228673712</c:v>
                </c:pt>
                <c:pt idx="124">
                  <c:v>27.961829268132156</c:v>
                </c:pt>
                <c:pt idx="125">
                  <c:v>28.405938149882868</c:v>
                </c:pt>
                <c:pt idx="126">
                  <c:v>28.853221859890517</c:v>
                </c:pt>
                <c:pt idx="127">
                  <c:v>29.303670316320762</c:v>
                </c:pt>
                <c:pt idx="128">
                  <c:v>29.757273369904876</c:v>
                </c:pt>
                <c:pt idx="129">
                  <c:v>30.213818309046836</c:v>
                </c:pt>
                <c:pt idx="130">
                  <c:v>30.673086007290824</c:v>
                </c:pt>
                <c:pt idx="131">
                  <c:v>31.135056668987719</c:v>
                </c:pt>
                <c:pt idx="132">
                  <c:v>31.599710454592898</c:v>
                </c:pt>
                <c:pt idx="133">
                  <c:v>32.067027481518267</c:v>
                </c:pt>
                <c:pt idx="134">
                  <c:v>32.536987824985303</c:v>
                </c:pt>
                <c:pt idx="135">
                  <c:v>33.009571518878701</c:v>
                </c:pt>
                <c:pt idx="136">
                  <c:v>33.484758556600958</c:v>
                </c:pt>
                <c:pt idx="137">
                  <c:v>33.962528891927334</c:v>
                </c:pt>
                <c:pt idx="138">
                  <c:v>34.442862439861692</c:v>
                </c:pt>
                <c:pt idx="139">
                  <c:v>34.925739077492594</c:v>
                </c:pt>
                <c:pt idx="140">
                  <c:v>35.411138644850141</c:v>
                </c:pt>
                <c:pt idx="141">
                  <c:v>35.899040945762863</c:v>
                </c:pt>
                <c:pt idx="142">
                  <c:v>36.389425748715396</c:v>
                </c:pt>
                <c:pt idx="143">
                  <c:v>36.882272787706057</c:v>
                </c:pt>
                <c:pt idx="144">
                  <c:v>37.377561763104779</c:v>
                </c:pt>
                <c:pt idx="145">
                  <c:v>37.875272342511359</c:v>
                </c:pt>
                <c:pt idx="146">
                  <c:v>38.375384161613447</c:v>
                </c:pt>
                <c:pt idx="147">
                  <c:v>38.877876825044964</c:v>
                </c:pt>
                <c:pt idx="148">
                  <c:v>39.382729907244197</c:v>
                </c:pt>
                <c:pt idx="149">
                  <c:v>39.889922953312023</c:v>
                </c:pt>
                <c:pt idx="150">
                  <c:v>40.399435479869787</c:v>
                </c:pt>
                <c:pt idx="151">
                  <c:v>40.911246975917066</c:v>
                </c:pt>
                <c:pt idx="152">
                  <c:v>41.425336903689278</c:v>
                </c:pt>
                <c:pt idx="153">
                  <c:v>41.941684699514738</c:v>
                </c:pt>
                <c:pt idx="154">
                  <c:v>42.460269774671424</c:v>
                </c:pt>
                <c:pt idx="155">
                  <c:v>42.981071516243439</c:v>
                </c:pt>
                <c:pt idx="156">
                  <c:v>43.504069287976634</c:v>
                </c:pt>
                <c:pt idx="157">
                  <c:v>44.029242431133994</c:v>
                </c:pt>
                <c:pt idx="158">
                  <c:v>44.556570265350167</c:v>
                </c:pt>
                <c:pt idx="159">
                  <c:v>45.086032089485357</c:v>
                </c:pt>
                <c:pt idx="160">
                  <c:v>45.617607182478629</c:v>
                </c:pt>
                <c:pt idx="161">
                  <c:v>46.151274804200035</c:v>
                </c:pt>
                <c:pt idx="162">
                  <c:v>46.6870141963023</c:v>
                </c:pt>
                <c:pt idx="163">
                  <c:v>47.224804583071283</c:v>
                </c:pt>
                <c:pt idx="164">
                  <c:v>47.764625172275544</c:v>
                </c:pt>
                <c:pt idx="165">
                  <c:v>48.306455156014856</c:v>
                </c:pt>
                <c:pt idx="166">
                  <c:v>48.850273711567702</c:v>
                </c:pt>
                <c:pt idx="167">
                  <c:v>49.396060002237348</c:v>
                </c:pt>
                <c:pt idx="168">
                  <c:v>49.943793178197161</c:v>
                </c:pt>
                <c:pt idx="169">
                  <c:v>50.493452377333952</c:v>
                </c:pt>
                <c:pt idx="170">
                  <c:v>51.045016726090871</c:v>
                </c:pt>
                <c:pt idx="171">
                  <c:v>51.598465340308067</c:v>
                </c:pt>
                <c:pt idx="172">
                  <c:v>52.153777326062446</c:v>
                </c:pt>
                <c:pt idx="173">
                  <c:v>52.710931780505632</c:v>
                </c:pt>
                <c:pt idx="174">
                  <c:v>53.26990779270065</c:v>
                </c:pt>
                <c:pt idx="175">
                  <c:v>53.830684444456629</c:v>
                </c:pt>
                <c:pt idx="176">
                  <c:v>54.393240811162144</c:v>
                </c:pt>
                <c:pt idx="177">
                  <c:v>54.957555962616667</c:v>
                </c:pt>
                <c:pt idx="178">
                  <c:v>55.523608963860312</c:v>
                </c:pt>
                <c:pt idx="179">
                  <c:v>56.091378876001649</c:v>
                </c:pt>
                <c:pt idx="180">
                  <c:v>56.660844757043748</c:v>
                </c:pt>
                <c:pt idx="181">
                  <c:v>57.231985662708212</c:v>
                </c:pt>
                <c:pt idx="182">
                  <c:v>57.804780647257218</c:v>
                </c:pt>
                <c:pt idx="183">
                  <c:v>58.379208764313383</c:v>
                </c:pt>
                <c:pt idx="184">
                  <c:v>58.955249067677855</c:v>
                </c:pt>
                <c:pt idx="185">
                  <c:v>59.532880612145938</c:v>
                </c:pt>
                <c:pt idx="186">
                  <c:v>60.112082454320486</c:v>
                </c:pt>
                <c:pt idx="187">
                  <c:v>60.692833653423399</c:v>
                </c:pt>
                <c:pt idx="188">
                  <c:v>61.275113272104399</c:v>
                </c:pt>
                <c:pt idx="189">
                  <c:v>61.858900377247593</c:v>
                </c:pt>
                <c:pt idx="190">
                  <c:v>62.444174040775756</c:v>
                </c:pt>
                <c:pt idx="191">
                  <c:v>63.030913340451889</c:v>
                </c:pt>
                <c:pt idx="192">
                  <c:v>63.619097360678559</c:v>
                </c:pt>
                <c:pt idx="193">
                  <c:v>64.208705193294321</c:v>
                </c:pt>
                <c:pt idx="194">
                  <c:v>64.799715938367925</c:v>
                </c:pt>
                <c:pt idx="195">
                  <c:v>65.392108704989468</c:v>
                </c:pt>
                <c:pt idx="196">
                  <c:v>65.985862612059236</c:v>
                </c:pt>
                <c:pt idx="197">
                  <c:v>66.580956789073412</c:v>
                </c:pt>
                <c:pt idx="198">
                  <c:v>67.177370376907206</c:v>
                </c:pt>
                <c:pt idx="199">
                  <c:v>67.77508252859505</c:v>
                </c:pt>
                <c:pt idx="200">
                  <c:v>68.374072410107971</c:v>
                </c:pt>
                <c:pt idx="201">
                  <c:v>68.974319201127798</c:v>
                </c:pt>
                <c:pt idx="202">
                  <c:v>69.575802095818844</c:v>
                </c:pt>
                <c:pt idx="203">
                  <c:v>70.178500303596024</c:v>
                </c:pt>
                <c:pt idx="204">
                  <c:v>70.782393049890132</c:v>
                </c:pt>
                <c:pt idx="205">
                  <c:v>71.387459576910047</c:v>
                </c:pt>
                <c:pt idx="206">
                  <c:v>71.993603077616058</c:v>
                </c:pt>
                <c:pt idx="207">
                  <c:v>72.600725449401736</c:v>
                </c:pt>
                <c:pt idx="208">
                  <c:v>73.208804063891577</c:v>
                </c:pt>
                <c:pt idx="209">
                  <c:v>73.817816324636809</c:v>
                </c:pt>
                <c:pt idx="210">
                  <c:v>74.427739667938894</c:v>
                </c:pt>
                <c:pt idx="211">
                  <c:v>75.038551563668335</c:v>
                </c:pt>
                <c:pt idx="212">
                  <c:v>75.650229516079335</c:v>
                </c:pt>
                <c:pt idx="213">
                  <c:v>76.262751064619195</c:v>
                </c:pt>
                <c:pt idx="214">
                  <c:v>76.876093784733868</c:v>
                </c:pt>
                <c:pt idx="215">
                  <c:v>77.49023528866816</c:v>
                </c:pt>
                <c:pt idx="216">
                  <c:v>78.105153226261336</c:v>
                </c:pt>
                <c:pt idx="217">
                  <c:v>78.720825285738286</c:v>
                </c:pt>
                <c:pt idx="218">
                  <c:v>79.337229194495492</c:v>
                </c:pt>
                <c:pt idx="219">
                  <c:v>79.954342719882263</c:v>
                </c:pt>
                <c:pt idx="220">
                  <c:v>80.572143669977223</c:v>
                </c:pt>
                <c:pt idx="221">
                  <c:v>81.190609894359454</c:v>
                </c:pt>
                <c:pt idx="222">
                  <c:v>81.809719284875456</c:v>
                </c:pt>
                <c:pt idx="223">
                  <c:v>82.429449776400119</c:v>
                </c:pt>
                <c:pt idx="224">
                  <c:v>83.049779347593258</c:v>
                </c:pt>
                <c:pt idx="225">
                  <c:v>83.670686021651136</c:v>
                </c:pt>
                <c:pt idx="226">
                  <c:v>84.292147867052449</c:v>
                </c:pt>
                <c:pt idx="227">
                  <c:v>84.914142998299496</c:v>
                </c:pt>
                <c:pt idx="228">
                  <c:v>85.536649576654042</c:v>
                </c:pt>
                <c:pt idx="229">
                  <c:v>86.159645810868057</c:v>
                </c:pt>
                <c:pt idx="230">
                  <c:v>86.783109957909005</c:v>
                </c:pt>
                <c:pt idx="231">
                  <c:v>87.407020323680101</c:v>
                </c:pt>
                <c:pt idx="232">
                  <c:v>88.031355263735165</c:v>
                </c:pt>
                <c:pt idx="233">
                  <c:v>88.656093183987977</c:v>
                </c:pt>
                <c:pt idx="234">
                  <c:v>89.28121254141648</c:v>
                </c:pt>
                <c:pt idx="235">
                  <c:v>89.90669184476161</c:v>
                </c:pt>
                <c:pt idx="236">
                  <c:v>90.532509655220338</c:v>
                </c:pt>
                <c:pt idx="237">
                  <c:v>91.158644587133892</c:v>
                </c:pt>
                <c:pt idx="238">
                  <c:v>91.785075308669661</c:v>
                </c:pt>
                <c:pt idx="239">
                  <c:v>92.411780542498377</c:v>
                </c:pt>
                <c:pt idx="240">
                  <c:v>93.038739066465453</c:v>
                </c:pt>
                <c:pt idx="241">
                  <c:v>93.665929714256237</c:v>
                </c:pt>
                <c:pt idx="242">
                  <c:v>94.293030816446844</c:v>
                </c:pt>
                <c:pt idx="243">
                  <c:v>94.919716722034352</c:v>
                </c:pt>
                <c:pt idx="244">
                  <c:v>95.545960585877936</c:v>
                </c:pt>
                <c:pt idx="245">
                  <c:v>96.171735675714075</c:v>
                </c:pt>
                <c:pt idx="246">
                  <c:v>96.797015372968858</c:v>
                </c:pt>
                <c:pt idx="247">
                  <c:v>97.421773173558762</c:v>
                </c:pt>
                <c:pt idx="248">
                  <c:v>98.045982688680922</c:v>
                </c:pt>
                <c:pt idx="249">
                  <c:v>98.669617645593135</c:v>
                </c:pt>
                <c:pt idx="250">
                  <c:v>99.292651888382608</c:v>
                </c:pt>
                <c:pt idx="251">
                  <c:v>99.915059378724237</c:v>
                </c:pt>
                <c:pt idx="252">
                  <c:v>100.53681419662821</c:v>
                </c:pt>
                <c:pt idx="253">
                  <c:v>101.15789054117658</c:v>
                </c:pt>
                <c:pt idx="254">
                  <c:v>101.7782627312496</c:v>
                </c:pt>
                <c:pt idx="255">
                  <c:v>102.39790520624081</c:v>
                </c:pt>
                <c:pt idx="256">
                  <c:v>103.01679252676161</c:v>
                </c:pt>
                <c:pt idx="257">
                  <c:v>103.63489937533518</c:v>
                </c:pt>
                <c:pt idx="258">
                  <c:v>104.25220055707958</c:v>
                </c:pt>
                <c:pt idx="259">
                  <c:v>104.86867100037992</c:v>
                </c:pt>
                <c:pt idx="260">
                  <c:v>105.48428575755015</c:v>
                </c:pt>
                <c:pt idx="261">
                  <c:v>106.09902000548392</c:v>
                </c:pt>
                <c:pt idx="262">
                  <c:v>106.71284904629455</c:v>
                </c:pt>
                <c:pt idx="263">
                  <c:v>107.32574830794474</c:v>
                </c:pt>
                <c:pt idx="264">
                  <c:v>107.93769334486528</c:v>
                </c:pt>
                <c:pt idx="265">
                  <c:v>108.5486598385627</c:v>
                </c:pt>
                <c:pt idx="266">
                  <c:v>109.1586235982171</c:v>
                </c:pt>
                <c:pt idx="267">
                  <c:v>109.76756056126874</c:v>
                </c:pt>
                <c:pt idx="268">
                  <c:v>110.37544679399353</c:v>
                </c:pt>
                <c:pt idx="269">
                  <c:v>110.98225849206911</c:v>
                </c:pt>
                <c:pt idx="270">
                  <c:v>111.58797198112916</c:v>
                </c:pt>
                <c:pt idx="271">
                  <c:v>112.19256371730741</c:v>
                </c:pt>
                <c:pt idx="272">
                  <c:v>112.79601028777137</c:v>
                </c:pt>
                <c:pt idx="273">
                  <c:v>113.39828841124519</c:v>
                </c:pt>
                <c:pt idx="274">
                  <c:v>113.99937493852168</c:v>
                </c:pt>
                <c:pt idx="275">
                  <c:v>114.5992468529645</c:v>
                </c:pt>
                <c:pt idx="276">
                  <c:v>115.19788127099919</c:v>
                </c:pt>
                <c:pt idx="277">
                  <c:v>115.79525544259396</c:v>
                </c:pt>
                <c:pt idx="278">
                  <c:v>116.39134675172986</c:v>
                </c:pt>
                <c:pt idx="279">
                  <c:v>116.98613271686075</c:v>
                </c:pt>
                <c:pt idx="280">
                  <c:v>117.57959099136254</c:v>
                </c:pt>
                <c:pt idx="281">
                  <c:v>118.17169936397215</c:v>
                </c:pt>
                <c:pt idx="282">
                  <c:v>118.76243575921598</c:v>
                </c:pt>
                <c:pt idx="283">
                  <c:v>119.35177823782846</c:v>
                </c:pt>
                <c:pt idx="284">
                  <c:v>119.94010214137018</c:v>
                </c:pt>
                <c:pt idx="285">
                  <c:v>120.52778675289237</c:v>
                </c:pt>
                <c:pt idx="286">
                  <c:v>121.11481594792474</c:v>
                </c:pt>
                <c:pt idx="287">
                  <c:v>121.70117367426073</c:v>
                </c:pt>
                <c:pt idx="288">
                  <c:v>122.28684395227482</c:v>
                </c:pt>
                <c:pt idx="289">
                  <c:v>122.87181087523388</c:v>
                </c:pt>
                <c:pt idx="290">
                  <c:v>123.45605860960414</c:v>
                </c:pt>
                <c:pt idx="291">
                  <c:v>124.03957139535262</c:v>
                </c:pt>
                <c:pt idx="292">
                  <c:v>124.62233354624368</c:v>
                </c:pt>
                <c:pt idx="293">
                  <c:v>125.2043294501301</c:v>
                </c:pt>
                <c:pt idx="294">
                  <c:v>125.78554356923991</c:v>
                </c:pt>
                <c:pt idx="295">
                  <c:v>126.36596044045696</c:v>
                </c:pt>
                <c:pt idx="296">
                  <c:v>126.9455646755975</c:v>
                </c:pt>
                <c:pt idx="297">
                  <c:v>127.52434096168102</c:v>
                </c:pt>
                <c:pt idx="298">
                  <c:v>128.10227406119631</c:v>
                </c:pt>
                <c:pt idx="299">
                  <c:v>128.6793488123626</c:v>
                </c:pt>
                <c:pt idx="300">
                  <c:v>129.25555012938511</c:v>
                </c:pt>
                <c:pt idx="301">
                  <c:v>129.83086300270617</c:v>
                </c:pt>
                <c:pt idx="302">
                  <c:v>130.40527249925131</c:v>
                </c:pt>
                <c:pt idx="303">
                  <c:v>130.97876376266984</c:v>
                </c:pt>
                <c:pt idx="304">
                  <c:v>131.55132201357083</c:v>
                </c:pt>
                <c:pt idx="305">
                  <c:v>132.12293254975418</c:v>
                </c:pt>
                <c:pt idx="306">
                  <c:v>132.69358074643625</c:v>
                </c:pt>
                <c:pt idx="307">
                  <c:v>133.26325205647123</c:v>
                </c:pt>
                <c:pt idx="308">
                  <c:v>133.83193201056693</c:v>
                </c:pt>
                <c:pt idx="309">
                  <c:v>134.39960621749583</c:v>
                </c:pt>
                <c:pt idx="310">
                  <c:v>134.9662603643016</c:v>
                </c:pt>
                <c:pt idx="311">
                  <c:v>135.53188021650013</c:v>
                </c:pt>
                <c:pt idx="312">
                  <c:v>136.09645161827601</c:v>
                </c:pt>
                <c:pt idx="313">
                  <c:v>136.65996049267406</c:v>
                </c:pt>
                <c:pt idx="314">
                  <c:v>137.22239284178596</c:v>
                </c:pt>
                <c:pt idx="315">
                  <c:v>137.78373474693217</c:v>
                </c:pt>
                <c:pt idx="316">
                  <c:v>138.34397236883873</c:v>
                </c:pt>
                <c:pt idx="317">
                  <c:v>138.90309194780983</c:v>
                </c:pt>
                <c:pt idx="318">
                  <c:v>139.46107980389473</c:v>
                </c:pt>
                <c:pt idx="319">
                  <c:v>140.01792233705044</c:v>
                </c:pt>
                <c:pt idx="320">
                  <c:v>140.57360602730003</c:v>
                </c:pt>
                <c:pt idx="321">
                  <c:v>141.12811743488507</c:v>
                </c:pt>
                <c:pt idx="322">
                  <c:v>141.68144320041435</c:v>
                </c:pt>
                <c:pt idx="323">
                  <c:v>142.23357004500741</c:v>
                </c:pt>
                <c:pt idx="324">
                  <c:v>142.78448477043358</c:v>
                </c:pt>
                <c:pt idx="325">
                  <c:v>143.33417425924614</c:v>
                </c:pt>
                <c:pt idx="326">
                  <c:v>143.88265212246034</c:v>
                </c:pt>
                <c:pt idx="327">
                  <c:v>144.42993224209533</c:v>
                </c:pt>
                <c:pt idx="328">
                  <c:v>144.97600200717673</c:v>
                </c:pt>
                <c:pt idx="329">
                  <c:v>145.52084888450656</c:v>
                </c:pt>
                <c:pt idx="330">
                  <c:v>146.0644604187766</c:v>
                </c:pt>
                <c:pt idx="331">
                  <c:v>146.60682423267721</c:v>
                </c:pt>
                <c:pt idx="332">
                  <c:v>147.14792802700146</c:v>
                </c:pt>
                <c:pt idx="333">
                  <c:v>147.68775958074568</c:v>
                </c:pt>
                <c:pt idx="334">
                  <c:v>148.22630675120513</c:v>
                </c:pt>
                <c:pt idx="335">
                  <c:v>148.76355747406555</c:v>
                </c:pt>
                <c:pt idx="336">
                  <c:v>149.29949976349059</c:v>
                </c:pt>
                <c:pt idx="337">
                  <c:v>149.8341217122049</c:v>
                </c:pt>
                <c:pt idx="338">
                  <c:v>150.36741149157302</c:v>
                </c:pt>
                <c:pt idx="339">
                  <c:v>150.89935735167393</c:v>
                </c:pt>
                <c:pt idx="340">
                  <c:v>151.42994762137192</c:v>
                </c:pt>
                <c:pt idx="341">
                  <c:v>151.95917070838246</c:v>
                </c:pt>
                <c:pt idx="342">
                  <c:v>152.487015099335</c:v>
                </c:pt>
                <c:pt idx="343">
                  <c:v>153.01346935983051</c:v>
                </c:pt>
                <c:pt idx="344">
                  <c:v>153.53852213449599</c:v>
                </c:pt>
                <c:pt idx="345">
                  <c:v>154.06216214703414</c:v>
                </c:pt>
                <c:pt idx="346">
                  <c:v>154.58437820026947</c:v>
                </c:pt>
                <c:pt idx="347">
                  <c:v>155.1051591761902</c:v>
                </c:pt>
                <c:pt idx="348">
                  <c:v>155.62449403598586</c:v>
                </c:pt>
                <c:pt idx="349">
                  <c:v>156.14237182008148</c:v>
                </c:pt>
                <c:pt idx="350">
                  <c:v>156.6587816481676</c:v>
                </c:pt>
                <c:pt idx="351">
                  <c:v>157.17371271922599</c:v>
                </c:pt>
                <c:pt idx="352">
                  <c:v>157.68715431155198</c:v>
                </c:pt>
                <c:pt idx="353">
                  <c:v>158.19909578277262</c:v>
                </c:pt>
                <c:pt idx="354">
                  <c:v>158.70952656986108</c:v>
                </c:pt>
                <c:pt idx="355">
                  <c:v>159.21843618914704</c:v>
                </c:pt>
                <c:pt idx="356">
                  <c:v>159.7258142363234</c:v>
                </c:pt>
                <c:pt idx="357">
                  <c:v>160.23165038644916</c:v>
                </c:pt>
                <c:pt idx="358">
                  <c:v>160.73593439394875</c:v>
                </c:pt>
                <c:pt idx="359">
                  <c:v>161.23865609260696</c:v>
                </c:pt>
                <c:pt idx="360">
                  <c:v>161.73980539556106</c:v>
                </c:pt>
                <c:pt idx="361">
                  <c:v>162.23937229528832</c:v>
                </c:pt>
                <c:pt idx="362">
                  <c:v>162.73734686359063</c:v>
                </c:pt>
                <c:pt idx="363">
                  <c:v>163.2337192515748</c:v>
                </c:pt>
                <c:pt idx="364">
                  <c:v>163.72847968962969</c:v>
                </c:pt>
                <c:pt idx="365">
                  <c:v>164.22161848739964</c:v>
                </c:pt>
                <c:pt idx="366">
                  <c:v>164.71384653595831</c:v>
                </c:pt>
                <c:pt idx="367">
                  <c:v>165.20587858828972</c:v>
                </c:pt>
                <c:pt idx="368">
                  <c:v>165.69771026085391</c:v>
                </c:pt>
                <c:pt idx="369">
                  <c:v>166.18933718430117</c:v>
                </c:pt>
                <c:pt idx="370">
                  <c:v>166.68075500351654</c:v>
                </c:pt>
                <c:pt idx="371">
                  <c:v>167.17195937766354</c:v>
                </c:pt>
                <c:pt idx="372">
                  <c:v>167.66294598022679</c:v>
                </c:pt>
                <c:pt idx="373">
                  <c:v>168.15371049905539</c:v>
                </c:pt>
                <c:pt idx="374">
                  <c:v>168.6442486364044</c:v>
                </c:pt>
                <c:pt idx="375">
                  <c:v>169.13455610897614</c:v>
                </c:pt>
                <c:pt idx="376">
                  <c:v>169.6246286479614</c:v>
                </c:pt>
                <c:pt idx="377">
                  <c:v>170.11446199907957</c:v>
                </c:pt>
                <c:pt idx="378">
                  <c:v>170.60405192261808</c:v>
                </c:pt>
                <c:pt idx="379">
                  <c:v>171.09339419347219</c:v>
                </c:pt>
                <c:pt idx="380">
                  <c:v>171.58248460118276</c:v>
                </c:pt>
                <c:pt idx="381">
                  <c:v>172.07052515218481</c:v>
                </c:pt>
                <c:pt idx="382">
                  <c:v>172.55671397709341</c:v>
                </c:pt>
                <c:pt idx="383">
                  <c:v>173.04104175681411</c:v>
                </c:pt>
                <c:pt idx="384">
                  <c:v>173.52349925893623</c:v>
                </c:pt>
                <c:pt idx="385">
                  <c:v>174.00407733764507</c:v>
                </c:pt>
                <c:pt idx="386">
                  <c:v>174.48276693363047</c:v>
                </c:pt>
                <c:pt idx="387">
                  <c:v>174.95955907399127</c:v>
                </c:pt>
                <c:pt idx="388">
                  <c:v>175.43444487213711</c:v>
                </c:pt>
                <c:pt idx="389">
                  <c:v>175.9074155276856</c:v>
                </c:pt>
                <c:pt idx="390">
                  <c:v>176.3784623263569</c:v>
                </c:pt>
                <c:pt idx="391">
                  <c:v>176.84757663986417</c:v>
                </c:pt>
                <c:pt idx="392">
                  <c:v>177.3147499258009</c:v>
                </c:pt>
                <c:pt idx="393">
                  <c:v>177.77997372752486</c:v>
                </c:pt>
                <c:pt idx="394">
                  <c:v>178.24323967403831</c:v>
                </c:pt>
                <c:pt idx="395">
                  <c:v>178.70453947986519</c:v>
                </c:pt>
                <c:pt idx="396">
                  <c:v>179.16386494492488</c:v>
                </c:pt>
                <c:pt idx="397">
                  <c:v>179.62120795440242</c:v>
                </c:pt>
                <c:pt idx="398">
                  <c:v>180.07656047861605</c:v>
                </c:pt>
                <c:pt idx="399">
                  <c:v>180.52991457288064</c:v>
                </c:pt>
                <c:pt idx="400">
                  <c:v>180.98126237736889</c:v>
                </c:pt>
                <c:pt idx="401">
                  <c:v>181.42995751840661</c:v>
                </c:pt>
                <c:pt idx="402">
                  <c:v>181.87535112761529</c:v>
                </c:pt>
                <c:pt idx="403">
                  <c:v>182.31743231948971</c:v>
                </c:pt>
                <c:pt idx="404">
                  <c:v>182.75619038187298</c:v>
                </c:pt>
                <c:pt idx="405">
                  <c:v>183.19161477551592</c:v>
                </c:pt>
                <c:pt idx="406">
                  <c:v>183.62369513363001</c:v>
                </c:pt>
                <c:pt idx="407">
                  <c:v>184.05242126143187</c:v>
                </c:pt>
                <c:pt idx="408">
                  <c:v>184.47778313568188</c:v>
                </c:pt>
                <c:pt idx="409">
                  <c:v>184.89977090421499</c:v>
                </c:pt>
                <c:pt idx="410">
                  <c:v>185.31837488546591</c:v>
                </c:pt>
                <c:pt idx="411">
                  <c:v>185.73002293916005</c:v>
                </c:pt>
                <c:pt idx="412">
                  <c:v>186.13113094799135</c:v>
                </c:pt>
                <c:pt idx="413">
                  <c:v>186.52167524697788</c:v>
                </c:pt>
                <c:pt idx="414">
                  <c:v>186.90163336617951</c:v>
                </c:pt>
                <c:pt idx="415">
                  <c:v>187.27098402580097</c:v>
                </c:pt>
                <c:pt idx="416">
                  <c:v>187.62970713121086</c:v>
                </c:pt>
                <c:pt idx="417">
                  <c:v>187.97778376788011</c:v>
                </c:pt>
                <c:pt idx="418">
                  <c:v>188.31519619623717</c:v>
                </c:pt>
                <c:pt idx="419">
                  <c:v>188.64192784644828</c:v>
                </c:pt>
                <c:pt idx="420">
                  <c:v>188.95592313339645</c:v>
                </c:pt>
                <c:pt idx="421">
                  <c:v>189.25512342543439</c:v>
                </c:pt>
                <c:pt idx="422">
                  <c:v>189.53951176564172</c:v>
                </c:pt>
                <c:pt idx="423">
                  <c:v>189.80907332078948</c:v>
                </c:pt>
                <c:pt idx="424">
                  <c:v>190.06379537063947</c:v>
                </c:pt>
                <c:pt idx="425">
                  <c:v>190.30366729708018</c:v>
                </c:pt>
                <c:pt idx="426">
                  <c:v>190.52868057309919</c:v>
                </c:pt>
                <c:pt idx="427">
                  <c:v>190.73882875160044</c:v>
                </c:pt>
                <c:pt idx="428">
                  <c:v>190.93410745406825</c:v>
                </c:pt>
                <c:pt idx="429">
                  <c:v>191.11451435908484</c:v>
                </c:pt>
                <c:pt idx="430">
                  <c:v>191.28004919070275</c:v>
                </c:pt>
                <c:pt idx="431">
                  <c:v>191.43071370668005</c:v>
                </c:pt>
                <c:pt idx="432">
                  <c:v>191.56320984049796</c:v>
                </c:pt>
                <c:pt idx="433">
                  <c:v>191.67424222042109</c:v>
                </c:pt>
                <c:pt idx="434">
                  <c:v>191.76382405667033</c:v>
                </c:pt>
                <c:pt idx="435">
                  <c:v>191.83197267395195</c:v>
                </c:pt>
                <c:pt idx="436">
                  <c:v>191.87870948530244</c:v>
                </c:pt>
                <c:pt idx="437">
                  <c:v>191.90405996557288</c:v>
                </c:pt>
                <c:pt idx="438">
                  <c:v>191.90805362456402</c:v>
                </c:pt>
                <c:pt idx="439">
                  <c:v>191.89072397982633</c:v>
                </c:pt>
                <c:pt idx="440">
                  <c:v>191.85210852913562</c:v>
                </c:pt>
                <c:pt idx="441">
                  <c:v>191.79224872266008</c:v>
                </c:pt>
                <c:pt idx="442">
                  <c:v>191.71319207330149</c:v>
                </c:pt>
                <c:pt idx="443">
                  <c:v>191.61698446612425</c:v>
                </c:pt>
                <c:pt idx="444">
                  <c:v>191.50366805464924</c:v>
                </c:pt>
                <c:pt idx="445">
                  <c:v>191.37328750151676</c:v>
                </c:pt>
                <c:pt idx="446">
                  <c:v>191.22588995946217</c:v>
                </c:pt>
                <c:pt idx="447">
                  <c:v>191.06152505218407</c:v>
                </c:pt>
                <c:pt idx="448">
                  <c:v>190.88024485511383</c:v>
                </c:pt>
                <c:pt idx="449">
                  <c:v>190.68210387609062</c:v>
                </c:pt>
                <c:pt idx="450">
                  <c:v>190.46715903594983</c:v>
                </c:pt>
                <c:pt idx="451">
                  <c:v>190.23546964902937</c:v>
                </c:pt>
                <c:pt idx="452">
                  <c:v>189.98709740360184</c:v>
                </c:pt>
                <c:pt idx="453">
                  <c:v>189.72495275747491</c:v>
                </c:pt>
                <c:pt idx="454">
                  <c:v>189.45193458795032</c:v>
                </c:pt>
                <c:pt idx="455">
                  <c:v>189.16808730309182</c:v>
                </c:pt>
                <c:pt idx="456">
                  <c:v>188.87345626942007</c:v>
                </c:pt>
                <c:pt idx="457">
                  <c:v>188.56808780352171</c:v>
                </c:pt>
                <c:pt idx="458">
                  <c:v>188.25202916366894</c:v>
                </c:pt>
                <c:pt idx="459">
                  <c:v>187.92532854145097</c:v>
                </c:pt>
                <c:pt idx="460">
                  <c:v>187.58803505342036</c:v>
                </c:pt>
                <c:pt idx="461">
                  <c:v>187.2427401295368</c:v>
                </c:pt>
                <c:pt idx="462">
                  <c:v>186.89202123819999</c:v>
                </c:pt>
                <c:pt idx="463">
                  <c:v>186.53590527099394</c:v>
                </c:pt>
                <c:pt idx="464">
                  <c:v>186.17441933239886</c:v>
                </c:pt>
                <c:pt idx="465">
                  <c:v>185.80759073767979</c:v>
                </c:pt>
                <c:pt idx="466">
                  <c:v>185.43332398819962</c:v>
                </c:pt>
                <c:pt idx="467">
                  <c:v>185.04953695956797</c:v>
                </c:pt>
                <c:pt idx="468">
                  <c:v>184.6326943244712</c:v>
                </c:pt>
                <c:pt idx="469">
                  <c:v>184.1882462719781</c:v>
                </c:pt>
                <c:pt idx="470">
                  <c:v>183.74513380052383</c:v>
                </c:pt>
                <c:pt idx="471">
                  <c:v>183.3033515744379</c:v>
                </c:pt>
                <c:pt idx="472">
                  <c:v>182.8628942850101</c:v>
                </c:pt>
                <c:pt idx="473">
                  <c:v>182.42375665032611</c:v>
                </c:pt>
                <c:pt idx="474">
                  <c:v>181.98593341510536</c:v>
                </c:pt>
                <c:pt idx="475">
                  <c:v>181.54941935053782</c:v>
                </c:pt>
                <c:pt idx="476">
                  <c:v>181.11420925412457</c:v>
                </c:pt>
                <c:pt idx="477">
                  <c:v>180.68029794951713</c:v>
                </c:pt>
                <c:pt idx="478">
                  <c:v>180.24768028635995</c:v>
                </c:pt>
                <c:pt idx="479">
                  <c:v>179.81635114013272</c:v>
                </c:pt>
                <c:pt idx="480">
                  <c:v>179.38630541199387</c:v>
                </c:pt>
                <c:pt idx="481">
                  <c:v>178.95753802862586</c:v>
                </c:pt>
                <c:pt idx="482">
                  <c:v>178.53004394208131</c:v>
                </c:pt>
                <c:pt idx="483">
                  <c:v>178.10381812962956</c:v>
                </c:pt>
                <c:pt idx="484">
                  <c:v>177.67885559360516</c:v>
                </c:pt>
                <c:pt idx="485">
                  <c:v>177.25515136125767</c:v>
                </c:pt>
                <c:pt idx="486">
                  <c:v>176.83270048460048</c:v>
                </c:pt>
                <c:pt idx="487">
                  <c:v>176.41149804026378</c:v>
                </c:pt>
                <c:pt idx="488">
                  <c:v>175.99153912934602</c:v>
                </c:pt>
                <c:pt idx="489">
                  <c:v>175.57281887726762</c:v>
                </c:pt>
                <c:pt idx="490">
                  <c:v>175.15533243362529</c:v>
                </c:pt>
                <c:pt idx="491">
                  <c:v>174.73907497204777</c:v>
                </c:pt>
                <c:pt idx="492">
                  <c:v>174.32404169005196</c:v>
                </c:pt>
                <c:pt idx="493">
                  <c:v>173.91022780890103</c:v>
                </c:pt>
                <c:pt idx="494">
                  <c:v>173.49762857346212</c:v>
                </c:pt>
                <c:pt idx="495">
                  <c:v>173.08623925206641</c:v>
                </c:pt>
                <c:pt idx="496">
                  <c:v>172.67605513636931</c:v>
                </c:pt>
                <c:pt idx="497">
                  <c:v>172.26707154121209</c:v>
                </c:pt>
                <c:pt idx="498">
                  <c:v>171.85928380448394</c:v>
                </c:pt>
                <c:pt idx="499">
                  <c:v>171.45268728698599</c:v>
                </c:pt>
                <c:pt idx="500">
                  <c:v>171.04727737229436</c:v>
                </c:pt>
                <c:pt idx="501">
                  <c:v>167.03292723200479</c:v>
                </c:pt>
                <c:pt idx="502">
                  <c:v>163.13400723729512</c:v>
                </c:pt>
                <c:pt idx="503">
                  <c:v>159.34614836840092</c:v>
                </c:pt>
                <c:pt idx="504">
                  <c:v>155.66518936996883</c:v>
                </c:pt>
                <c:pt idx="505">
                  <c:v>152.08716493562557</c:v>
                </c:pt>
                <c:pt idx="506">
                  <c:v>148.60829467314898</c:v>
                </c:pt>
                <c:pt idx="507">
                  <c:v>145.2249727916365</c:v>
                </c:pt>
                <c:pt idx="508">
                  <c:v>141.93375845698392</c:v>
                </c:pt>
                <c:pt idx="509">
                  <c:v>138.73136676645166</c:v>
                </c:pt>
                <c:pt idx="510">
                  <c:v>135.61466029714845</c:v>
                </c:pt>
                <c:pt idx="511">
                  <c:v>132.58064118694659</c:v>
                </c:pt>
                <c:pt idx="512">
                  <c:v>129.62644370969878</c:v>
                </c:pt>
                <c:pt idx="513">
                  <c:v>126.74932730967681</c:v>
                </c:pt>
                <c:pt idx="514">
                  <c:v>123.9466700629393</c:v>
                </c:pt>
                <c:pt idx="515">
                  <c:v>121.21596253587582</c:v>
                </c:pt>
                <c:pt idx="516">
                  <c:v>118.55480201349083</c:v>
                </c:pt>
                <c:pt idx="517">
                  <c:v>115.96088707211584</c:v>
                </c:pt>
                <c:pt idx="518">
                  <c:v>113.43201247317214</c:v>
                </c:pt>
                <c:pt idx="519">
                  <c:v>110.96606435638529</c:v>
                </c:pt>
                <c:pt idx="520">
                  <c:v>108.56101571247609</c:v>
                </c:pt>
                <c:pt idx="521">
                  <c:v>106.21492211684493</c:v>
                </c:pt>
                <c:pt idx="522">
                  <c:v>103.92591770713399</c:v>
                </c:pt>
                <c:pt idx="523">
                  <c:v>101.69221138880813</c:v>
                </c:pt>
                <c:pt idx="524">
                  <c:v>99.512083254048989</c:v>
                </c:pt>
                <c:pt idx="525">
                  <c:v>97.383881200319081</c:v>
                </c:pt>
                <c:pt idx="526">
                  <c:v>95.306017735929728</c:v>
                </c:pt>
                <c:pt idx="527">
                  <c:v>93.276966960843495</c:v>
                </c:pt>
                <c:pt idx="528">
                  <c:v>91.295261711776277</c:v>
                </c:pt>
                <c:pt idx="529">
                  <c:v>89.359490861421662</c:v>
                </c:pt>
                <c:pt idx="530">
                  <c:v>87.468296762331931</c:v>
                </c:pt>
                <c:pt idx="531">
                  <c:v>85.620372826636839</c:v>
                </c:pt>
                <c:pt idx="532">
                  <c:v>83.814461233385984</c:v>
                </c:pt>
                <c:pt idx="533">
                  <c:v>82.049350755855301</c:v>
                </c:pt>
                <c:pt idx="534">
                  <c:v>80.323874701673915</c:v>
                </c:pt>
                <c:pt idx="535">
                  <c:v>78.636908959103366</c:v>
                </c:pt>
                <c:pt idx="536">
                  <c:v>76.987370143243666</c:v>
                </c:pt>
                <c:pt idx="537">
                  <c:v>75.374213836348446</c:v>
                </c:pt>
                <c:pt idx="538">
                  <c:v>73.79643291681154</c:v>
                </c:pt>
                <c:pt idx="539">
                  <c:v>72.253055971739727</c:v>
                </c:pt>
                <c:pt idx="540">
                  <c:v>70.743145788351981</c:v>
                </c:pt>
                <c:pt idx="541">
                  <c:v>69.265797919750284</c:v>
                </c:pt>
                <c:pt idx="542">
                  <c:v>67.820139320888956</c:v>
                </c:pt>
                <c:pt idx="543">
                  <c:v>66.405327050831247</c:v>
                </c:pt>
                <c:pt idx="544">
                  <c:v>65.02054703762704</c:v>
                </c:pt>
                <c:pt idx="545">
                  <c:v>63.66501290237197</c:v>
                </c:pt>
                <c:pt idx="546">
                  <c:v>62.337964839220945</c:v>
                </c:pt>
                <c:pt idx="547">
                  <c:v>61.038668548325177</c:v>
                </c:pt>
                <c:pt idx="548">
                  <c:v>59.766414218846606</c:v>
                </c:pt>
                <c:pt idx="549">
                  <c:v>58.520515559375326</c:v>
                </c:pt>
                <c:pt idx="550">
                  <c:v>57.300308873235075</c:v>
                </c:pt>
                <c:pt idx="551">
                  <c:v>56.105152176311854</c:v>
                </c:pt>
                <c:pt idx="552">
                  <c:v>54.934424355180852</c:v>
                </c:pt>
                <c:pt idx="553">
                  <c:v>53.787524363436198</c:v>
                </c:pt>
                <c:pt idx="554">
                  <c:v>52.663870454251736</c:v>
                </c:pt>
                <c:pt idx="555">
                  <c:v>51.56289944731401</c:v>
                </c:pt>
                <c:pt idx="556">
                  <c:v>50.484066028376297</c:v>
                </c:pt>
                <c:pt idx="557">
                  <c:v>49.42684207978192</c:v>
                </c:pt>
                <c:pt idx="558">
                  <c:v>48.390716040399923</c:v>
                </c:pt>
                <c:pt idx="559">
                  <c:v>47.375192293502963</c:v>
                </c:pt>
                <c:pt idx="560">
                  <c:v>46.379790581200126</c:v>
                </c:pt>
                <c:pt idx="561">
                  <c:v>45.404045444115205</c:v>
                </c:pt>
                <c:pt idx="562">
                  <c:v>44.447505685072123</c:v>
                </c:pt>
                <c:pt idx="563">
                  <c:v>43.509733855618848</c:v>
                </c:pt>
                <c:pt idx="564">
                  <c:v>42.590305764284111</c:v>
                </c:pt>
                <c:pt idx="565">
                  <c:v>41.688810005521105</c:v>
                </c:pt>
                <c:pt idx="566">
                  <c:v>40.804847508349972</c:v>
                </c:pt>
                <c:pt idx="567">
                  <c:v>39.938031103762469</c:v>
                </c:pt>
                <c:pt idx="568">
                  <c:v>39.087985110003373</c:v>
                </c:pt>
                <c:pt idx="569">
                  <c:v>38.254344934889382</c:v>
                </c:pt>
                <c:pt idx="570">
                  <c:v>37.436756694370807</c:v>
                </c:pt>
                <c:pt idx="571">
                  <c:v>36.634876846582941</c:v>
                </c:pt>
                <c:pt idx="572">
                  <c:v>35.848371840673231</c:v>
                </c:pt>
                <c:pt idx="573">
                  <c:v>35.076917779727282</c:v>
                </c:pt>
                <c:pt idx="574">
                  <c:v>34.320200097151648</c:v>
                </c:pt>
                <c:pt idx="575">
                  <c:v>33.577913245903986</c:v>
                </c:pt>
                <c:pt idx="576">
                  <c:v>32.849760399992547</c:v>
                </c:pt>
                <c:pt idx="577">
                  <c:v>32.135453167695943</c:v>
                </c:pt>
                <c:pt idx="578">
                  <c:v>31.434711315981748</c:v>
                </c:pt>
                <c:pt idx="579">
                  <c:v>30.747262505628481</c:v>
                </c:pt>
                <c:pt idx="580">
                  <c:v>30.072842036580617</c:v>
                </c:pt>
                <c:pt idx="581">
                  <c:v>29.411192603088836</c:v>
                </c:pt>
                <c:pt idx="582">
                  <c:v>28.762064058210413</c:v>
                </c:pt>
                <c:pt idx="583">
                  <c:v>28.125213187264603</c:v>
                </c:pt>
                <c:pt idx="584">
                  <c:v>27.500403489858691</c:v>
                </c:pt>
                <c:pt idx="585">
                  <c:v>26.88740497011781</c:v>
                </c:pt>
                <c:pt idx="586">
                  <c:v>26.285993934770008</c:v>
                </c:pt>
                <c:pt idx="587">
                  <c:v>25.695952798754373</c:v>
                </c:pt>
                <c:pt idx="588">
                  <c:v>25.117069898035989</c:v>
                </c:pt>
                <c:pt idx="589">
                  <c:v>24.549139309326318</c:v>
                </c:pt>
                <c:pt idx="590">
                  <c:v>23.991960676421716</c:v>
                </c:pt>
                <c:pt idx="591">
                  <c:v>23.445339042886488</c:v>
                </c:pt>
                <c:pt idx="592">
                  <c:v>22.909084690819217</c:v>
                </c:pt>
                <c:pt idx="593">
                  <c:v>22.383012985453576</c:v>
                </c:pt>
                <c:pt idx="594">
                  <c:v>21.866944225355827</c:v>
                </c:pt>
                <c:pt idx="595">
                  <c:v>21.360703497992592</c:v>
                </c:pt>
                <c:pt idx="596">
                  <c:v>20.864120540452191</c:v>
                </c:pt>
                <c:pt idx="597">
                  <c:v>20.377029605113215</c:v>
                </c:pt>
                <c:pt idx="598">
                  <c:v>19.89926933006263</c:v>
                </c:pt>
                <c:pt idx="599">
                  <c:v>19.430682614075206</c:v>
                </c:pt>
                <c:pt idx="600">
                  <c:v>18.971116495973906</c:v>
                </c:pt>
                <c:pt idx="601">
                  <c:v>18.520422038198902</c:v>
                </c:pt>
                <c:pt idx="602">
                  <c:v>18.078454214420766</c:v>
                </c:pt>
                <c:pt idx="603">
                  <c:v>17.645071801040089</c:v>
                </c:pt>
                <c:pt idx="604">
                  <c:v>17.220137272422814</c:v>
                </c:pt>
                <c:pt idx="605">
                  <c:v>16.803516699727279</c:v>
                </c:pt>
                <c:pt idx="606">
                  <c:v>16.395079653184471</c:v>
                </c:pt>
                <c:pt idx="607">
                  <c:v>15.994699107699537</c:v>
                </c:pt>
                <c:pt idx="608">
                  <c:v>15.602251351647768</c:v>
                </c:pt>
                <c:pt idx="609">
                  <c:v>15.217615898743491</c:v>
                </c:pt>
                <c:pt idx="610">
                  <c:v>14.840675402865623</c:v>
                </c:pt>
                <c:pt idx="611">
                  <c:v>14.471315575728154</c:v>
                </c:pt>
                <c:pt idx="612">
                  <c:v>14.109425107288409</c:v>
                </c:pt>
                <c:pt idx="613">
                  <c:v>13.754895588790241</c:v>
                </c:pt>
                <c:pt idx="614">
                  <c:v>13.407621438343483</c:v>
                </c:pt>
                <c:pt idx="615">
                  <c:v>13.067499828944705</c:v>
                </c:pt>
                <c:pt idx="616">
                  <c:v>12.734430618848045</c:v>
                </c:pt>
                <c:pt idx="617">
                  <c:v>12.408316284198415</c:v>
                </c:pt>
                <c:pt idx="618">
                  <c:v>12.089061853842749</c:v>
                </c:pt>
                <c:pt idx="619">
                  <c:v>11.776574846237724</c:v>
                </c:pt>
                <c:pt idx="620">
                  <c:v>11.470765208375933</c:v>
                </c:pt>
                <c:pt idx="621">
                  <c:v>11.171545256654715</c:v>
                </c:pt>
                <c:pt idx="622">
                  <c:v>10.878829619614773</c:v>
                </c:pt>
                <c:pt idx="623">
                  <c:v>10.59253518247824</c:v>
                </c:pt>
                <c:pt idx="624">
                  <c:v>10.312581033417947</c:v>
                </c:pt>
                <c:pt idx="625">
                  <c:v>10.038888411492136</c:v>
                </c:pt>
                <c:pt idx="626">
                  <c:v>9.7713806561805736</c:v>
                </c:pt>
                <c:pt idx="627">
                  <c:v>9.5099831584603809</c:v>
                </c:pt>
                <c:pt idx="628">
                  <c:v>9.2546233133611864</c:v>
                </c:pt>
                <c:pt idx="629">
                  <c:v>9.0052304739413156</c:v>
                </c:pt>
                <c:pt idx="630">
                  <c:v>8.7617359066279619</c:v>
                </c:pt>
                <c:pt idx="631">
                  <c:v>8.5240727478658069</c:v>
                </c:pt>
                <c:pt idx="632">
                  <c:v>8.2921759620198863</c:v>
                </c:pt>
                <c:pt idx="633">
                  <c:v>8.0659823004795932</c:v>
                </c:pt>
                <c:pt idx="634">
                  <c:v>7.8454302619117637</c:v>
                </c:pt>
                <c:pt idx="635">
                  <c:v>7.6304600536118254</c:v>
                </c:pt>
                <c:pt idx="636">
                  <c:v>7.4210135539026494</c:v>
                </c:pt>
                <c:pt idx="637">
                  <c:v>7.2170342755316828</c:v>
                </c:pt>
                <c:pt idx="638">
                  <c:v>7.0184673300172777</c:v>
                </c:pt>
                <c:pt idx="639">
                  <c:v>6.8252593928958607</c:v>
                </c:pt>
                <c:pt idx="640">
                  <c:v>6.6373586698219427</c:v>
                </c:pt>
                <c:pt idx="641">
                  <c:v>6.4547148634730931</c:v>
                </c:pt>
                <c:pt idx="642">
                  <c:v>6.2772791412125013</c:v>
                </c:pt>
                <c:pt idx="643">
                  <c:v>6.1050041034616136</c:v>
                </c:pt>
                <c:pt idx="644">
                  <c:v>5.9378437527355334</c:v>
                </c:pt>
                <c:pt idx="645">
                  <c:v>5.775753463293797</c:v>
                </c:pt>
                <c:pt idx="646">
                  <c:v>5.6186899513590056</c:v>
                </c:pt>
                <c:pt idx="647">
                  <c:v>5.4666112458557272</c:v>
                </c:pt>
                <c:pt idx="648">
                  <c:v>5.3194766596218628</c:v>
                </c:pt>
                <c:pt idx="649">
                  <c:v>5.177246761044465</c:v>
                </c:pt>
                <c:pt idx="650">
                  <c:v>5.0398833460718615</c:v>
                </c:pt>
                <c:pt idx="651">
                  <c:v>4.907349410553703</c:v>
                </c:pt>
                <c:pt idx="652">
                  <c:v>4.7796091228604451</c:v>
                </c:pt>
                <c:pt idx="653">
                  <c:v>4.6566277967337966</c:v>
                </c:pt>
                <c:pt idx="654">
                  <c:v>4.538371864319636</c:v>
                </c:pt>
                <c:pt idx="655">
                  <c:v>4.4248088493351627</c:v>
                </c:pt>
                <c:pt idx="656">
                  <c:v>4.3159073403224584</c:v>
                </c:pt>
                <c:pt idx="657">
                  <c:v>4.2116369639412436</c:v>
                </c:pt>
                <c:pt idx="658">
                  <c:v>4.1119683582544884</c:v>
                </c:pt>
                <c:pt idx="659">
                  <c:v>4.016873145961803</c:v>
                </c:pt>
                <c:pt idx="660">
                  <c:v>3.9263239075371166</c:v>
                </c:pt>
                <c:pt idx="661">
                  <c:v>3.8402941542290998</c:v>
                </c:pt>
                <c:pt idx="662">
                  <c:v>3.7587583008853125</c:v>
                </c:pt>
                <c:pt idx="663">
                  <c:v>3.681691638564025</c:v>
                </c:pt>
                <c:pt idx="664">
                  <c:v>3.6090703069011139</c:v>
                </c:pt>
                <c:pt idx="665">
                  <c:v>3.5408712662035673</c:v>
                </c:pt>
                <c:pt idx="666">
                  <c:v>3.477072269245757</c:v>
                </c:pt>
                <c:pt idx="667">
                  <c:v>3.4176518327499248</c:v>
                </c:pt>
                <c:pt idx="668">
                  <c:v>3.3625892085380866</c:v>
                </c:pt>
                <c:pt idx="669">
                  <c:v>3.311864354349022</c:v>
                </c:pt>
                <c:pt idx="670">
                  <c:v>3.2654579043207859</c:v>
                </c:pt>
                <c:pt idx="671">
                  <c:v>3.2233511391465459</c:v>
                </c:pt>
                <c:pt idx="672">
                  <c:v>3.1855259559191365</c:v>
                </c:pt>
                <c:pt idx="673">
                  <c:v>3.1519648376875256</c:v>
                </c:pt>
                <c:pt idx="674">
                  <c:v>3.1226508227563676</c:v>
                </c:pt>
                <c:pt idx="675">
                  <c:v>3.0975674737675676</c:v>
                </c:pt>
                <c:pt idx="676">
                  <c:v>3.0766988466104443</c:v>
                </c:pt>
                <c:pt idx="677">
                  <c:v>3.0600294592142223</c:v>
                </c:pt>
                <c:pt idx="678">
                  <c:v>3.0475442602831944</c:v>
                </c:pt>
                <c:pt idx="679">
                  <c:v>3.0392285980407205</c:v>
                </c:pt>
                <c:pt idx="680">
                  <c:v>3.035068189053185</c:v>
                </c:pt>
                <c:pt idx="681">
                  <c:v>3.035049087208908</c:v>
                </c:pt>
                <c:pt idx="682">
                  <c:v>3.0391576529297453</c:v>
                </c:pt>
                <c:pt idx="683">
                  <c:v>3.0473805226946213</c:v>
                </c:pt>
                <c:pt idx="684">
                  <c:v>3.059704578954523</c:v>
                </c:pt>
                <c:pt idx="685">
                  <c:v>3.0761169205173644</c:v>
                </c:pt>
                <c:pt idx="686">
                  <c:v>3.0966048334790308</c:v>
                </c:pt>
                <c:pt idx="687">
                  <c:v>3.1211557627733368</c:v>
                </c:pt>
                <c:pt idx="688">
                  <c:v>3.1497572844092954</c:v>
                </c:pt>
                <c:pt idx="689">
                  <c:v>3.1823970784586484</c:v>
                </c:pt>
                <c:pt idx="690">
                  <c:v>3.219062902850478</c:v>
                </c:pt>
                <c:pt idx="691">
                  <c:v>3.2597425680229941</c:v>
                </c:pt>
                <c:pt idx="692">
                  <c:v>3.3044239124753907</c:v>
                </c:pt>
                <c:pt idx="693">
                  <c:v>3.3530947792553207</c:v>
                </c:pt>
                <c:pt idx="694">
                  <c:v>3.405742993409981</c:v>
                </c:pt>
                <c:pt idx="695">
                  <c:v>3.4623563404214677</c:v>
                </c:pt>
                <c:pt idx="696">
                  <c:v>3.5229225456398305</c:v>
                </c:pt>
                <c:pt idx="697">
                  <c:v>3.5874292547204587</c:v>
                </c:pt>
                <c:pt idx="698">
                  <c:v>3.6558640150659758</c:v>
                </c:pt>
                <c:pt idx="699">
                  <c:v>3.7282142582669739</c:v>
                </c:pt>
                <c:pt idx="700">
                  <c:v>3.8044672835305731</c:v>
                </c:pt>
                <c:pt idx="701">
                  <c:v>3.8846102420811044</c:v>
                </c:pt>
                <c:pt idx="702">
                  <c:v>3.9686301225130451</c:v>
                </c:pt>
                <c:pt idx="703">
                  <c:v>4.0565137370728825</c:v>
                </c:pt>
                <c:pt idx="704">
                  <c:v>4.148247708843714</c:v>
                </c:pt>
                <c:pt idx="705">
                  <c:v>4.2438184598039816</c:v>
                </c:pt>
                <c:pt idx="706">
                  <c:v>4.3432121997299795</c:v>
                </c:pt>
                <c:pt idx="707">
                  <c:v>4.4464149159104904</c:v>
                </c:pt>
                <c:pt idx="708">
                  <c:v>4.5534123636410007</c:v>
                </c:pt>
                <c:pt idx="709">
                  <c:v>4.6641900574644524</c:v>
                </c:pt>
                <c:pt idx="710">
                  <c:v>4.7787332631254582</c:v>
                </c:pt>
                <c:pt idx="711">
                  <c:v>4.8970269902049575</c:v>
                </c:pt>
                <c:pt idx="712">
                  <c:v>5.0190559854028285</c:v>
                </c:pt>
                <c:pt idx="713">
                  <c:v>5.1448047264365435</c:v>
                </c:pt>
                <c:pt idx="714">
                  <c:v>5.2742574165248133</c:v>
                </c:pt>
                <c:pt idx="715">
                  <c:v>5.4073979794260927</c:v>
                </c:pt>
                <c:pt idx="716">
                  <c:v>5.5442100550028774</c:v>
                </c:pt>
                <c:pt idx="717">
                  <c:v>5.6846769952839145</c:v>
                </c:pt>
                <c:pt idx="718">
                  <c:v>5.8287818609975082</c:v>
                </c:pt>
                <c:pt idx="719">
                  <c:v>5.9765074185504865</c:v>
                </c:pt>
                <c:pt idx="720">
                  <c:v>6.1278361374284875</c:v>
                </c:pt>
                <c:pt idx="721">
                  <c:v>6.2827501879945533</c:v>
                </c:pt>
                <c:pt idx="722">
                  <c:v>6.4412314396641603</c:v>
                </c:pt>
                <c:pt idx="723">
                  <c:v>6.6032614594360703</c:v>
                </c:pt>
                <c:pt idx="724">
                  <c:v>6.768821510759496</c:v>
                </c:pt>
                <c:pt idx="725">
                  <c:v>6.9378925527192807</c:v>
                </c:pt>
                <c:pt idx="726">
                  <c:v>7.1104552395217357</c:v>
                </c:pt>
                <c:pt idx="727">
                  <c:v>7.2864899202649198</c:v>
                </c:pt>
                <c:pt idx="728">
                  <c:v>7.4659766389781774</c:v>
                </c:pt>
                <c:pt idx="729">
                  <c:v>7.6488951349164847</c:v>
                </c:pt>
                <c:pt idx="730">
                  <c:v>7.8352248430962739</c:v>
                </c:pt>
                <c:pt idx="731">
                  <c:v>8.0249448950601057</c:v>
                </c:pt>
                <c:pt idx="732">
                  <c:v>8.2180341198583662</c:v>
                </c:pt>
                <c:pt idx="733">
                  <c:v>8.414471045236958</c:v>
                </c:pt>
                <c:pt idx="734">
                  <c:v>8.6142338990205918</c:v>
                </c:pt>
                <c:pt idx="735">
                  <c:v>8.8173006106819649</c:v>
                </c:pt>
                <c:pt idx="736">
                  <c:v>9.0236488130877071</c:v>
                </c:pt>
                <c:pt idx="737">
                  <c:v>9.2332558444126018</c:v>
                </c:pt>
                <c:pt idx="738">
                  <c:v>9.4460987502139844</c:v>
                </c:pt>
                <c:pt idx="739">
                  <c:v>9.6621542856588807</c:v>
                </c:pt>
                <c:pt idx="740">
                  <c:v>9.8813989178967478</c:v>
                </c:pt>
                <c:pt idx="741">
                  <c:v>10.103808828571294</c:v>
                </c:pt>
                <c:pt idx="742">
                  <c:v>10.329359916464957</c:v>
                </c:pt>
                <c:pt idx="743">
                  <c:v>10.558027800270381</c:v>
                </c:pt>
                <c:pt idx="744">
                  <c:v>10.789787821483174</c:v>
                </c:pt>
                <c:pt idx="745">
                  <c:v>11.024615047410824</c:v>
                </c:pt>
                <c:pt idx="746">
                  <c:v>11.262484274292866</c:v>
                </c:pt>
                <c:pt idx="747">
                  <c:v>11.503370030527524</c:v>
                </c:pt>
                <c:pt idx="748">
                  <c:v>11.747246580000541</c:v>
                </c:pt>
                <c:pt idx="749">
                  <c:v>11.994087925511966</c:v>
                </c:pt>
                <c:pt idx="750">
                  <c:v>12.243867812296914</c:v>
                </c:pt>
                <c:pt idx="751">
                  <c:v>12.496559731636586</c:v>
                </c:pt>
                <c:pt idx="752">
                  <c:v>12.752136924555865</c:v>
                </c:pt>
                <c:pt idx="753">
                  <c:v>13.010572385604204</c:v>
                </c:pt>
                <c:pt idx="754">
                  <c:v>13.271838866716383</c:v>
                </c:pt>
                <c:pt idx="755">
                  <c:v>13.535908881150146</c:v>
                </c:pt>
                <c:pt idx="756">
                  <c:v>13.802754707497654</c:v>
                </c:pt>
                <c:pt idx="757">
                  <c:v>14.072348393767859</c:v>
                </c:pt>
                <c:pt idx="758">
                  <c:v>14.344661761537141</c:v>
                </c:pt>
                <c:pt idx="759">
                  <c:v>14.619666410165408</c:v>
                </c:pt>
                <c:pt idx="760">
                  <c:v>14.897333721075244</c:v>
                </c:pt>
                <c:pt idx="761">
                  <c:v>15.177634862091491</c:v>
                </c:pt>
                <c:pt idx="762">
                  <c:v>15.46054079183898</c:v>
                </c:pt>
                <c:pt idx="763">
                  <c:v>15.746022264196011</c:v>
                </c:pt>
                <c:pt idx="764">
                  <c:v>16.03404983280139</c:v>
                </c:pt>
                <c:pt idx="765">
                  <c:v>16.324593855612708</c:v>
                </c:pt>
                <c:pt idx="766">
                  <c:v>16.617624499513944</c:v>
                </c:pt>
                <c:pt idx="767">
                  <c:v>16.91311174497006</c:v>
                </c:pt>
                <c:pt idx="768">
                  <c:v>17.211025390726732</c:v>
                </c:pt>
                <c:pt idx="769">
                  <c:v>17.511335058553154</c:v>
                </c:pt>
                <c:pt idx="770">
                  <c:v>17.814010198025958</c:v>
                </c:pt>
                <c:pt idx="771">
                  <c:v>18.119020091352372</c:v>
                </c:pt>
                <c:pt idx="772">
                  <c:v>18.426333858230709</c:v>
                </c:pt>
                <c:pt idx="773">
                  <c:v>18.735920460746357</c:v>
                </c:pt>
                <c:pt idx="774">
                  <c:v>19.047748708301476</c:v>
                </c:pt>
                <c:pt idx="775">
                  <c:v>19.361787262576463</c:v>
                </c:pt>
                <c:pt idx="776">
                  <c:v>19.67800464252176</c:v>
                </c:pt>
                <c:pt idx="777">
                  <c:v>19.996369229377823</c:v>
                </c:pt>
                <c:pt idx="778">
                  <c:v>20.316849271721853</c:v>
                </c:pt>
                <c:pt idx="779">
                  <c:v>20.639412890539472</c:v>
                </c:pt>
                <c:pt idx="780">
                  <c:v>20.964028084319668</c:v>
                </c:pt>
                <c:pt idx="781">
                  <c:v>21.290662734171327</c:v>
                </c:pt>
                <c:pt idx="782">
                  <c:v>21.619284608959742</c:v>
                </c:pt>
                <c:pt idx="783">
                  <c:v>21.949861370461377</c:v>
                </c:pt>
                <c:pt idx="784">
                  <c:v>22.282360578535386</c:v>
                </c:pt>
                <c:pt idx="785">
                  <c:v>22.616749696310183</c:v>
                </c:pt>
                <c:pt idx="786">
                  <c:v>22.952996095383451</c:v>
                </c:pt>
                <c:pt idx="787">
                  <c:v>23.291067061034109</c:v>
                </c:pt>
                <c:pt idx="788">
                  <c:v>23.630929797444463</c:v>
                </c:pt>
                <c:pt idx="789">
                  <c:v>23.972551432931269</c:v>
                </c:pt>
                <c:pt idx="790">
                  <c:v>24.31589902518385</c:v>
                </c:pt>
                <c:pt idx="791">
                  <c:v>24.660939566507878</c:v>
                </c:pt>
                <c:pt idx="792">
                  <c:v>25.007639989073216</c:v>
                </c:pt>
                <c:pt idx="793">
                  <c:v>25.35596717016444</c:v>
                </c:pt>
                <c:pt idx="794">
                  <c:v>25.705887937432284</c:v>
                </c:pt>
                <c:pt idx="795">
                  <c:v>26.057369074144646</c:v>
                </c:pt>
                <c:pt idx="796">
                  <c:v>26.410377324435654</c:v>
                </c:pt>
                <c:pt idx="797">
                  <c:v>26.764879398551233</c:v>
                </c:pt>
                <c:pt idx="798">
                  <c:v>27.1208419780897</c:v>
                </c:pt>
                <c:pt idx="799">
                  <c:v>27.478231721236003</c:v>
                </c:pt>
                <c:pt idx="800">
                  <c:v>27.837015267987915</c:v>
                </c:pt>
                <c:pt idx="801">
                  <c:v>28.197159245373051</c:v>
                </c:pt>
                <c:pt idx="802">
                  <c:v>28.558630272654927</c:v>
                </c:pt>
                <c:pt idx="803">
                  <c:v>28.921394966526826</c:v>
                </c:pt>
                <c:pt idx="804">
                  <c:v>29.285419946291952</c:v>
                </c:pt>
                <c:pt idx="805">
                  <c:v>29.650671839028522</c:v>
                </c:pt>
                <c:pt idx="806">
                  <c:v>30.01711728473833</c:v>
                </c:pt>
                <c:pt idx="807">
                  <c:v>30.384722941477293</c:v>
                </c:pt>
                <c:pt idx="808">
                  <c:v>30.753455490466891</c:v>
                </c:pt>
                <c:pt idx="809">
                  <c:v>31.123281641184761</c:v>
                </c:pt>
                <c:pt idx="810">
                  <c:v>31.49416813643326</c:v>
                </c:pt>
                <c:pt idx="811">
                  <c:v>31.866081757384631</c:v>
                </c:pt>
                <c:pt idx="812">
                  <c:v>32.238989328601491</c:v>
                </c:pt>
                <c:pt idx="813">
                  <c:v>32.612857723031134</c:v>
                </c:pt>
                <c:pt idx="814">
                  <c:v>32.987653866972444</c:v>
                </c:pt>
                <c:pt idx="815">
                  <c:v>33.363344745014203</c:v>
                </c:pt>
                <c:pt idx="816">
                  <c:v>33.739897404943257</c:v>
                </c:pt>
                <c:pt idx="817">
                  <c:v>34.117278962621526</c:v>
                </c:pt>
                <c:pt idx="818">
                  <c:v>34.495456606830452</c:v>
                </c:pt>
                <c:pt idx="819">
                  <c:v>34.874397604081572</c:v>
                </c:pt>
                <c:pt idx="820">
                  <c:v>35.254069303392257</c:v>
                </c:pt>
                <c:pt idx="821">
                  <c:v>35.634439141025105</c:v>
                </c:pt>
                <c:pt idx="822">
                  <c:v>36.01547464518984</c:v>
                </c:pt>
                <c:pt idx="823">
                  <c:v>36.397143440706813</c:v>
                </c:pt>
                <c:pt idx="824">
                  <c:v>36.779413253630516</c:v>
                </c:pt>
                <c:pt idx="825">
                  <c:v>37.162251915832272</c:v>
                </c:pt>
                <c:pt idx="826">
                  <c:v>37.545627369540888</c:v>
                </c:pt>
                <c:pt idx="827">
                  <c:v>37.929507671840121</c:v>
                </c:pt>
                <c:pt idx="828">
                  <c:v>38.313860999121815</c:v>
                </c:pt>
                <c:pt idx="829">
                  <c:v>38.69865565149383</c:v>
                </c:pt>
                <c:pt idx="830">
                  <c:v>39.083860057141571</c:v>
                </c:pt>
                <c:pt idx="831">
                  <c:v>39.469442776641884</c:v>
                </c:pt>
                <c:pt idx="832">
                  <c:v>39.855372507228829</c:v>
                </c:pt>
                <c:pt idx="833">
                  <c:v>40.241618087009932</c:v>
                </c:pt>
                <c:pt idx="834">
                  <c:v>40.628148499131839</c:v>
                </c:pt>
                <c:pt idx="835">
                  <c:v>41.014932875894814</c:v>
                </c:pt>
                <c:pt idx="836">
                  <c:v>41.401940502815037</c:v>
                </c:pt>
                <c:pt idx="837">
                  <c:v>41.789140822633478</c:v>
                </c:pt>
                <c:pt idx="838">
                  <c:v>42.176503439270867</c:v>
                </c:pt>
                <c:pt idx="839">
                  <c:v>42.56399812172765</c:v>
                </c:pt>
                <c:pt idx="840">
                  <c:v>42.951594807928345</c:v>
                </c:pt>
                <c:pt idx="841">
                  <c:v>43.339263608508972</c:v>
                </c:pt>
                <c:pt idx="842">
                  <c:v>43.726974810547595</c:v>
                </c:pt>
                <c:pt idx="843">
                  <c:v>44.114698881236173</c:v>
                </c:pt>
                <c:pt idx="844">
                  <c:v>44.502406471494091</c:v>
                </c:pt>
                <c:pt idx="845">
                  <c:v>44.890068419521505</c:v>
                </c:pt>
                <c:pt idx="846">
                  <c:v>45.277655754293015</c:v>
                </c:pt>
                <c:pt idx="847">
                  <c:v>45.665139698989798</c:v>
                </c:pt>
                <c:pt idx="848">
                  <c:v>46.052491674370444</c:v>
                </c:pt>
                <c:pt idx="849">
                  <c:v>46.439683302079587</c:v>
                </c:pt>
                <c:pt idx="850">
                  <c:v>46.826686407893597</c:v>
                </c:pt>
                <c:pt idx="851">
                  <c:v>47.213473024902768</c:v>
                </c:pt>
                <c:pt idx="852">
                  <c:v>47.600015396629971</c:v>
                </c:pt>
                <c:pt idx="853">
                  <c:v>47.986285980084524</c:v>
                </c:pt>
                <c:pt idx="854">
                  <c:v>48.372257448751064</c:v>
                </c:pt>
                <c:pt idx="855">
                  <c:v>48.757902695513451</c:v>
                </c:pt>
                <c:pt idx="856">
                  <c:v>49.143194835512311</c:v>
                </c:pt>
                <c:pt idx="857">
                  <c:v>49.528107208936738</c:v>
                </c:pt>
                <c:pt idx="858">
                  <c:v>49.912613383749239</c:v>
                </c:pt>
                <c:pt idx="859">
                  <c:v>50.296687158343438</c:v>
                </c:pt>
                <c:pt idx="860">
                  <c:v>50.680302564134955</c:v>
                </c:pt>
                <c:pt idx="861">
                  <c:v>51.063433868084232</c:v>
                </c:pt>
                <c:pt idx="862">
                  <c:v>51.446055575151604</c:v>
                </c:pt>
                <c:pt idx="863">
                  <c:v>51.828142430684274</c:v>
                </c:pt>
                <c:pt idx="864">
                  <c:v>52.209669422734876</c:v>
                </c:pt>
                <c:pt idx="865">
                  <c:v>52.590611784311356</c:v>
                </c:pt>
                <c:pt idx="866">
                  <c:v>52.970944995558114</c:v>
                </c:pt>
                <c:pt idx="867">
                  <c:v>53.350644785868511</c:v>
                </c:pt>
                <c:pt idx="868">
                  <c:v>53.729687135927882</c:v>
                </c:pt>
                <c:pt idx="869">
                  <c:v>54.1080482796879</c:v>
                </c:pt>
                <c:pt idx="870">
                  <c:v>54.485704706271434</c:v>
                </c:pt>
                <c:pt idx="871">
                  <c:v>54.862633161808219</c:v>
                </c:pt>
                <c:pt idx="872">
                  <c:v>55.238810651201554</c:v>
                </c:pt>
                <c:pt idx="873">
                  <c:v>55.614214439825254</c:v>
                </c:pt>
                <c:pt idx="874">
                  <c:v>55.988822055151999</c:v>
                </c:pt>
                <c:pt idx="875">
                  <c:v>56.362611288311989</c:v>
                </c:pt>
                <c:pt idx="876">
                  <c:v>56.735560195582806</c:v>
                </c:pt>
                <c:pt idx="877">
                  <c:v>57.10764709981045</c:v>
                </c:pt>
                <c:pt idx="878">
                  <c:v>57.478850591761102</c:v>
                </c:pt>
                <c:pt idx="879">
                  <c:v>57.849149531404727</c:v>
                </c:pt>
                <c:pt idx="880">
                  <c:v>58.218523049129828</c:v>
                </c:pt>
                <c:pt idx="881">
                  <c:v>58.586950546890051</c:v>
                </c:pt>
                <c:pt idx="882">
                  <c:v>58.954411699282787</c:v>
                </c:pt>
                <c:pt idx="883">
                  <c:v>59.320886454559904</c:v>
                </c:pt>
                <c:pt idx="884">
                  <c:v>59.686355035570791</c:v>
                </c:pt>
                <c:pt idx="885">
                  <c:v>60.050797940638525</c:v>
                </c:pt>
                <c:pt idx="886">
                  <c:v>60.414195944368771</c:v>
                </c:pt>
                <c:pt idx="887">
                  <c:v>60.776530098392236</c:v>
                </c:pt>
                <c:pt idx="888">
                  <c:v>61.137781732041034</c:v>
                </c:pt>
                <c:pt idx="889">
                  <c:v>61.497932452959049</c:v>
                </c:pt>
                <c:pt idx="890">
                  <c:v>61.856964147646671</c:v>
                </c:pt>
                <c:pt idx="891">
                  <c:v>62.214858981941227</c:v>
                </c:pt>
                <c:pt idx="892">
                  <c:v>62.571599401431868</c:v>
                </c:pt>
                <c:pt idx="893">
                  <c:v>62.92716813181125</c:v>
                </c:pt>
                <c:pt idx="894">
                  <c:v>63.281548179162982</c:v>
                </c:pt>
                <c:pt idx="895">
                  <c:v>63.634722830186313</c:v>
                </c:pt>
                <c:pt idx="896">
                  <c:v>63.986675652358038</c:v>
                </c:pt>
                <c:pt idx="897">
                  <c:v>64.337390494032263</c:v>
                </c:pt>
                <c:pt idx="898">
                  <c:v>64.686851484479092</c:v>
                </c:pt>
                <c:pt idx="899">
                  <c:v>65.035043033861797</c:v>
                </c:pt>
                <c:pt idx="900">
                  <c:v>65.381949833154096</c:v>
                </c:pt>
                <c:pt idx="901">
                  <c:v>65.727556853997456</c:v>
                </c:pt>
                <c:pt idx="902">
                  <c:v>66.071849348499413</c:v>
                </c:pt>
                <c:pt idx="903">
                  <c:v>66.414812848973213</c:v>
                </c:pt>
                <c:pt idx="904">
                  <c:v>66.756433167619974</c:v>
                </c:pt>
                <c:pt idx="905">
                  <c:v>67.09669639615332</c:v>
                </c:pt>
                <c:pt idx="906">
                  <c:v>67.435588905367624</c:v>
                </c:pt>
                <c:pt idx="907">
                  <c:v>67.773097344650779</c:v>
                </c:pt>
                <c:pt idx="908">
                  <c:v>68.109208641441342</c:v>
                </c:pt>
                <c:pt idx="909">
                  <c:v>68.44391000063176</c:v>
                </c:pt>
                <c:pt idx="910">
                  <c:v>68.777188903917903</c:v>
                </c:pt>
                <c:pt idx="911">
                  <c:v>69.10903310909535</c:v>
                </c:pt>
                <c:pt idx="912">
                  <c:v>69.439430649304015</c:v>
                </c:pt>
                <c:pt idx="913">
                  <c:v>69.768369832221211</c:v>
                </c:pt>
                <c:pt idx="914">
                  <c:v>70.095839239203926</c:v>
                </c:pt>
                <c:pt idx="915">
                  <c:v>70.421827724381671</c:v>
                </c:pt>
                <c:pt idx="916">
                  <c:v>70.746324413699995</c:v>
                </c:pt>
                <c:pt idx="917">
                  <c:v>71.069318703915997</c:v>
                </c:pt>
                <c:pt idx="918">
                  <c:v>71.390800261546289</c:v>
                </c:pt>
                <c:pt idx="919">
                  <c:v>71.710759021768467</c:v>
                </c:pt>
                <c:pt idx="920">
                  <c:v>72.029185187276852</c:v>
                </c:pt>
                <c:pt idx="921">
                  <c:v>72.346069227093125</c:v>
                </c:pt>
                <c:pt idx="922">
                  <c:v>72.661401875333297</c:v>
                </c:pt>
                <c:pt idx="923">
                  <c:v>72.975174129930892</c:v>
                </c:pt>
                <c:pt idx="924">
                  <c:v>73.287377251318205</c:v>
                </c:pt>
                <c:pt idx="925">
                  <c:v>73.598002761065842</c:v>
                </c:pt>
                <c:pt idx="926">
                  <c:v>73.907042440481547</c:v>
                </c:pt>
                <c:pt idx="927">
                  <c:v>74.214488329169527</c:v>
                </c:pt>
                <c:pt idx="928">
                  <c:v>74.520332723550268</c:v>
                </c:pt>
                <c:pt idx="929">
                  <c:v>74.824568175342989</c:v>
                </c:pt>
                <c:pt idx="930">
                  <c:v>75.127187490010499</c:v>
                </c:pt>
                <c:pt idx="931">
                  <c:v>75.428183725167727</c:v>
                </c:pt>
                <c:pt idx="932">
                  <c:v>75.727550188955135</c:v>
                </c:pt>
                <c:pt idx="933">
                  <c:v>76.025280438377308</c:v>
                </c:pt>
                <c:pt idx="934">
                  <c:v>76.32136827760786</c:v>
                </c:pt>
                <c:pt idx="935">
                  <c:v>76.615807756262001</c:v>
                </c:pt>
                <c:pt idx="936">
                  <c:v>76.908593167636582</c:v>
                </c:pt>
                <c:pt idx="937">
                  <c:v>77.19971904691964</c:v>
                </c:pt>
                <c:pt idx="938">
                  <c:v>77.489180169369575</c:v>
                </c:pt>
                <c:pt idx="939">
                  <c:v>77.776971548465198</c:v>
                </c:pt>
                <c:pt idx="940">
                  <c:v>78.063088434027222</c:v>
                </c:pt>
                <c:pt idx="941">
                  <c:v>78.347526310312531</c:v>
                </c:pt>
                <c:pt idx="942">
                  <c:v>78.630280894081736</c:v>
                </c:pt>
                <c:pt idx="943">
                  <c:v>78.911348132640939</c:v>
                </c:pt>
                <c:pt idx="944">
                  <c:v>78.911626987101258</c:v>
                </c:pt>
                <c:pt idx="945">
                  <c:v>78.911905839883588</c:v>
                </c:pt>
                <c:pt idx="946">
                  <c:v>78.912184690987829</c:v>
                </c:pt>
                <c:pt idx="947">
                  <c:v>78.912463540413981</c:v>
                </c:pt>
                <c:pt idx="948">
                  <c:v>78.912742388162116</c:v>
                </c:pt>
                <c:pt idx="949">
                  <c:v>78.913021234232147</c:v>
                </c:pt>
                <c:pt idx="950">
                  <c:v>78.913300078624133</c:v>
                </c:pt>
                <c:pt idx="951">
                  <c:v>78.913578921338043</c:v>
                </c:pt>
                <c:pt idx="952">
                  <c:v>78.913857762373837</c:v>
                </c:pt>
                <c:pt idx="953">
                  <c:v>78.91413660173157</c:v>
                </c:pt>
                <c:pt idx="954">
                  <c:v>78.914415439411286</c:v>
                </c:pt>
                <c:pt idx="955">
                  <c:v>78.914694275412856</c:v>
                </c:pt>
                <c:pt idx="956">
                  <c:v>78.914973109736323</c:v>
                </c:pt>
                <c:pt idx="957">
                  <c:v>78.915251942381687</c:v>
                </c:pt>
                <c:pt idx="958">
                  <c:v>78.915530773348962</c:v>
                </c:pt>
                <c:pt idx="959">
                  <c:v>78.915809602638149</c:v>
                </c:pt>
                <c:pt idx="960">
                  <c:v>78.91608843024926</c:v>
                </c:pt>
                <c:pt idx="961">
                  <c:v>78.916367256182198</c:v>
                </c:pt>
                <c:pt idx="962">
                  <c:v>78.916646080437062</c:v>
                </c:pt>
                <c:pt idx="963">
                  <c:v>78.916924903013722</c:v>
                </c:pt>
                <c:pt idx="964">
                  <c:v>78.917203723912337</c:v>
                </c:pt>
                <c:pt idx="965">
                  <c:v>78.917482543132806</c:v>
                </c:pt>
                <c:pt idx="966">
                  <c:v>78.917761360675129</c:v>
                </c:pt>
                <c:pt idx="967">
                  <c:v>78.91804017653935</c:v>
                </c:pt>
                <c:pt idx="968">
                  <c:v>78.918318990725425</c:v>
                </c:pt>
                <c:pt idx="969">
                  <c:v>78.918597803233368</c:v>
                </c:pt>
                <c:pt idx="970">
                  <c:v>78.918876614063151</c:v>
                </c:pt>
                <c:pt idx="971">
                  <c:v>78.919155423214804</c:v>
                </c:pt>
                <c:pt idx="972">
                  <c:v>78.919434230688296</c:v>
                </c:pt>
                <c:pt idx="973">
                  <c:v>78.919713036483643</c:v>
                </c:pt>
                <c:pt idx="974">
                  <c:v>78.919991840600829</c:v>
                </c:pt>
                <c:pt idx="975">
                  <c:v>78.920270643039871</c:v>
                </c:pt>
                <c:pt idx="976">
                  <c:v>78.920549443800709</c:v>
                </c:pt>
                <c:pt idx="977">
                  <c:v>78.920828242883402</c:v>
                </c:pt>
                <c:pt idx="978">
                  <c:v>78.921107040287907</c:v>
                </c:pt>
                <c:pt idx="979">
                  <c:v>78.921385836014252</c:v>
                </c:pt>
                <c:pt idx="980">
                  <c:v>78.921664630062423</c:v>
                </c:pt>
                <c:pt idx="981">
                  <c:v>78.921943422432392</c:v>
                </c:pt>
                <c:pt idx="982">
                  <c:v>78.922222213124186</c:v>
                </c:pt>
                <c:pt idx="983">
                  <c:v>78.922501002137778</c:v>
                </c:pt>
                <c:pt idx="984">
                  <c:v>78.922779789473225</c:v>
                </c:pt>
                <c:pt idx="985">
                  <c:v>78.923058575130412</c:v>
                </c:pt>
                <c:pt idx="986">
                  <c:v>78.923337359109411</c:v>
                </c:pt>
                <c:pt idx="987">
                  <c:v>78.923616141410221</c:v>
                </c:pt>
                <c:pt idx="988">
                  <c:v>78.923894922032815</c:v>
                </c:pt>
                <c:pt idx="989">
                  <c:v>78.924173700977207</c:v>
                </c:pt>
                <c:pt idx="990">
                  <c:v>78.924452478243353</c:v>
                </c:pt>
                <c:pt idx="991">
                  <c:v>78.924731253831311</c:v>
                </c:pt>
                <c:pt idx="992">
                  <c:v>78.925010027741038</c:v>
                </c:pt>
                <c:pt idx="993">
                  <c:v>78.925288799972563</c:v>
                </c:pt>
                <c:pt idx="994">
                  <c:v>78.925567570525843</c:v>
                </c:pt>
                <c:pt idx="995">
                  <c:v>78.925846339400863</c:v>
                </c:pt>
                <c:pt idx="996">
                  <c:v>78.926125106597638</c:v>
                </c:pt>
                <c:pt idx="997">
                  <c:v>78.926403872116225</c:v>
                </c:pt>
                <c:pt idx="998">
                  <c:v>78.926682635956539</c:v>
                </c:pt>
                <c:pt idx="999">
                  <c:v>78.926961398118578</c:v>
                </c:pt>
                <c:pt idx="1000">
                  <c:v>78.927240158602416</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Calculs!$I$4:$I$1004</c:f>
              <c:numCache>
                <c:formatCode>0.00</c:formatCode>
                <c:ptCount val="1001"/>
                <c:pt idx="0">
                  <c:v>0</c:v>
                </c:pt>
                <c:pt idx="1">
                  <c:v>8.9925032220267556E-2</c:v>
                </c:pt>
                <c:pt idx="2">
                  <c:v>0.38565297780651564</c:v>
                </c:pt>
                <c:pt idx="3">
                  <c:v>0.76681002983118873</c:v>
                </c:pt>
                <c:pt idx="4">
                  <c:v>1.2334604467728383</c:v>
                </c:pt>
                <c:pt idx="5">
                  <c:v>1.7856790363253938</c:v>
                </c:pt>
                <c:pt idx="6">
                  <c:v>2.4235510800722255</c:v>
                </c:pt>
                <c:pt idx="7">
                  <c:v>3.1471722620958449</c:v>
                </c:pt>
                <c:pt idx="8">
                  <c:v>3.9566486014220845</c:v>
                </c:pt>
                <c:pt idx="9">
                  <c:v>4.8520963882021153</c:v>
                </c:pt>
                <c:pt idx="10">
                  <c:v>5.8336421235394695</c:v>
                </c:pt>
                <c:pt idx="11">
                  <c:v>6.8522558745252002</c:v>
                </c:pt>
                <c:pt idx="12">
                  <c:v>7.8588007556675956</c:v>
                </c:pt>
                <c:pt idx="13">
                  <c:v>8.8528774868422424</c:v>
                </c:pt>
                <c:pt idx="14">
                  <c:v>9.8340863708393531</c:v>
                </c:pt>
                <c:pt idx="15">
                  <c:v>10.802402129743387</c:v>
                </c:pt>
                <c:pt idx="16">
                  <c:v>11.757799892273585</c:v>
                </c:pt>
                <c:pt idx="17">
                  <c:v>12.700255193683327</c:v>
                </c:pt>
                <c:pt idx="18">
                  <c:v>13.629743975604345</c:v>
                </c:pt>
                <c:pt idx="19">
                  <c:v>14.546242585836007</c:v>
                </c:pt>
                <c:pt idx="20">
                  <c:v>15.449727778080048</c:v>
                </c:pt>
                <c:pt idx="21">
                  <c:v>16.340176711620977</c:v>
                </c:pt>
                <c:pt idx="22">
                  <c:v>17.217566950952531</c:v>
                </c:pt>
                <c:pt idx="23">
                  <c:v>18.081876465350454</c:v>
                </c:pt>
                <c:pt idx="24">
                  <c:v>18.933083628391987</c:v>
                </c:pt>
                <c:pt idx="25">
                  <c:v>19.771167217422374</c:v>
                </c:pt>
                <c:pt idx="26">
                  <c:v>20.596106412968791</c:v>
                </c:pt>
                <c:pt idx="27">
                  <c:v>21.414488667605937</c:v>
                </c:pt>
                <c:pt idx="28">
                  <c:v>22.232913069694479</c:v>
                </c:pt>
                <c:pt idx="29">
                  <c:v>23.051376226696004</c:v>
                </c:pt>
                <c:pt idx="30">
                  <c:v>23.869874741682356</c:v>
                </c:pt>
                <c:pt idx="31">
                  <c:v>24.688405213401751</c:v>
                </c:pt>
                <c:pt idx="32">
                  <c:v>25.506964236345102</c:v>
                </c:pt>
                <c:pt idx="33">
                  <c:v>26.325548400812618</c:v>
                </c:pt>
                <c:pt idx="34">
                  <c:v>27.144159480064143</c:v>
                </c:pt>
                <c:pt idx="35">
                  <c:v>27.962799457501838</c:v>
                </c:pt>
                <c:pt idx="36">
                  <c:v>28.781464675760713</c:v>
                </c:pt>
                <c:pt idx="37">
                  <c:v>29.600151485081611</c:v>
                </c:pt>
                <c:pt idx="38">
                  <c:v>30.418856242466589</c:v>
                </c:pt>
                <c:pt idx="39">
                  <c:v>31.237575310962374</c:v>
                </c:pt>
                <c:pt idx="40">
                  <c:v>32.056305059020509</c:v>
                </c:pt>
                <c:pt idx="41">
                  <c:v>32.875041859925034</c:v>
                </c:pt>
                <c:pt idx="42">
                  <c:v>33.693782091279793</c:v>
                </c:pt>
                <c:pt idx="43">
                  <c:v>34.512522134548568</c:v>
                </c:pt>
                <c:pt idx="44">
                  <c:v>35.331258374642083</c:v>
                </c:pt>
                <c:pt idx="45">
                  <c:v>36.149987199546921</c:v>
                </c:pt>
                <c:pt idx="46">
                  <c:v>36.968704999991722</c:v>
                </c:pt>
                <c:pt idx="47">
                  <c:v>37.787408169146943</c:v>
                </c:pt>
                <c:pt idx="48">
                  <c:v>38.606093102354627</c:v>
                </c:pt>
                <c:pt idx="49">
                  <c:v>39.424756196885369</c:v>
                </c:pt>
                <c:pt idx="50">
                  <c:v>40.243393851719574</c:v>
                </c:pt>
                <c:pt idx="51">
                  <c:v>41.062002467350965</c:v>
                </c:pt>
                <c:pt idx="52">
                  <c:v>41.880578445610084</c:v>
                </c:pt>
                <c:pt idx="53">
                  <c:v>42.699118189505981</c:v>
                </c:pt>
                <c:pt idx="54">
                  <c:v>43.517618103084523</c:v>
                </c:pt>
                <c:pt idx="55">
                  <c:v>44.336074591301774</c:v>
                </c:pt>
                <c:pt idx="56">
                  <c:v>45.154484059911226</c:v>
                </c:pt>
                <c:pt idx="57">
                  <c:v>45.972842915363614</c:v>
                </c:pt>
                <c:pt idx="58">
                  <c:v>46.791147564718329</c:v>
                </c:pt>
                <c:pt idx="59">
                  <c:v>47.609394415565518</c:v>
                </c:pt>
                <c:pt idx="60">
                  <c:v>48.427579875957846</c:v>
                </c:pt>
                <c:pt idx="61">
                  <c:v>49.245700354351428</c:v>
                </c:pt>
                <c:pt idx="62">
                  <c:v>50.063752259554903</c:v>
                </c:pt>
                <c:pt idx="63">
                  <c:v>50.881732000686263</c:v>
                </c:pt>
                <c:pt idx="64">
                  <c:v>51.69963598713683</c:v>
                </c:pt>
                <c:pt idx="65">
                  <c:v>52.517460628541663</c:v>
                </c:pt>
                <c:pt idx="66">
                  <c:v>53.335202334756225</c:v>
                </c:pt>
                <c:pt idx="67">
                  <c:v>54.152857515838576</c:v>
                </c:pt>
                <c:pt idx="68">
                  <c:v>54.970422582036917</c:v>
                </c:pt>
                <c:pt idx="69">
                  <c:v>55.78789394378196</c:v>
                </c:pt>
                <c:pt idx="70">
                  <c:v>56.605268011683918</c:v>
                </c:pt>
                <c:pt idx="71">
                  <c:v>57.422541196533714</c:v>
                </c:pt>
                <c:pt idx="72">
                  <c:v>58.23963428295118</c:v>
                </c:pt>
                <c:pt idx="73">
                  <c:v>59.056467938512689</c:v>
                </c:pt>
                <c:pt idx="74">
                  <c:v>59.873038411137237</c:v>
                </c:pt>
                <c:pt idx="75">
                  <c:v>60.689341950785561</c:v>
                </c:pt>
                <c:pt idx="76">
                  <c:v>61.505374809483556</c:v>
                </c:pt>
                <c:pt idx="77">
                  <c:v>62.321133241348477</c:v>
                </c:pt>
                <c:pt idx="78">
                  <c:v>63.136613502617813</c:v>
                </c:pt>
                <c:pt idx="79">
                  <c:v>63.951811851680652</c:v>
                </c:pt>
                <c:pt idx="80">
                  <c:v>64.76672454911143</c:v>
                </c:pt>
                <c:pt idx="81">
                  <c:v>65.581347857705765</c:v>
                </c:pt>
                <c:pt idx="82">
                  <c:v>66.395678042518526</c:v>
                </c:pt>
                <c:pt idx="83">
                  <c:v>67.209711370903662</c:v>
                </c:pt>
                <c:pt idx="84">
                  <c:v>68.023444112556035</c:v>
                </c:pt>
                <c:pt idx="85">
                  <c:v>68.83687253955469</c:v>
                </c:pt>
                <c:pt idx="86">
                  <c:v>69.649992926408146</c:v>
                </c:pt>
                <c:pt idx="87">
                  <c:v>70.462801550100778</c:v>
                </c:pt>
                <c:pt idx="88">
                  <c:v>71.275294690140882</c:v>
                </c:pt>
                <c:pt idx="89">
                  <c:v>72.087468628610125</c:v>
                </c:pt>
                <c:pt idx="90">
                  <c:v>72.899319650214025</c:v>
                </c:pt>
                <c:pt idx="91">
                  <c:v>73.710844042333804</c:v>
                </c:pt>
                <c:pt idx="92">
                  <c:v>74.522038095079381</c:v>
                </c:pt>
                <c:pt idx="93">
                  <c:v>75.332898101343318</c:v>
                </c:pt>
                <c:pt idx="94">
                  <c:v>76.143420356855856</c:v>
                </c:pt>
                <c:pt idx="95">
                  <c:v>76.953601160240851</c:v>
                </c:pt>
                <c:pt idx="96">
                  <c:v>77.763436813072602</c:v>
                </c:pt>
                <c:pt idx="97">
                  <c:v>78.572923619933533</c:v>
                </c:pt>
                <c:pt idx="98">
                  <c:v>79.382057888472701</c:v>
                </c:pt>
                <c:pt idx="99">
                  <c:v>80.190835929464967</c:v>
                </c:pt>
                <c:pt idx="100">
                  <c:v>80.999254056870896</c:v>
                </c:pt>
                <c:pt idx="101">
                  <c:v>81.807308587897396</c:v>
                </c:pt>
                <c:pt idx="102">
                  <c:v>82.614995843058935</c:v>
                </c:pt>
                <c:pt idx="103">
                  <c:v>83.422312146239221</c:v>
                </c:pt>
                <c:pt idx="104">
                  <c:v>84.22925382475367</c:v>
                </c:pt>
                <c:pt idx="105">
                  <c:v>85.035817209412215</c:v>
                </c:pt>
                <c:pt idx="106">
                  <c:v>85.841998634582652</c:v>
                </c:pt>
                <c:pt idx="107">
                  <c:v>86.647794438254508</c:v>
                </c:pt>
                <c:pt idx="108">
                  <c:v>87.453200962103196</c:v>
                </c:pt>
                <c:pt idx="109">
                  <c:v>88.258214551554758</c:v>
                </c:pt>
                <c:pt idx="110">
                  <c:v>89.062831555850821</c:v>
                </c:pt>
                <c:pt idx="111">
                  <c:v>89.867048328113995</c:v>
                </c:pt>
                <c:pt idx="112">
                  <c:v>90.670861225413574</c:v>
                </c:pt>
                <c:pt idx="113">
                  <c:v>91.474266608831556</c:v>
                </c:pt>
                <c:pt idx="114">
                  <c:v>92.277260843528992</c:v>
                </c:pt>
                <c:pt idx="115">
                  <c:v>93.079840298812414</c:v>
                </c:pt>
                <c:pt idx="116">
                  <c:v>93.882001348200774</c:v>
                </c:pt>
                <c:pt idx="117">
                  <c:v>94.683740369492455</c:v>
                </c:pt>
                <c:pt idx="118">
                  <c:v>95.48505374483247</c:v>
                </c:pt>
                <c:pt idx="119">
                  <c:v>96.285937860779896</c:v>
                </c:pt>
                <c:pt idx="120">
                  <c:v>97.086389108375556</c:v>
                </c:pt>
                <c:pt idx="121">
                  <c:v>97.886403883209709</c:v>
                </c:pt>
                <c:pt idx="122">
                  <c:v>98.685978585489991</c:v>
                </c:pt>
                <c:pt idx="123">
                  <c:v>99.485109620109412</c:v>
                </c:pt>
                <c:pt idx="124">
                  <c:v>100.2837933967146</c:v>
                </c:pt>
                <c:pt idx="125">
                  <c:v>101.08202632977391</c:v>
                </c:pt>
                <c:pt idx="126">
                  <c:v>101.8798048386459</c:v>
                </c:pt>
                <c:pt idx="127">
                  <c:v>102.67712534764762</c:v>
                </c:pt>
                <c:pt idx="128">
                  <c:v>103.47398428612314</c:v>
                </c:pt>
                <c:pt idx="129">
                  <c:v>104.27002866743167</c:v>
                </c:pt>
                <c:pt idx="130">
                  <c:v>105.06490505848092</c:v>
                </c:pt>
                <c:pt idx="131">
                  <c:v>105.85860932888411</c:v>
                </c:pt>
                <c:pt idx="132">
                  <c:v>106.65113736323524</c:v>
                </c:pt>
                <c:pt idx="133">
                  <c:v>107.4424850611834</c:v>
                </c:pt>
                <c:pt idx="134">
                  <c:v>108.2326483375071</c:v>
                </c:pt>
                <c:pt idx="135">
                  <c:v>109.02162312218751</c:v>
                </c:pt>
                <c:pt idx="136">
                  <c:v>109.80940536048178</c:v>
                </c:pt>
                <c:pt idx="137">
                  <c:v>110.5959910129955</c:v>
                </c:pt>
                <c:pt idx="138">
                  <c:v>111.38137605575484</c:v>
                </c:pt>
                <c:pt idx="139">
                  <c:v>112.16555648027801</c:v>
                </c:pt>
                <c:pt idx="140">
                  <c:v>112.9485282936464</c:v>
                </c:pt>
                <c:pt idx="141">
                  <c:v>113.7302875185749</c:v>
                </c:pt>
                <c:pt idx="142">
                  <c:v>114.51083019348195</c:v>
                </c:pt>
                <c:pt idx="143">
                  <c:v>115.29015237255892</c:v>
                </c:pt>
                <c:pt idx="144">
                  <c:v>116.0682501258388</c:v>
                </c:pt>
                <c:pt idx="145">
                  <c:v>116.84511953926459</c:v>
                </c:pt>
                <c:pt idx="146">
                  <c:v>117.62075671475679</c:v>
                </c:pt>
                <c:pt idx="147">
                  <c:v>118.39515777028066</c:v>
                </c:pt>
                <c:pt idx="148">
                  <c:v>119.16831883991247</c:v>
                </c:pt>
                <c:pt idx="149">
                  <c:v>119.94023607390555</c:v>
                </c:pt>
                <c:pt idx="150">
                  <c:v>120.71090563875546</c:v>
                </c:pt>
                <c:pt idx="151">
                  <c:v>121.48032371726462</c:v>
                </c:pt>
                <c:pt idx="152">
                  <c:v>122.24848650860639</c:v>
                </c:pt>
                <c:pt idx="153">
                  <c:v>123.0153902283884</c:v>
                </c:pt>
                <c:pt idx="154">
                  <c:v>123.7810311087153</c:v>
                </c:pt>
                <c:pt idx="155">
                  <c:v>124.54540539825095</c:v>
                </c:pt>
                <c:pt idx="156">
                  <c:v>125.30850936227982</c:v>
                </c:pt>
                <c:pt idx="157">
                  <c:v>126.0703392827678</c:v>
                </c:pt>
                <c:pt idx="158">
                  <c:v>126.83089145842247</c:v>
                </c:pt>
                <c:pt idx="159">
                  <c:v>127.5901622047524</c:v>
                </c:pt>
                <c:pt idx="160">
                  <c:v>128.34814785412621</c:v>
                </c:pt>
                <c:pt idx="161">
                  <c:v>129.10484475583053</c:v>
                </c:pt>
                <c:pt idx="162">
                  <c:v>129.86024927612763</c:v>
                </c:pt>
                <c:pt idx="163">
                  <c:v>130.6143577983122</c:v>
                </c:pt>
                <c:pt idx="164">
                  <c:v>131.36716672276745</c:v>
                </c:pt>
                <c:pt idx="165">
                  <c:v>132.11867246702045</c:v>
                </c:pt>
                <c:pt idx="166">
                  <c:v>132.8688714657971</c:v>
                </c:pt>
                <c:pt idx="167">
                  <c:v>133.61776017107601</c:v>
                </c:pt>
                <c:pt idx="168">
                  <c:v>134.36533505214192</c:v>
                </c:pt>
                <c:pt idx="169">
                  <c:v>135.11159259563817</c:v>
                </c:pt>
                <c:pt idx="170">
                  <c:v>135.85652930561906</c:v>
                </c:pt>
                <c:pt idx="171">
                  <c:v>136.6001417036006</c:v>
                </c:pt>
                <c:pt idx="172">
                  <c:v>137.34242632861137</c:v>
                </c:pt>
                <c:pt idx="173">
                  <c:v>138.08337973724213</c:v>
                </c:pt>
                <c:pt idx="174">
                  <c:v>138.82299850369503</c:v>
                </c:pt>
                <c:pt idx="175">
                  <c:v>139.56127921983199</c:v>
                </c:pt>
                <c:pt idx="176">
                  <c:v>140.29821849522219</c:v>
                </c:pt>
                <c:pt idx="177">
                  <c:v>141.03381295718916</c:v>
                </c:pt>
                <c:pt idx="178">
                  <c:v>141.76805925085685</c:v>
                </c:pt>
                <c:pt idx="179">
                  <c:v>142.50095403919522</c:v>
                </c:pt>
                <c:pt idx="180">
                  <c:v>143.23249400306486</c:v>
                </c:pt>
                <c:pt idx="181">
                  <c:v>143.96267584126102</c:v>
                </c:pt>
                <c:pt idx="182">
                  <c:v>144.69149627055688</c:v>
                </c:pt>
                <c:pt idx="183">
                  <c:v>145.41895202574608</c:v>
                </c:pt>
                <c:pt idx="184">
                  <c:v>146.14503985968446</c:v>
                </c:pt>
                <c:pt idx="185">
                  <c:v>146.86975654333119</c:v>
                </c:pt>
                <c:pt idx="186">
                  <c:v>147.5930988657889</c:v>
                </c:pt>
                <c:pt idx="187">
                  <c:v>148.31506363434346</c:v>
                </c:pt>
                <c:pt idx="188">
                  <c:v>149.03564767450263</c:v>
                </c:pt>
                <c:pt idx="189">
                  <c:v>149.75484783003407</c:v>
                </c:pt>
                <c:pt idx="190">
                  <c:v>150.47266096300288</c:v>
                </c:pt>
                <c:pt idx="191">
                  <c:v>151.18908395380791</c:v>
                </c:pt>
                <c:pt idx="192">
                  <c:v>151.90411370121777</c:v>
                </c:pt>
                <c:pt idx="193">
                  <c:v>152.61774712240572</c:v>
                </c:pt>
                <c:pt idx="194">
                  <c:v>153.32998115298417</c:v>
                </c:pt>
                <c:pt idx="195">
                  <c:v>154.04081274703799</c:v>
                </c:pt>
                <c:pt idx="196">
                  <c:v>154.75023887715761</c:v>
                </c:pt>
                <c:pt idx="197">
                  <c:v>155.45825653447085</c:v>
                </c:pt>
                <c:pt idx="198">
                  <c:v>156.16486272867425</c:v>
                </c:pt>
                <c:pt idx="199">
                  <c:v>156.87005448806369</c:v>
                </c:pt>
                <c:pt idx="200">
                  <c:v>157.57382885956406</c:v>
                </c:pt>
                <c:pt idx="201">
                  <c:v>158.27618290875836</c:v>
                </c:pt>
                <c:pt idx="202">
                  <c:v>158.97711371991602</c:v>
                </c:pt>
                <c:pt idx="203">
                  <c:v>159.67661839602033</c:v>
                </c:pt>
                <c:pt idx="204">
                  <c:v>160.37469405879523</c:v>
                </c:pt>
                <c:pt idx="205">
                  <c:v>161.07133784873128</c:v>
                </c:pt>
                <c:pt idx="206">
                  <c:v>161.76646146239659</c:v>
                </c:pt>
                <c:pt idx="207">
                  <c:v>162.45997654394276</c:v>
                </c:pt>
                <c:pt idx="208">
                  <c:v>163.15188022288928</c:v>
                </c:pt>
                <c:pt idx="209">
                  <c:v>163.84216965009938</c:v>
                </c:pt>
                <c:pt idx="210">
                  <c:v>164.5308419977967</c:v>
                </c:pt>
                <c:pt idx="211">
                  <c:v>165.21789445958072</c:v>
                </c:pt>
                <c:pt idx="212">
                  <c:v>165.9033242504417</c:v>
                </c:pt>
                <c:pt idx="213">
                  <c:v>166.58712860677448</c:v>
                </c:pt>
                <c:pt idx="214">
                  <c:v>167.26930478639159</c:v>
                </c:pt>
                <c:pt idx="215">
                  <c:v>167.94985006853534</c:v>
                </c:pt>
                <c:pt idx="216">
                  <c:v>168.62876175388919</c:v>
                </c:pt>
                <c:pt idx="217">
                  <c:v>169.30603716458813</c:v>
                </c:pt>
                <c:pt idx="218">
                  <c:v>169.98167364422827</c:v>
                </c:pt>
                <c:pt idx="219">
                  <c:v>170.65566855787554</c:v>
                </c:pt>
                <c:pt idx="220">
                  <c:v>171.32801929207366</c:v>
                </c:pt>
                <c:pt idx="221">
                  <c:v>171.99872325485089</c:v>
                </c:pt>
                <c:pt idx="222">
                  <c:v>172.66777787572653</c:v>
                </c:pt>
                <c:pt idx="223">
                  <c:v>173.33518060571592</c:v>
                </c:pt>
                <c:pt idx="224">
                  <c:v>174.00092891733493</c:v>
                </c:pt>
                <c:pt idx="225">
                  <c:v>174.66502030460381</c:v>
                </c:pt>
                <c:pt idx="226">
                  <c:v>175.32745228304952</c:v>
                </c:pt>
                <c:pt idx="227">
                  <c:v>175.98822238970808</c:v>
                </c:pt>
                <c:pt idx="228">
                  <c:v>176.64732818312527</c:v>
                </c:pt>
                <c:pt idx="229">
                  <c:v>177.30476724335713</c:v>
                </c:pt>
                <c:pt idx="230">
                  <c:v>177.96053717196915</c:v>
                </c:pt>
                <c:pt idx="231">
                  <c:v>178.61463559203503</c:v>
                </c:pt>
                <c:pt idx="232">
                  <c:v>179.26706014813428</c:v>
                </c:pt>
                <c:pt idx="233">
                  <c:v>179.91780850634913</c:v>
                </c:pt>
                <c:pt idx="234">
                  <c:v>180.56687835426064</c:v>
                </c:pt>
                <c:pt idx="235">
                  <c:v>181.21426740094395</c:v>
                </c:pt>
                <c:pt idx="236">
                  <c:v>181.85997337696276</c:v>
                </c:pt>
                <c:pt idx="237">
                  <c:v>182.5039940343629</c:v>
                </c:pt>
                <c:pt idx="238">
                  <c:v>183.14632714666513</c:v>
                </c:pt>
                <c:pt idx="239">
                  <c:v>183.78697050885719</c:v>
                </c:pt>
                <c:pt idx="240">
                  <c:v>184.425921937385</c:v>
                </c:pt>
                <c:pt idx="241">
                  <c:v>185.06317927014285</c:v>
                </c:pt>
                <c:pt idx="242">
                  <c:v>185.69844439583241</c:v>
                </c:pt>
                <c:pt idx="243">
                  <c:v>186.33141904359346</c:v>
                </c:pt>
                <c:pt idx="244">
                  <c:v>186.9621010024745</c:v>
                </c:pt>
                <c:pt idx="245">
                  <c:v>187.59048809175576</c:v>
                </c:pt>
                <c:pt idx="246">
                  <c:v>188.21657816090175</c:v>
                </c:pt>
                <c:pt idx="247">
                  <c:v>188.84036908951202</c:v>
                </c:pt>
                <c:pt idx="248">
                  <c:v>189.46185878727121</c:v>
                </c:pt>
                <c:pt idx="249">
                  <c:v>190.08104519389761</c:v>
                </c:pt>
                <c:pt idx="250">
                  <c:v>190.69792627909089</c:v>
                </c:pt>
                <c:pt idx="251">
                  <c:v>191.31250004247843</c:v>
                </c:pt>
                <c:pt idx="252">
                  <c:v>191.92476451356063</c:v>
                </c:pt>
                <c:pt idx="253">
                  <c:v>192.53471775165505</c:v>
                </c:pt>
                <c:pt idx="254">
                  <c:v>193.14235784583963</c:v>
                </c:pt>
                <c:pt idx="255">
                  <c:v>193.74768291489443</c:v>
                </c:pt>
                <c:pt idx="256">
                  <c:v>194.35069110724257</c:v>
                </c:pt>
                <c:pt idx="257">
                  <c:v>194.9513806008901</c:v>
                </c:pt>
                <c:pt idx="258">
                  <c:v>195.54974960336466</c:v>
                </c:pt>
                <c:pt idx="259">
                  <c:v>196.14579635165288</c:v>
                </c:pt>
                <c:pt idx="260">
                  <c:v>196.73951911213723</c:v>
                </c:pt>
                <c:pt idx="261">
                  <c:v>197.33091618053137</c:v>
                </c:pt>
                <c:pt idx="262">
                  <c:v>197.91998588181463</c:v>
                </c:pt>
                <c:pt idx="263">
                  <c:v>198.5067265701654</c:v>
                </c:pt>
                <c:pt idx="264">
                  <c:v>199.09113662889362</c:v>
                </c:pt>
                <c:pt idx="265">
                  <c:v>199.67321447037199</c:v>
                </c:pt>
                <c:pt idx="266">
                  <c:v>200.25295853596648</c:v>
                </c:pt>
                <c:pt idx="267">
                  <c:v>200.83036729596563</c:v>
                </c:pt>
                <c:pt idx="268">
                  <c:v>201.40543924950882</c:v>
                </c:pt>
                <c:pt idx="269">
                  <c:v>201.97817292451381</c:v>
                </c:pt>
                <c:pt idx="270">
                  <c:v>202.54856687760312</c:v>
                </c:pt>
                <c:pt idx="271">
                  <c:v>203.11661969402934</c:v>
                </c:pt>
                <c:pt idx="272">
                  <c:v>203.68232998759973</c:v>
                </c:pt>
                <c:pt idx="273">
                  <c:v>204.24569640059983</c:v>
                </c:pt>
                <c:pt idx="274">
                  <c:v>204.80671760371573</c:v>
                </c:pt>
                <c:pt idx="275">
                  <c:v>205.36539229595616</c:v>
                </c:pt>
                <c:pt idx="276">
                  <c:v>205.92171920457301</c:v>
                </c:pt>
                <c:pt idx="277">
                  <c:v>206.47569708498116</c:v>
                </c:pt>
                <c:pt idx="278">
                  <c:v>207.02732472067751</c:v>
                </c:pt>
                <c:pt idx="279">
                  <c:v>207.57660092315894</c:v>
                </c:pt>
                <c:pt idx="280">
                  <c:v>208.12352453183956</c:v>
                </c:pt>
                <c:pt idx="281">
                  <c:v>208.66809441396688</c:v>
                </c:pt>
                <c:pt idx="282">
                  <c:v>209.21030946453737</c:v>
                </c:pt>
                <c:pt idx="283">
                  <c:v>209.75016860621096</c:v>
                </c:pt>
                <c:pt idx="284">
                  <c:v>210.28801895892221</c:v>
                </c:pt>
                <c:pt idx="285">
                  <c:v>210.82420778013494</c:v>
                </c:pt>
                <c:pt idx="286">
                  <c:v>211.35873402781553</c:v>
                </c:pt>
                <c:pt idx="287">
                  <c:v>211.89159667799709</c:v>
                </c:pt>
                <c:pt idx="288">
                  <c:v>212.42279472473922</c:v>
                </c:pt>
                <c:pt idx="289">
                  <c:v>212.95232718008697</c:v>
                </c:pt>
                <c:pt idx="290">
                  <c:v>213.48019307402947</c:v>
                </c:pt>
                <c:pt idx="291">
                  <c:v>214.00639145445791</c:v>
                </c:pt>
                <c:pt idx="292">
                  <c:v>214.5309213871233</c:v>
                </c:pt>
                <c:pt idx="293">
                  <c:v>215.05378195559334</c:v>
                </c:pt>
                <c:pt idx="294">
                  <c:v>215.57497226120924</c:v>
                </c:pt>
                <c:pt idx="295">
                  <c:v>216.09449142304177</c:v>
                </c:pt>
                <c:pt idx="296">
                  <c:v>216.61233857784688</c:v>
                </c:pt>
                <c:pt idx="297">
                  <c:v>217.12851288002099</c:v>
                </c:pt>
                <c:pt idx="298">
                  <c:v>217.64301350155563</c:v>
                </c:pt>
                <c:pt idx="299">
                  <c:v>218.15583963199185</c:v>
                </c:pt>
                <c:pt idx="300">
                  <c:v>218.66699047837386</c:v>
                </c:pt>
                <c:pt idx="301">
                  <c:v>219.17646526520252</c:v>
                </c:pt>
                <c:pt idx="302">
                  <c:v>219.68426323438823</c:v>
                </c:pt>
                <c:pt idx="303">
                  <c:v>220.19038364520338</c:v>
                </c:pt>
                <c:pt idx="304">
                  <c:v>220.69482577423446</c:v>
                </c:pt>
                <c:pt idx="305">
                  <c:v>221.19758891533354</c:v>
                </c:pt>
                <c:pt idx="306">
                  <c:v>221.69867237956956</c:v>
                </c:pt>
                <c:pt idx="307">
                  <c:v>222.19807549517901</c:v>
                </c:pt>
                <c:pt idx="308">
                  <c:v>222.69579760751631</c:v>
                </c:pt>
                <c:pt idx="309">
                  <c:v>223.19183807900367</c:v>
                </c:pt>
                <c:pt idx="310">
                  <c:v>223.68619628908067</c:v>
                </c:pt>
                <c:pt idx="311">
                  <c:v>224.17887163415332</c:v>
                </c:pt>
                <c:pt idx="312">
                  <c:v>224.66986352754265</c:v>
                </c:pt>
                <c:pt idx="313">
                  <c:v>225.15917139943315</c:v>
                </c:pt>
                <c:pt idx="314">
                  <c:v>225.64679469682065</c:v>
                </c:pt>
                <c:pt idx="315">
                  <c:v>226.13273288345971</c:v>
                </c:pt>
                <c:pt idx="316">
                  <c:v>226.61698543981092</c:v>
                </c:pt>
                <c:pt idx="317">
                  <c:v>227.09955186298754</c:v>
                </c:pt>
                <c:pt idx="318">
                  <c:v>227.58043166670188</c:v>
                </c:pt>
                <c:pt idx="319">
                  <c:v>228.05962438121125</c:v>
                </c:pt>
                <c:pt idx="320">
                  <c:v>228.53712955326375</c:v>
                </c:pt>
                <c:pt idx="321">
                  <c:v>229.01294674604338</c:v>
                </c:pt>
                <c:pt idx="322">
                  <c:v>229.48707553911504</c:v>
                </c:pt>
                <c:pt idx="323">
                  <c:v>229.95951552836902</c:v>
                </c:pt>
                <c:pt idx="324">
                  <c:v>230.43026632596531</c:v>
                </c:pt>
                <c:pt idx="325">
                  <c:v>230.89932756027733</c:v>
                </c:pt>
                <c:pt idx="326">
                  <c:v>231.36672030198869</c:v>
                </c:pt>
                <c:pt idx="327">
                  <c:v>231.83246563990988</c:v>
                </c:pt>
                <c:pt idx="328">
                  <c:v>232.29656323933293</c:v>
                </c:pt>
                <c:pt idx="329">
                  <c:v>232.75901278106653</c:v>
                </c:pt>
                <c:pt idx="330">
                  <c:v>233.21981396138122</c:v>
                </c:pt>
                <c:pt idx="331">
                  <c:v>233.67896649195413</c:v>
                </c:pt>
                <c:pt idx="332">
                  <c:v>234.13647009981327</c:v>
                </c:pt>
                <c:pt idx="333">
                  <c:v>234.59232452728185</c:v>
                </c:pt>
                <c:pt idx="334">
                  <c:v>235.04652953192215</c:v>
                </c:pt>
                <c:pt idx="335">
                  <c:v>235.49908488647893</c:v>
                </c:pt>
                <c:pt idx="336">
                  <c:v>235.9499903788228</c:v>
                </c:pt>
                <c:pt idx="337">
                  <c:v>236.39924581189328</c:v>
                </c:pt>
                <c:pt idx="338">
                  <c:v>236.84685100364135</c:v>
                </c:pt>
                <c:pt idx="339">
                  <c:v>237.29280578697197</c:v>
                </c:pt>
                <c:pt idx="340">
                  <c:v>237.7371100096864</c:v>
                </c:pt>
                <c:pt idx="341">
                  <c:v>238.17976353442381</c:v>
                </c:pt>
                <c:pt idx="342">
                  <c:v>238.62076623860315</c:v>
                </c:pt>
                <c:pt idx="343">
                  <c:v>239.06011801436441</c:v>
                </c:pt>
                <c:pt idx="344">
                  <c:v>239.49781876850977</c:v>
                </c:pt>
                <c:pt idx="345">
                  <c:v>239.93386842244456</c:v>
                </c:pt>
                <c:pt idx="346">
                  <c:v>240.3682669121178</c:v>
                </c:pt>
                <c:pt idx="347">
                  <c:v>240.80101418796261</c:v>
                </c:pt>
                <c:pt idx="348">
                  <c:v>241.23211021483635</c:v>
                </c:pt>
                <c:pt idx="349">
                  <c:v>241.66155497196058</c:v>
                </c:pt>
                <c:pt idx="350">
                  <c:v>242.08934845286078</c:v>
                </c:pt>
                <c:pt idx="351">
                  <c:v>242.51549066530563</c:v>
                </c:pt>
                <c:pt idx="352">
                  <c:v>242.93998163124652</c:v>
                </c:pt>
                <c:pt idx="353">
                  <c:v>243.36282138675637</c:v>
                </c:pt>
                <c:pt idx="354">
                  <c:v>243.78400998196855</c:v>
                </c:pt>
                <c:pt idx="355">
                  <c:v>244.20354748101542</c:v>
                </c:pt>
                <c:pt idx="356">
                  <c:v>244.62143396196677</c:v>
                </c:pt>
                <c:pt idx="357">
                  <c:v>245.03766951676801</c:v>
                </c:pt>
                <c:pt idx="358">
                  <c:v>245.45225425117818</c:v>
                </c:pt>
                <c:pt idx="359">
                  <c:v>245.8651882847077</c:v>
                </c:pt>
                <c:pt idx="360">
                  <c:v>246.27647175055611</c:v>
                </c:pt>
                <c:pt idx="361">
                  <c:v>246.68610479554934</c:v>
                </c:pt>
                <c:pt idx="362">
                  <c:v>247.09408758007717</c:v>
                </c:pt>
                <c:pt idx="363">
                  <c:v>247.50042027803008</c:v>
                </c:pt>
                <c:pt idx="364">
                  <c:v>247.90510307673631</c:v>
                </c:pt>
                <c:pt idx="365">
                  <c:v>248.30813617689859</c:v>
                </c:pt>
                <c:pt idx="366">
                  <c:v>248.71006378805166</c:v>
                </c:pt>
                <c:pt idx="367">
                  <c:v>249.11143007879099</c:v>
                </c:pt>
                <c:pt idx="368">
                  <c:v>249.51223481418771</c:v>
                </c:pt>
                <c:pt idx="369">
                  <c:v>249.91247776373081</c:v>
                </c:pt>
                <c:pt idx="370">
                  <c:v>250.31215870131857</c:v>
                </c:pt>
                <c:pt idx="371">
                  <c:v>250.71127740525026</c:v>
                </c:pt>
                <c:pt idx="372">
                  <c:v>251.10983365821744</c:v>
                </c:pt>
                <c:pt idx="373">
                  <c:v>251.50782724729538</c:v>
                </c:pt>
                <c:pt idx="374">
                  <c:v>251.9052579639345</c:v>
                </c:pt>
                <c:pt idx="375">
                  <c:v>252.30212560395151</c:v>
                </c:pt>
                <c:pt idx="376">
                  <c:v>252.69842996752061</c:v>
                </c:pt>
                <c:pt idx="377">
                  <c:v>253.09417085916473</c:v>
                </c:pt>
                <c:pt idx="378">
                  <c:v>253.48934808774649</c:v>
                </c:pt>
                <c:pt idx="379">
                  <c:v>253.8839614664594</c:v>
                </c:pt>
                <c:pt idx="380">
                  <c:v>254.27801081281859</c:v>
                </c:pt>
                <c:pt idx="381">
                  <c:v>254.67090848750669</c:v>
                </c:pt>
                <c:pt idx="382">
                  <c:v>255.06206693673226</c:v>
                </c:pt>
                <c:pt idx="383">
                  <c:v>255.45148654951012</c:v>
                </c:pt>
                <c:pt idx="384">
                  <c:v>255.83916772844205</c:v>
                </c:pt>
                <c:pt idx="385">
                  <c:v>256.22511088964455</c:v>
                </c:pt>
                <c:pt idx="386">
                  <c:v>256.60931646267659</c:v>
                </c:pt>
                <c:pt idx="387">
                  <c:v>256.99178489046676</c:v>
                </c:pt>
                <c:pt idx="388">
                  <c:v>257.37251662924115</c:v>
                </c:pt>
                <c:pt idx="389">
                  <c:v>257.75151214845022</c:v>
                </c:pt>
                <c:pt idx="390">
                  <c:v>258.12877193069608</c:v>
                </c:pt>
                <c:pt idx="391">
                  <c:v>258.50429647165959</c:v>
                </c:pt>
                <c:pt idx="392">
                  <c:v>258.87808628002733</c:v>
                </c:pt>
                <c:pt idx="393">
                  <c:v>259.25014187741846</c:v>
                </c:pt>
                <c:pt idx="394">
                  <c:v>259.62046379831145</c:v>
                </c:pt>
                <c:pt idx="395">
                  <c:v>259.98905258997081</c:v>
                </c:pt>
                <c:pt idx="396">
                  <c:v>260.3559088123738</c:v>
                </c:pt>
                <c:pt idx="397">
                  <c:v>260.72103303813662</c:v>
                </c:pt>
                <c:pt idx="398">
                  <c:v>261.08442585244137</c:v>
                </c:pt>
                <c:pt idx="399">
                  <c:v>261.44608785296197</c:v>
                </c:pt>
                <c:pt idx="400">
                  <c:v>261.80601964979087</c:v>
                </c:pt>
                <c:pt idx="401">
                  <c:v>262.16376045334249</c:v>
                </c:pt>
                <c:pt idx="402">
                  <c:v>262.51884959658105</c:v>
                </c:pt>
                <c:pt idx="403">
                  <c:v>262.87128824758105</c:v>
                </c:pt>
                <c:pt idx="404">
                  <c:v>263.22107759605029</c:v>
                </c:pt>
                <c:pt idx="405">
                  <c:v>263.56821885317095</c:v>
                </c:pt>
                <c:pt idx="406">
                  <c:v>263.91271325144089</c:v>
                </c:pt>
                <c:pt idx="407">
                  <c:v>264.25456204451405</c:v>
                </c:pt>
                <c:pt idx="408">
                  <c:v>264.59376650704166</c:v>
                </c:pt>
                <c:pt idx="409">
                  <c:v>264.93032793451306</c:v>
                </c:pt>
                <c:pt idx="410">
                  <c:v>265.26424764309638</c:v>
                </c:pt>
                <c:pt idx="411">
                  <c:v>265.5929795467157</c:v>
                </c:pt>
                <c:pt idx="412">
                  <c:v>265.91397838829391</c:v>
                </c:pt>
                <c:pt idx="413">
                  <c:v>266.22724878065236</c:v>
                </c:pt>
                <c:pt idx="414">
                  <c:v>266.53279545168476</c:v>
                </c:pt>
                <c:pt idx="415">
                  <c:v>266.83062324315807</c:v>
                </c:pt>
                <c:pt idx="416">
                  <c:v>267.12073710951256</c:v>
                </c:pt>
                <c:pt idx="417">
                  <c:v>267.40314211666146</c:v>
                </c:pt>
                <c:pt idx="418">
                  <c:v>267.67784344078859</c:v>
                </c:pt>
                <c:pt idx="419">
                  <c:v>267.94484636714714</c:v>
                </c:pt>
                <c:pt idx="420">
                  <c:v>268.20270828997286</c:v>
                </c:pt>
                <c:pt idx="421">
                  <c:v>268.4499874097823</c:v>
                </c:pt>
                <c:pt idx="422">
                  <c:v>268.68669156472475</c:v>
                </c:pt>
                <c:pt idx="423">
                  <c:v>268.912828781435</c:v>
                </c:pt>
                <c:pt idx="424">
                  <c:v>269.12840727278802</c:v>
                </c:pt>
                <c:pt idx="425">
                  <c:v>269.33343543565286</c:v>
                </c:pt>
                <c:pt idx="426">
                  <c:v>269.52792184864455</c:v>
                </c:pt>
                <c:pt idx="427">
                  <c:v>269.71187526987609</c:v>
                </c:pt>
                <c:pt idx="428">
                  <c:v>269.88530463470892</c:v>
                </c:pt>
                <c:pt idx="429">
                  <c:v>270.04821905350428</c:v>
                </c:pt>
                <c:pt idx="430">
                  <c:v>270.20062780937388</c:v>
                </c:pt>
                <c:pt idx="431">
                  <c:v>270.34254035593153</c:v>
                </c:pt>
                <c:pt idx="432">
                  <c:v>270.47163520308106</c:v>
                </c:pt>
                <c:pt idx="433">
                  <c:v>270.58559279876977</c:v>
                </c:pt>
                <c:pt idx="434">
                  <c:v>270.68442770321377</c:v>
                </c:pt>
                <c:pt idx="435">
                  <c:v>270.76815481382511</c:v>
                </c:pt>
                <c:pt idx="436">
                  <c:v>270.83678936053974</c:v>
                </c:pt>
                <c:pt idx="437">
                  <c:v>270.89034690114323</c:v>
                </c:pt>
                <c:pt idx="438">
                  <c:v>270.92884331659513</c:v>
                </c:pt>
                <c:pt idx="439">
                  <c:v>270.95229480635277</c:v>
                </c:pt>
                <c:pt idx="440">
                  <c:v>270.96071788369483</c:v>
                </c:pt>
                <c:pt idx="441">
                  <c:v>270.95412937104692</c:v>
                </c:pt>
                <c:pt idx="442">
                  <c:v>270.9339612286883</c:v>
                </c:pt>
                <c:pt idx="443">
                  <c:v>270.90164420848294</c:v>
                </c:pt>
                <c:pt idx="444">
                  <c:v>270.85719258550603</c:v>
                </c:pt>
                <c:pt idx="445">
                  <c:v>270.80062081994242</c:v>
                </c:pt>
                <c:pt idx="446">
                  <c:v>270.73194355404496</c:v>
                </c:pt>
                <c:pt idx="447">
                  <c:v>270.65117560909903</c:v>
                </c:pt>
                <c:pt idx="448">
                  <c:v>270.55833198239463</c:v>
                </c:pt>
                <c:pt idx="449">
                  <c:v>270.45342784420603</c:v>
                </c:pt>
                <c:pt idx="450">
                  <c:v>270.33647853477925</c:v>
                </c:pt>
                <c:pt idx="451">
                  <c:v>270.2074995613275</c:v>
                </c:pt>
                <c:pt idx="452">
                  <c:v>270.06650659503612</c:v>
                </c:pt>
                <c:pt idx="453">
                  <c:v>269.9155403598383</c:v>
                </c:pt>
                <c:pt idx="454">
                  <c:v>269.75663908367932</c:v>
                </c:pt>
                <c:pt idx="455">
                  <c:v>269.58981328176344</c:v>
                </c:pt>
                <c:pt idx="456">
                  <c:v>269.41507352302949</c:v>
                </c:pt>
                <c:pt idx="457">
                  <c:v>269.23243042890959</c:v>
                </c:pt>
                <c:pt idx="458">
                  <c:v>269.04189467209437</c:v>
                </c:pt>
                <c:pt idx="459">
                  <c:v>268.84347697530342</c:v>
                </c:pt>
                <c:pt idx="460">
                  <c:v>268.63718811006316</c:v>
                </c:pt>
                <c:pt idx="461">
                  <c:v>268.42486065074286</c:v>
                </c:pt>
                <c:pt idx="462">
                  <c:v>268.20832464408738</c:v>
                </c:pt>
                <c:pt idx="463">
                  <c:v>267.98758569963888</c:v>
                </c:pt>
                <c:pt idx="464">
                  <c:v>267.7626494285031</c:v>
                </c:pt>
                <c:pt idx="465">
                  <c:v>267.53352144305177</c:v>
                </c:pt>
                <c:pt idx="466">
                  <c:v>267.29867711289074</c:v>
                </c:pt>
                <c:pt idx="467">
                  <c:v>267.0565940250732</c:v>
                </c:pt>
                <c:pt idx="468">
                  <c:v>266.7902417176814</c:v>
                </c:pt>
                <c:pt idx="469">
                  <c:v>266.50346905767259</c:v>
                </c:pt>
                <c:pt idx="470">
                  <c:v>266.21715964023048</c:v>
                </c:pt>
                <c:pt idx="471">
                  <c:v>265.93131208337354</c:v>
                </c:pt>
                <c:pt idx="472">
                  <c:v>265.64592501066352</c:v>
                </c:pt>
                <c:pt idx="473">
                  <c:v>265.36099705117715</c:v>
                </c:pt>
                <c:pt idx="474">
                  <c:v>265.07652683947896</c:v>
                </c:pt>
                <c:pt idx="475">
                  <c:v>264.79251301559304</c:v>
                </c:pt>
                <c:pt idx="476">
                  <c:v>264.50895422497598</c:v>
                </c:pt>
                <c:pt idx="477">
                  <c:v>264.22584911848946</c:v>
                </c:pt>
                <c:pt idx="478">
                  <c:v>263.94319635237309</c:v>
                </c:pt>
                <c:pt idx="479">
                  <c:v>263.66099458821765</c:v>
                </c:pt>
                <c:pt idx="480">
                  <c:v>263.37924249293809</c:v>
                </c:pt>
                <c:pt idx="481">
                  <c:v>263.09793873874696</c:v>
                </c:pt>
                <c:pt idx="482">
                  <c:v>262.81708200312806</c:v>
                </c:pt>
                <c:pt idx="483">
                  <c:v>262.53667096881003</c:v>
                </c:pt>
                <c:pt idx="484">
                  <c:v>262.25670432374011</c:v>
                </c:pt>
                <c:pt idx="485">
                  <c:v>261.97718076105861</c:v>
                </c:pt>
                <c:pt idx="486">
                  <c:v>261.69809897907237</c:v>
                </c:pt>
                <c:pt idx="487">
                  <c:v>261.41945768122963</c:v>
                </c:pt>
                <c:pt idx="488">
                  <c:v>261.14125557609441</c:v>
                </c:pt>
                <c:pt idx="489">
                  <c:v>260.86349137732094</c:v>
                </c:pt>
                <c:pt idx="490">
                  <c:v>260.58616380362861</c:v>
                </c:pt>
                <c:pt idx="491">
                  <c:v>260.30927157877693</c:v>
                </c:pt>
                <c:pt idx="492">
                  <c:v>260.03281343154043</c:v>
                </c:pt>
                <c:pt idx="493">
                  <c:v>259.75678809568427</c:v>
                </c:pt>
                <c:pt idx="494">
                  <c:v>259.4811943099391</c:v>
                </c:pt>
                <c:pt idx="495">
                  <c:v>259.20603081797702</c:v>
                </c:pt>
                <c:pt idx="496">
                  <c:v>258.931296368387</c:v>
                </c:pt>
                <c:pt idx="497">
                  <c:v>258.65698971465099</c:v>
                </c:pt>
                <c:pt idx="498">
                  <c:v>258.38310961511945</c:v>
                </c:pt>
                <c:pt idx="499">
                  <c:v>258.10965483298799</c:v>
                </c:pt>
                <c:pt idx="500">
                  <c:v>257.83662413627292</c:v>
                </c:pt>
                <c:pt idx="501">
                  <c:v>255.11064684818604</c:v>
                </c:pt>
                <c:pt idx="502">
                  <c:v>252.42654771856596</c:v>
                </c:pt>
                <c:pt idx="503">
                  <c:v>249.78313322403997</c:v>
                </c:pt>
                <c:pt idx="504">
                  <c:v>247.1792552544521</c:v>
                </c:pt>
                <c:pt idx="505">
                  <c:v>244.61380895945888</c:v>
                </c:pt>
                <c:pt idx="506">
                  <c:v>242.08573071778656</c:v>
                </c:pt>
                <c:pt idx="507">
                  <c:v>239.59399622105366</c:v>
                </c:pt>
                <c:pt idx="508">
                  <c:v>237.13761866467058</c:v>
                </c:pt>
                <c:pt idx="509">
                  <c:v>234.71564703888427</c:v>
                </c:pt>
                <c:pt idx="510">
                  <c:v>232.32716451354835</c:v>
                </c:pt>
                <c:pt idx="511">
                  <c:v>229.97128691066646</c:v>
                </c:pt>
                <c:pt idx="512">
                  <c:v>227.64716125918781</c:v>
                </c:pt>
                <c:pt idx="513">
                  <c:v>225.35396442692993</c:v>
                </c:pt>
                <c:pt idx="514">
                  <c:v>223.09090182486671</c:v>
                </c:pt>
                <c:pt idx="515">
                  <c:v>220.85720617935658</c:v>
                </c:pt>
                <c:pt idx="516">
                  <c:v>218.6521363681928</c:v>
                </c:pt>
                <c:pt idx="517">
                  <c:v>216.47497631664407</c:v>
                </c:pt>
                <c:pt idx="518">
                  <c:v>214.32503394991562</c:v>
                </c:pt>
                <c:pt idx="519">
                  <c:v>212.20164019870413</c:v>
                </c:pt>
                <c:pt idx="520">
                  <c:v>210.104148054744</c:v>
                </c:pt>
                <c:pt idx="521">
                  <c:v>208.03193167344941</c:v>
                </c:pt>
                <c:pt idx="522">
                  <c:v>205.98438552094964</c:v>
                </c:pt>
                <c:pt idx="523">
                  <c:v>203.96092356299221</c:v>
                </c:pt>
                <c:pt idx="524">
                  <c:v>201.96097849335283</c:v>
                </c:pt>
                <c:pt idx="525">
                  <c:v>199.98400099954495</c:v>
                </c:pt>
                <c:pt idx="526">
                  <c:v>198.02945906376314</c:v>
                </c:pt>
                <c:pt idx="527">
                  <c:v>196.09683729712492</c:v>
                </c:pt>
                <c:pt idx="528">
                  <c:v>194.18563630540095</c:v>
                </c:pt>
                <c:pt idx="529">
                  <c:v>192.29537208453362</c:v>
                </c:pt>
                <c:pt idx="530">
                  <c:v>190.42557544435326</c:v>
                </c:pt>
                <c:pt idx="531">
                  <c:v>188.57579145899723</c:v>
                </c:pt>
                <c:pt idx="532">
                  <c:v>186.74557894263097</c:v>
                </c:pt>
                <c:pt idx="533">
                  <c:v>184.93450994915361</c:v>
                </c:pt>
                <c:pt idx="534">
                  <c:v>183.14216929465277</c:v>
                </c:pt>
                <c:pt idx="535">
                  <c:v>181.36815410144573</c:v>
                </c:pt>
                <c:pt idx="536">
                  <c:v>179.61207336261523</c:v>
                </c:pt>
                <c:pt idx="537">
                  <c:v>177.87354752601215</c:v>
                </c:pt>
                <c:pt idx="538">
                  <c:v>176.15220809675844</c:v>
                </c:pt>
                <c:pt idx="539">
                  <c:v>174.44769725734136</c:v>
                </c:pt>
                <c:pt idx="540">
                  <c:v>172.75966750444161</c:v>
                </c:pt>
                <c:pt idx="541">
                  <c:v>171.08778130168952</c:v>
                </c:pt>
                <c:pt idx="542">
                  <c:v>169.43171074758956</c:v>
                </c:pt>
                <c:pt idx="543">
                  <c:v>167.79113725789705</c:v>
                </c:pt>
                <c:pt idx="544">
                  <c:v>166.1657512617723</c:v>
                </c:pt>
                <c:pt idx="545">
                  <c:v>164.55525191107668</c:v>
                </c:pt>
                <c:pt idx="546">
                  <c:v>162.95934680221072</c:v>
                </c:pt>
                <c:pt idx="547">
                  <c:v>161.37775170992839</c:v>
                </c:pt>
                <c:pt idx="548">
                  <c:v>159.81019033259508</c:v>
                </c:pt>
                <c:pt idx="549">
                  <c:v>158.2563940483858</c:v>
                </c:pt>
                <c:pt idx="550">
                  <c:v>156.71610168194923</c:v>
                </c:pt>
                <c:pt idx="551">
                  <c:v>155.18905928109075</c:v>
                </c:pt>
                <c:pt idx="552">
                  <c:v>153.67501990305169</c:v>
                </c:pt>
                <c:pt idx="553">
                  <c:v>152.17374340998768</c:v>
                </c:pt>
                <c:pt idx="554">
                  <c:v>150.68499627327046</c:v>
                </c:pt>
                <c:pt idx="555">
                  <c:v>149.20855138625996</c:v>
                </c:pt>
                <c:pt idx="556">
                  <c:v>147.74418788521299</c:v>
                </c:pt>
                <c:pt idx="557">
                  <c:v>146.29169097801531</c:v>
                </c:pt>
                <c:pt idx="558">
                  <c:v>144.85085178044125</c:v>
                </c:pt>
                <c:pt idx="559">
                  <c:v>143.42146715966308</c:v>
                </c:pt>
                <c:pt idx="560">
                  <c:v>142.00333958474914</c:v>
                </c:pt>
                <c:pt idx="561">
                  <c:v>140.596276983905</c:v>
                </c:pt>
                <c:pt idx="562">
                  <c:v>139.20009260822769</c:v>
                </c:pt>
                <c:pt idx="563">
                  <c:v>137.81460490175706</c:v>
                </c:pt>
                <c:pt idx="564">
                  <c:v>136.43963737762289</c:v>
                </c:pt>
                <c:pt idx="565">
                  <c:v>135.07501850009857</c:v>
                </c:pt>
                <c:pt idx="566">
                  <c:v>133.72058157238632</c:v>
                </c:pt>
                <c:pt idx="567">
                  <c:v>132.37616462997008</c:v>
                </c:pt>
                <c:pt idx="568">
                  <c:v>131.04161033938462</c:v>
                </c:pt>
                <c:pt idx="569">
                  <c:v>129.7167659022611</c:v>
                </c:pt>
                <c:pt idx="570">
                  <c:v>128.40148296451989</c:v>
                </c:pt>
                <c:pt idx="571">
                  <c:v>127.09561753059246</c:v>
                </c:pt>
                <c:pt idx="572">
                  <c:v>125.79902988256524</c:v>
                </c:pt>
                <c:pt idx="573">
                  <c:v>124.51158450414744</c:v>
                </c:pt>
                <c:pt idx="574">
                  <c:v>123.233150009376</c:v>
                </c:pt>
                <c:pt idx="575">
                  <c:v>121.96359907597993</c:v>
                </c:pt>
                <c:pt idx="576">
                  <c:v>120.70280838333626</c:v>
                </c:pt>
                <c:pt idx="577">
                  <c:v>119.45065855495936</c:v>
                </c:pt>
                <c:pt idx="578">
                  <c:v>118.20703410547469</c:v>
                </c:pt>
                <c:pt idx="579">
                  <c:v>116.97182339203731</c:v>
                </c:pt>
                <c:pt idx="580">
                  <c:v>115.74491857016515</c:v>
                </c:pt>
                <c:pt idx="581">
                  <c:v>114.52621555396567</c:v>
                </c:pt>
                <c:pt idx="582">
                  <c:v>113.31561398074435</c:v>
                </c:pt>
                <c:pt idx="583">
                  <c:v>112.11301717999221</c:v>
                </c:pt>
                <c:pt idx="584">
                  <c:v>110.91833214675935</c:v>
                </c:pt>
                <c:pt idx="585">
                  <c:v>109.73146951943023</c:v>
                </c:pt>
                <c:pt idx="586">
                  <c:v>108.55234356192649</c:v>
                </c:pt>
                <c:pt idx="587">
                  <c:v>107.38087215037191</c:v>
                </c:pt>
                <c:pt idx="588">
                  <c:v>106.21697676426461</c:v>
                </c:pt>
                <c:pt idx="589">
                  <c:v>105.06058248221051</c:v>
                </c:pt>
                <c:pt idx="590">
                  <c:v>103.91161798228246</c:v>
                </c:pt>
                <c:pt idx="591">
                  <c:v>102.77001554707977</c:v>
                </c:pt>
                <c:pt idx="592">
                  <c:v>101.6357110735722</c:v>
                </c:pt>
                <c:pt idx="593">
                  <c:v>100.50864408782452</c:v>
                </c:pt>
                <c:pt idx="594">
                  <c:v>99.38875776470654</c:v>
                </c:pt>
                <c:pt idx="595">
                  <c:v>98.275998952705962</c:v>
                </c:pt>
                <c:pt idx="596">
                  <c:v>97.17031820397176</c:v>
                </c:pt>
                <c:pt idx="597">
                  <c:v>96.071669809726984</c:v>
                </c:pt>
                <c:pt idx="598">
                  <c:v>94.980011841201772</c:v>
                </c:pt>
                <c:pt idx="599">
                  <c:v>93.89530619624874</c:v>
                </c:pt>
                <c:pt idx="600">
                  <c:v>92.817518651814936</c:v>
                </c:pt>
                <c:pt idx="601">
                  <c:v>91.74661892245615</c:v>
                </c:pt>
                <c:pt idx="602">
                  <c:v>90.682580725091995</c:v>
                </c:pt>
                <c:pt idx="603">
                  <c:v>89.625381850211724</c:v>
                </c:pt>
                <c:pt idx="604">
                  <c:v>88.575004239753014</c:v>
                </c:pt>
                <c:pt idx="605">
                  <c:v>87.531434071888242</c:v>
                </c:pt>
                <c:pt idx="606">
                  <c:v>86.494661852963972</c:v>
                </c:pt>
                <c:pt idx="607">
                  <c:v>85.464682516851425</c:v>
                </c:pt>
                <c:pt idx="608">
                  <c:v>84.4414955319764</c:v>
                </c:pt>
                <c:pt idx="609">
                  <c:v>83.425105016307697</c:v>
                </c:pt>
                <c:pt idx="610">
                  <c:v>82.415519860592852</c:v>
                </c:pt>
                <c:pt idx="611">
                  <c:v>81.412753860138281</c:v>
                </c:pt>
                <c:pt idx="612">
                  <c:v>80.416825855438731</c:v>
                </c:pt>
                <c:pt idx="613">
                  <c:v>79.427759881966097</c:v>
                </c:pt>
                <c:pt idx="614">
                  <c:v>78.445585329432035</c:v>
                </c:pt>
                <c:pt idx="615">
                  <c:v>77.470337110839708</c:v>
                </c:pt>
                <c:pt idx="616">
                  <c:v>76.502055841638494</c:v>
                </c:pt>
                <c:pt idx="617">
                  <c:v>75.540788029290852</c:v>
                </c:pt>
                <c:pt idx="618">
                  <c:v>74.586586273551248</c:v>
                </c:pt>
                <c:pt idx="619">
                  <c:v>73.639509477742862</c:v>
                </c:pt>
                <c:pt idx="620">
                  <c:v>72.699623071299001</c:v>
                </c:pt>
                <c:pt idx="621">
                  <c:v>71.766999243809067</c:v>
                </c:pt>
                <c:pt idx="622">
                  <c:v>70.841717190775611</c:v>
                </c:pt>
                <c:pt idx="623">
                  <c:v>69.923863371245872</c:v>
                </c:pt>
                <c:pt idx="624">
                  <c:v>69.013531777427929</c:v>
                </c:pt>
                <c:pt idx="625">
                  <c:v>68.110824216336752</c:v>
                </c:pt>
                <c:pt idx="626">
                  <c:v>67.215850603436323</c:v>
                </c:pt>
                <c:pt idx="627">
                  <c:v>66.328729268150141</c:v>
                </c:pt>
                <c:pt idx="628">
                  <c:v>65.449587271000269</c:v>
                </c:pt>
                <c:pt idx="629">
                  <c:v>64.57856073200324</c:v>
                </c:pt>
                <c:pt idx="630">
                  <c:v>63.715795169796763</c:v>
                </c:pt>
                <c:pt idx="631">
                  <c:v>62.861445850791448</c:v>
                </c:pt>
                <c:pt idx="632">
                  <c:v>62.015678147433839</c:v>
                </c:pt>
                <c:pt idx="633">
                  <c:v>61.178667904427826</c:v>
                </c:pt>
                <c:pt idx="634">
                  <c:v>60.350601811487614</c:v>
                </c:pt>
                <c:pt idx="635">
                  <c:v>59.531677780883491</c:v>
                </c:pt>
                <c:pt idx="636">
                  <c:v>58.722105327688332</c:v>
                </c:pt>
                <c:pt idx="637">
                  <c:v>57.922105950234851</c:v>
                </c:pt>
                <c:pt idx="638">
                  <c:v>57.131913507847102</c:v>
                </c:pt>
                <c:pt idx="639">
                  <c:v>56.351774592413221</c:v>
                </c:pt>
                <c:pt idx="640">
                  <c:v>55.581948889815997</c:v>
                </c:pt>
                <c:pt idx="641">
                  <c:v>54.822709526632615</c:v>
                </c:pt>
                <c:pt idx="642">
                  <c:v>54.074343396854879</c:v>
                </c:pt>
                <c:pt idx="643">
                  <c:v>53.337151462665382</c:v>
                </c:pt>
                <c:pt idx="644">
                  <c:v>52.611449022538203</c:v>
                </c:pt>
                <c:pt idx="645">
                  <c:v>51.89756593911757</c:v>
                </c:pt>
                <c:pt idx="646">
                  <c:v>51.195846818473463</c:v>
                </c:pt>
                <c:pt idx="647">
                  <c:v>50.50665113144904</c:v>
                </c:pt>
                <c:pt idx="648">
                  <c:v>49.830353266917108</c:v>
                </c:pt>
                <c:pt idx="649">
                  <c:v>49.1673425058693</c:v>
                </c:pt>
                <c:pt idx="650">
                  <c:v>48.518022904398563</c:v>
                </c:pt>
                <c:pt idx="651">
                  <c:v>47.882813072831631</c:v>
                </c:pt>
                <c:pt idx="652">
                  <c:v>47.26214583756137</c:v>
                </c:pt>
                <c:pt idx="653">
                  <c:v>46.656467771561381</c:v>
                </c:pt>
                <c:pt idx="654">
                  <c:v>46.066238579187704</c:v>
                </c:pt>
                <c:pt idx="655">
                  <c:v>45.491930320740309</c:v>
                </c:pt>
                <c:pt idx="656">
                  <c:v>44.934026462432996</c:v>
                </c:pt>
                <c:pt idx="657">
                  <c:v>44.393020737969472</c:v>
                </c:pt>
                <c:pt idx="658">
                  <c:v>43.86941580891439</c:v>
                </c:pt>
                <c:pt idx="659">
                  <c:v>43.363721712549193</c:v>
                </c:pt>
                <c:pt idx="660">
                  <c:v>42.876454087975517</c:v>
                </c:pt>
                <c:pt idx="661">
                  <c:v>42.408132173929765</c:v>
                </c:pt>
                <c:pt idx="662">
                  <c:v>41.959276575140159</c:v>
                </c:pt>
                <c:pt idx="663">
                  <c:v>41.530406798112367</c:v>
                </c:pt>
                <c:pt idx="664">
                  <c:v>41.122038561964608</c:v>
                </c:pt>
                <c:pt idx="665">
                  <c:v>40.734680895307868</c:v>
                </c:pt>
                <c:pt idx="666">
                  <c:v>40.368833036102302</c:v>
                </c:pt>
                <c:pt idx="667">
                  <c:v>40.02498115779477</c:v>
                </c:pt>
                <c:pt idx="668">
                  <c:v>39.703594951685538</c:v>
                </c:pt>
                <c:pt idx="669">
                  <c:v>39.405124102171285</c:v>
                </c:pt>
                <c:pt idx="670">
                  <c:v>39.129994698008836</c:v>
                </c:pt>
                <c:pt idx="671">
                  <c:v>38.878605628750705</c:v>
                </c:pt>
                <c:pt idx="672">
                  <c:v>38.651325020705805</c:v>
                </c:pt>
                <c:pt idx="673">
                  <c:v>38.448486770859162</c:v>
                </c:pt>
                <c:pt idx="674">
                  <c:v>38.270387239838698</c:v>
                </c:pt>
                <c:pt idx="675">
                  <c:v>38.117282165976768</c:v>
                </c:pt>
                <c:pt idx="676">
                  <c:v>37.989383861569955</c:v>
                </c:pt>
                <c:pt idx="677">
                  <c:v>37.886858749462263</c:v>
                </c:pt>
                <c:pt idx="678">
                  <c:v>37.809825293032404</c:v>
                </c:pt>
                <c:pt idx="679">
                  <c:v>37.758352365630969</c:v>
                </c:pt>
                <c:pt idx="680">
                  <c:v>37.732458096677568</c:v>
                </c:pt>
                <c:pt idx="681">
                  <c:v>37.732109221287551</c:v>
                </c:pt>
                <c:pt idx="682">
                  <c:v>37.757220948843759</c:v>
                </c:pt>
                <c:pt idx="683">
                  <c:v>37.807657353823153</c:v>
                </c:pt>
                <c:pt idx="684">
                  <c:v>37.883232279935555</c:v>
                </c:pt>
                <c:pt idx="685">
                  <c:v>37.983710736747348</c:v>
                </c:pt>
                <c:pt idx="686">
                  <c:v>38.108810756938169</c:v>
                </c:pt>
                <c:pt idx="687">
                  <c:v>38.258205672608042</c:v>
                </c:pt>
                <c:pt idx="688">
                  <c:v>38.431526760971252</c:v>
                </c:pt>
                <c:pt idx="689">
                  <c:v>38.628366203593259</c:v>
                </c:pt>
                <c:pt idx="690">
                  <c:v>38.848280299190691</c:v>
                </c:pt>
                <c:pt idx="691">
                  <c:v>39.090792867950491</c:v>
                </c:pt>
                <c:pt idx="692">
                  <c:v>39.355398785257435</c:v>
                </c:pt>
                <c:pt idx="693">
                  <c:v>39.641567584481535</c:v>
                </c:pt>
                <c:pt idx="694">
                  <c:v>39.948747071830553</c:v>
                </c:pt>
                <c:pt idx="695">
                  <c:v>40.276366900929837</c:v>
                </c:pt>
                <c:pt idx="696">
                  <c:v>40.623842060436395</c:v>
                </c:pt>
                <c:pt idx="697">
                  <c:v>40.990576234307781</c:v>
                </c:pt>
                <c:pt idx="698">
                  <c:v>41.375965001020759</c:v>
                </c:pt>
                <c:pt idx="699">
                  <c:v>41.779398844791643</c:v>
                </c:pt>
                <c:pt idx="700">
                  <c:v>42.200265958448945</c:v>
                </c:pt>
                <c:pt idx="701">
                  <c:v>42.637954823852418</c:v>
                </c:pt>
                <c:pt idx="702">
                  <c:v>43.091856561492442</c:v>
                </c:pt>
                <c:pt idx="703">
                  <c:v>43.561367046034746</c:v>
                </c:pt>
                <c:pt idx="704">
                  <c:v>44.0458887890371</c:v>
                </c:pt>
                <c:pt idx="705">
                  <c:v>44.544832593831032</c:v>
                </c:pt>
                <c:pt idx="706">
                  <c:v>45.057618990639376</c:v>
                </c:pt>
                <c:pt idx="707">
                  <c:v>45.583679462419596</c:v>
                </c:pt>
                <c:pt idx="708">
                  <c:v>46.122457473731053</c:v>
                </c:pt>
                <c:pt idx="709">
                  <c:v>46.673409316181385</c:v>
                </c:pt>
                <c:pt idx="710">
                  <c:v>47.236004784780718</c:v>
                </c:pt>
                <c:pt idx="711">
                  <c:v>47.809727699890317</c:v>
                </c:pt>
                <c:pt idx="712">
                  <c:v>48.394076289464223</c:v>
                </c:pt>
                <c:pt idx="713">
                  <c:v>48.98856344601321</c:v>
                </c:pt>
                <c:pt idx="714">
                  <c:v>49.592716872230298</c:v>
                </c:pt>
                <c:pt idx="715">
                  <c:v>50.206079128560155</c:v>
                </c:pt>
                <c:pt idx="716">
                  <c:v>50.828207595218615</c:v>
                </c:pt>
                <c:pt idx="717">
                  <c:v>51.458674360313921</c:v>
                </c:pt>
                <c:pt idx="718">
                  <c:v>52.097066044821887</c:v>
                </c:pt>
                <c:pt idx="719">
                  <c:v>52.742983574251795</c:v>
                </c:pt>
                <c:pt idx="720">
                  <c:v>53.39604190592955</c:v>
                </c:pt>
                <c:pt idx="721">
                  <c:v>54.055869719937903</c:v>
                </c:pt>
                <c:pt idx="722">
                  <c:v>54.722109080902477</c:v>
                </c:pt>
                <c:pt idx="723">
                  <c:v>55.394415077006776</c:v>
                </c:pt>
                <c:pt idx="724">
                  <c:v>56.072455441864825</c:v>
                </c:pt>
                <c:pt idx="725">
                  <c:v>56.755910164181095</c:v>
                </c:pt>
                <c:pt idx="726">
                  <c:v>57.444471089484161</c:v>
                </c:pt>
                <c:pt idx="727">
                  <c:v>58.137841517634733</c:v>
                </c:pt>
                <c:pt idx="728">
                  <c:v>58.835735799277728</c:v>
                </c:pt>
                <c:pt idx="729">
                  <c:v>59.537878933930237</c:v>
                </c:pt>
                <c:pt idx="730">
                  <c:v>60.244006171970334</c:v>
                </c:pt>
                <c:pt idx="731">
                  <c:v>60.953862622411727</c:v>
                </c:pt>
                <c:pt idx="732">
                  <c:v>61.667202868013334</c:v>
                </c:pt>
                <c:pt idx="733">
                  <c:v>62.383790588977377</c:v>
                </c:pt>
                <c:pt idx="734">
                  <c:v>63.103398196231083</c:v>
                </c:pt>
                <c:pt idx="735">
                  <c:v>63.825806475061881</c:v>
                </c:pt>
                <c:pt idx="736">
                  <c:v>64.550804239681341</c:v>
                </c:pt>
                <c:pt idx="737">
                  <c:v>65.278187999125123</c:v>
                </c:pt>
                <c:pt idx="738">
                  <c:v>66.007761634752825</c:v>
                </c:pt>
                <c:pt idx="739">
                  <c:v>66.739336089489328</c:v>
                </c:pt>
                <c:pt idx="740">
                  <c:v>67.47272906884632</c:v>
                </c:pt>
                <c:pt idx="741">
                  <c:v>68.207764753676315</c:v>
                </c:pt>
                <c:pt idx="742">
                  <c:v>68.94427352453954</c:v>
                </c:pt>
                <c:pt idx="743">
                  <c:v>69.682091697505484</c:v>
                </c:pt>
                <c:pt idx="744">
                  <c:v>70.421061271162856</c:v>
                </c:pt>
                <c:pt idx="745">
                  <c:v>71.161029684573819</c:v>
                </c:pt>
                <c:pt idx="746">
                  <c:v>71.901849585878537</c:v>
                </c:pt>
                <c:pt idx="747">
                  <c:v>72.643378611233203</c:v>
                </c:pt>
                <c:pt idx="748">
                  <c:v>73.385479173748564</c:v>
                </c:pt>
                <c:pt idx="749">
                  <c:v>74.128018262084353</c:v>
                </c:pt>
                <c:pt idx="750">
                  <c:v>74.870867248348304</c:v>
                </c:pt>
                <c:pt idx="751">
                  <c:v>75.613901704944979</c:v>
                </c:pt>
                <c:pt idx="752">
                  <c:v>76.357001230019605</c:v>
                </c:pt>
                <c:pt idx="753">
                  <c:v>77.100049281144791</c:v>
                </c:pt>
                <c:pt idx="754">
                  <c:v>77.842933016901767</c:v>
                </c:pt>
                <c:pt idx="755">
                  <c:v>78.585543146015013</c:v>
                </c:pt>
                <c:pt idx="756">
                  <c:v>79.327773783705709</c:v>
                </c:pt>
                <c:pt idx="757">
                  <c:v>80.069522314938709</c:v>
                </c:pt>
                <c:pt idx="758">
                  <c:v>80.810689264247017</c:v>
                </c:pt>
                <c:pt idx="759">
                  <c:v>81.551178171827658</c:v>
                </c:pt>
                <c:pt idx="760">
                  <c:v>82.290895475613468</c:v>
                </c:pt>
                <c:pt idx="761">
                  <c:v>83.029750399035905</c:v>
                </c:pt>
                <c:pt idx="762">
                  <c:v>83.767654844205069</c:v>
                </c:pt>
                <c:pt idx="763">
                  <c:v>84.504523290243867</c:v>
                </c:pt>
                <c:pt idx="764">
                  <c:v>85.240272696524073</c:v>
                </c:pt>
                <c:pt idx="765">
                  <c:v>85.974822410563007</c:v>
                </c:pt>
                <c:pt idx="766">
                  <c:v>86.708094080350008</c:v>
                </c:pt>
                <c:pt idx="767">
                  <c:v>87.440011570882064</c:v>
                </c:pt>
                <c:pt idx="768">
                  <c:v>88.170500884698271</c:v>
                </c:pt>
                <c:pt idx="769">
                  <c:v>88.899490086212538</c:v>
                </c:pt>
                <c:pt idx="770">
                  <c:v>89.626909229653165</c:v>
                </c:pt>
                <c:pt idx="771">
                  <c:v>90.352690290427603</c:v>
                </c:pt>
                <c:pt idx="772">
                  <c:v>91.076767099738916</c:v>
                </c:pt>
                <c:pt idx="773">
                  <c:v>91.799075282289351</c:v>
                </c:pt>
                <c:pt idx="774">
                  <c:v>92.519552196914503</c:v>
                </c:pt>
                <c:pt idx="775">
                  <c:v>93.238136879999061</c:v>
                </c:pt>
                <c:pt idx="776">
                  <c:v>93.954769991533183</c:v>
                </c:pt>
                <c:pt idx="777">
                  <c:v>94.669393763674833</c:v>
                </c:pt>
                <c:pt idx="778">
                  <c:v>95.381951951690993</c:v>
                </c:pt>
                <c:pt idx="779">
                  <c:v>96.092389787156776</c:v>
                </c:pt>
                <c:pt idx="780">
                  <c:v>96.800653933297625</c:v>
                </c:pt>
                <c:pt idx="781">
                  <c:v>97.506692442365733</c:v>
                </c:pt>
                <c:pt idx="782">
                  <c:v>98.21045471494746</c:v>
                </c:pt>
                <c:pt idx="783">
                  <c:v>98.911891461103806</c:v>
                </c:pt>
                <c:pt idx="784">
                  <c:v>99.610954663250951</c:v>
                </c:pt>
                <c:pt idx="785">
                  <c:v>100.30759754069277</c:v>
                </c:pt>
                <c:pt idx="786">
                  <c:v>101.00177451572189</c:v>
                </c:pt>
                <c:pt idx="787">
                  <c:v>101.69344118120991</c:v>
                </c:pt>
                <c:pt idx="788">
                  <c:v>102.38255426961157</c:v>
                </c:pt>
                <c:pt idx="789">
                  <c:v>103.06907162331198</c:v>
                </c:pt>
                <c:pt idx="790">
                  <c:v>103.75295216624885</c:v>
                </c:pt>
                <c:pt idx="791">
                  <c:v>104.43415587674592</c:v>
                </c:pt>
                <c:pt idx="792">
                  <c:v>105.11264376149691</c:v>
                </c:pt>
                <c:pt idx="793">
                  <c:v>105.78837783064199</c:v>
                </c:pt>
                <c:pt idx="794">
                  <c:v>106.46132107388252</c:v>
                </c:pt>
                <c:pt idx="795">
                  <c:v>107.13143743758181</c:v>
                </c:pt>
                <c:pt idx="796">
                  <c:v>107.79869180280298</c:v>
                </c:pt>
                <c:pt idx="797">
                  <c:v>108.46304996423711</c:v>
                </c:pt>
                <c:pt idx="798">
                  <c:v>109.12447860997753</c:v>
                </c:pt>
                <c:pt idx="799">
                  <c:v>109.78294530209794</c:v>
                </c:pt>
                <c:pt idx="800">
                  <c:v>110.4384184579949</c:v>
                </c:pt>
                <c:pt idx="801">
                  <c:v>111.09086733245645</c:v>
                </c:pt>
                <c:pt idx="802">
                  <c:v>111.74026200042128</c:v>
                </c:pt>
                <c:pt idx="803">
                  <c:v>112.38657334039394</c:v>
                </c:pt>
                <c:pt idx="804">
                  <c:v>113.02977301848421</c:v>
                </c:pt>
                <c:pt idx="805">
                  <c:v>113.6698334730395</c:v>
                </c:pt>
                <c:pt idx="806">
                  <c:v>114.30672789984128</c:v>
                </c:pt>
                <c:pt idx="807">
                  <c:v>114.94043023783763</c:v>
                </c:pt>
                <c:pt idx="808">
                  <c:v>115.57091515538599</c:v>
                </c:pt>
                <c:pt idx="809">
                  <c:v>116.19815803698063</c:v>
                </c:pt>
                <c:pt idx="810">
                  <c:v>116.82213497044123</c:v>
                </c:pt>
                <c:pt idx="811">
                  <c:v>117.44282273454024</c:v>
                </c:pt>
                <c:pt idx="812">
                  <c:v>118.06019878704724</c:v>
                </c:pt>
                <c:pt idx="813">
                  <c:v>118.67424125317004</c:v>
                </c:pt>
                <c:pt idx="814">
                  <c:v>119.28492891437321</c:v>
                </c:pt>
                <c:pt idx="815">
                  <c:v>119.89224119755561</c:v>
                </c:pt>
                <c:pt idx="816">
                  <c:v>120.49615816456922</c:v>
                </c:pt>
                <c:pt idx="817">
                  <c:v>121.09666050206299</c:v>
                </c:pt>
                <c:pt idx="818">
                  <c:v>121.69372951163547</c:v>
                </c:pt>
                <c:pt idx="819">
                  <c:v>122.28734710028155</c:v>
                </c:pt>
                <c:pt idx="820">
                  <c:v>122.87749577111887</c:v>
                </c:pt>
                <c:pt idx="821">
                  <c:v>123.46415861438008</c:v>
                </c:pt>
                <c:pt idx="822">
                  <c:v>124.04731929865845</c:v>
                </c:pt>
                <c:pt idx="823">
                  <c:v>124.62696206239403</c:v>
                </c:pt>
                <c:pt idx="824">
                  <c:v>125.20307170558924</c:v>
                </c:pt>
                <c:pt idx="825">
                  <c:v>125.7756335817421</c:v>
                </c:pt>
                <c:pt idx="826">
                  <c:v>126.34463358998713</c:v>
                </c:pt>
                <c:pt idx="827">
                  <c:v>126.91005816743336</c:v>
                </c:pt>
                <c:pt idx="828">
                  <c:v>127.47189428169024</c:v>
                </c:pt>
                <c:pt idx="829">
                  <c:v>128.03012942357208</c:v>
                </c:pt>
                <c:pt idx="830">
                  <c:v>128.58475159997261</c:v>
                </c:pt>
                <c:pt idx="831">
                  <c:v>129.13574932690096</c:v>
                </c:pt>
                <c:pt idx="832">
                  <c:v>129.68311162267196</c:v>
                </c:pt>
                <c:pt idx="833">
                  <c:v>130.2268280012425</c:v>
                </c:pt>
                <c:pt idx="834">
                  <c:v>130.76688846568746</c:v>
                </c:pt>
                <c:pt idx="835">
                  <c:v>131.30328350180798</c:v>
                </c:pt>
                <c:pt idx="836">
                  <c:v>131.83600407186637</c:v>
                </c:pt>
                <c:pt idx="837">
                  <c:v>132.36504160844052</c:v>
                </c:pt>
                <c:pt idx="838">
                  <c:v>132.89038800839305</c:v>
                </c:pt>
                <c:pt idx="839">
                  <c:v>133.41203562694898</c:v>
                </c:pt>
                <c:pt idx="840">
                  <c:v>133.92997727187714</c:v>
                </c:pt>
                <c:pt idx="841">
                  <c:v>134.44420619776977</c:v>
                </c:pt>
                <c:pt idx="842">
                  <c:v>134.95471610041648</c:v>
                </c:pt>
                <c:pt idx="843">
                  <c:v>135.46150111126693</c:v>
                </c:pt>
                <c:pt idx="844">
                  <c:v>135.96455579197905</c:v>
                </c:pt>
                <c:pt idx="845">
                  <c:v>136.46387512904798</c:v>
                </c:pt>
                <c:pt idx="846">
                  <c:v>136.95945452851225</c:v>
                </c:pt>
                <c:pt idx="847">
                  <c:v>137.45128981073344</c:v>
                </c:pt>
                <c:pt idx="848">
                  <c:v>137.93937720524579</c:v>
                </c:pt>
                <c:pt idx="849">
                  <c:v>138.42371334567264</c:v>
                </c:pt>
                <c:pt idx="850">
                  <c:v>138.90429526470646</c:v>
                </c:pt>
                <c:pt idx="851">
                  <c:v>139.38112038914932</c:v>
                </c:pt>
                <c:pt idx="852">
                  <c:v>139.85418653501162</c:v>
                </c:pt>
                <c:pt idx="853">
                  <c:v>140.32349190266564</c:v>
                </c:pt>
                <c:pt idx="854">
                  <c:v>140.78903507205169</c:v>
                </c:pt>
                <c:pt idx="855">
                  <c:v>141.25081499793507</c:v>
                </c:pt>
                <c:pt idx="856">
                  <c:v>141.70883100521047</c:v>
                </c:pt>
                <c:pt idx="857">
                  <c:v>142.16308278425257</c:v>
                </c:pt>
                <c:pt idx="858">
                  <c:v>142.61357038631064</c:v>
                </c:pt>
                <c:pt idx="859">
                  <c:v>143.0602942189447</c:v>
                </c:pt>
                <c:pt idx="860">
                  <c:v>143.50325504150248</c:v>
                </c:pt>
                <c:pt idx="861">
                  <c:v>143.94245396063431</c:v>
                </c:pt>
                <c:pt idx="862">
                  <c:v>144.37789242584532</c:v>
                </c:pt>
                <c:pt idx="863">
                  <c:v>144.80957222508283</c:v>
                </c:pt>
                <c:pt idx="864">
                  <c:v>145.23749548035795</c:v>
                </c:pt>
                <c:pt idx="865">
                  <c:v>145.66166464339966</c:v>
                </c:pt>
                <c:pt idx="866">
                  <c:v>146.08208249134032</c:v>
                </c:pt>
                <c:pt idx="867">
                  <c:v>146.49875212243165</c:v>
                </c:pt>
                <c:pt idx="868">
                  <c:v>146.91167695178973</c:v>
                </c:pt>
                <c:pt idx="869">
                  <c:v>147.32086070716812</c:v>
                </c:pt>
                <c:pt idx="870">
                  <c:v>147.7263074247582</c:v>
                </c:pt>
                <c:pt idx="871">
                  <c:v>148.12802144501586</c:v>
                </c:pt>
                <c:pt idx="872">
                  <c:v>148.52600740851375</c:v>
                </c:pt>
                <c:pt idx="873">
                  <c:v>148.92027025181784</c:v>
                </c:pt>
                <c:pt idx="874">
                  <c:v>149.31081520338853</c:v>
                </c:pt>
                <c:pt idx="875">
                  <c:v>149.69764777950462</c:v>
                </c:pt>
                <c:pt idx="876">
                  <c:v>150.08077378021014</c:v>
                </c:pt>
                <c:pt idx="877">
                  <c:v>150.46019928528349</c:v>
                </c:pt>
                <c:pt idx="878">
                  <c:v>150.83593065022794</c:v>
                </c:pt>
                <c:pt idx="879">
                  <c:v>151.20797450228352</c:v>
                </c:pt>
                <c:pt idx="880">
                  <c:v>151.57633773645944</c:v>
                </c:pt>
                <c:pt idx="881">
                  <c:v>151.94102751158701</c:v>
                </c:pt>
                <c:pt idx="882">
                  <c:v>152.30205124639258</c:v>
                </c:pt>
                <c:pt idx="883">
                  <c:v>152.65941661558992</c:v>
                </c:pt>
                <c:pt idx="884">
                  <c:v>153.01313154599217</c:v>
                </c:pt>
                <c:pt idx="885">
                  <c:v>153.36320421264287</c:v>
                </c:pt>
                <c:pt idx="886">
                  <c:v>153.70964303496604</c:v>
                </c:pt>
                <c:pt idx="887">
                  <c:v>154.05245667293468</c:v>
                </c:pt>
                <c:pt idx="888">
                  <c:v>154.39165402325824</c:v>
                </c:pt>
                <c:pt idx="889">
                  <c:v>154.72724421558817</c:v>
                </c:pt>
                <c:pt idx="890">
                  <c:v>155.05923660874194</c:v>
                </c:pt>
                <c:pt idx="891">
                  <c:v>155.38764078694547</c:v>
                </c:pt>
                <c:pt idx="892">
                  <c:v>155.71246655609329</c:v>
                </c:pt>
                <c:pt idx="893">
                  <c:v>156.03372394002736</c:v>
                </c:pt>
                <c:pt idx="894">
                  <c:v>156.35142317683352</c:v>
                </c:pt>
                <c:pt idx="895">
                  <c:v>156.66557471515645</c:v>
                </c:pt>
                <c:pt idx="896">
                  <c:v>156.97618921053245</c:v>
                </c:pt>
                <c:pt idx="897">
                  <c:v>157.28327752174039</c:v>
                </c:pt>
                <c:pt idx="898">
                  <c:v>157.58685070717112</c:v>
                </c:pt>
                <c:pt idx="899">
                  <c:v>157.88692002121479</c:v>
                </c:pt>
                <c:pt idx="900">
                  <c:v>158.18349691066672</c:v>
                </c:pt>
                <c:pt idx="901">
                  <c:v>158.47659301115152</c:v>
                </c:pt>
                <c:pt idx="902">
                  <c:v>158.76622014356604</c:v>
                </c:pt>
                <c:pt idx="903">
                  <c:v>159.05239031054035</c:v>
                </c:pt>
                <c:pt idx="904">
                  <c:v>159.33511569291809</c:v>
                </c:pt>
                <c:pt idx="905">
                  <c:v>159.61440864625536</c:v>
                </c:pt>
                <c:pt idx="906">
                  <c:v>159.89028169733854</c:v>
                </c:pt>
                <c:pt idx="907">
                  <c:v>160.1627475407216</c:v>
                </c:pt>
                <c:pt idx="908">
                  <c:v>160.43181903528227</c:v>
                </c:pt>
                <c:pt idx="909">
                  <c:v>160.69750920079807</c:v>
                </c:pt>
                <c:pt idx="910">
                  <c:v>160.95983121454182</c:v>
                </c:pt>
                <c:pt idx="911">
                  <c:v>161.2187984078968</c:v>
                </c:pt>
                <c:pt idx="912">
                  <c:v>161.47442426299207</c:v>
                </c:pt>
                <c:pt idx="913">
                  <c:v>161.72672240935799</c:v>
                </c:pt>
                <c:pt idx="914">
                  <c:v>161.9757066206019</c:v>
                </c:pt>
                <c:pt idx="915">
                  <c:v>162.22139081110433</c:v>
                </c:pt>
                <c:pt idx="916">
                  <c:v>162.46378903273623</c:v>
                </c:pt>
                <c:pt idx="917">
                  <c:v>162.70291547159667</c:v>
                </c:pt>
                <c:pt idx="918">
                  <c:v>162.93878444477198</c:v>
                </c:pt>
                <c:pt idx="919">
                  <c:v>163.17141039711589</c:v>
                </c:pt>
                <c:pt idx="920">
                  <c:v>163.40080789805162</c:v>
                </c:pt>
                <c:pt idx="921">
                  <c:v>163.62699163839497</c:v>
                </c:pt>
                <c:pt idx="922">
                  <c:v>163.84997642720006</c:v>
                </c:pt>
                <c:pt idx="923">
                  <c:v>164.06977718862646</c:v>
                </c:pt>
                <c:pt idx="924">
                  <c:v>164.28640895882904</c:v>
                </c:pt>
                <c:pt idx="925">
                  <c:v>164.49988688287024</c:v>
                </c:pt>
                <c:pt idx="926">
                  <c:v>164.7102262116546</c:v>
                </c:pt>
                <c:pt idx="927">
                  <c:v>164.91744229888675</c:v>
                </c:pt>
                <c:pt idx="928">
                  <c:v>165.1215505980519</c:v>
                </c:pt>
                <c:pt idx="929">
                  <c:v>165.32256665941986</c:v>
                </c:pt>
                <c:pt idx="930">
                  <c:v>165.52050612707245</c:v>
                </c:pt>
                <c:pt idx="931">
                  <c:v>165.7153847359543</c:v>
                </c:pt>
                <c:pt idx="932">
                  <c:v>165.90721830894765</c:v>
                </c:pt>
                <c:pt idx="933">
                  <c:v>166.09602275397091</c:v>
                </c:pt>
                <c:pt idx="934">
                  <c:v>166.28181406110147</c:v>
                </c:pt>
                <c:pt idx="935">
                  <c:v>166.46460829972276</c:v>
                </c:pt>
                <c:pt idx="936">
                  <c:v>166.64442161569571</c:v>
                </c:pt>
                <c:pt idx="937">
                  <c:v>166.82127022855479</c:v>
                </c:pt>
                <c:pt idx="938">
                  <c:v>166.99517042872898</c:v>
                </c:pt>
                <c:pt idx="939">
                  <c:v>167.16613857478751</c:v>
                </c:pt>
                <c:pt idx="940">
                  <c:v>167.33419109071068</c:v>
                </c:pt>
                <c:pt idx="941">
                  <c:v>167.49934446318585</c:v>
                </c:pt>
                <c:pt idx="942">
                  <c:v>167.66161523892902</c:v>
                </c:pt>
                <c:pt idx="943">
                  <c:v>167.82102002203158</c:v>
                </c:pt>
                <c:pt idx="944">
                  <c:v>167.82117654417405</c:v>
                </c:pt>
                <c:pt idx="945">
                  <c:v>167.82133306349004</c:v>
                </c:pt>
                <c:pt idx="946">
                  <c:v>167.82148957997947</c:v>
                </c:pt>
                <c:pt idx="947">
                  <c:v>167.82164609364241</c:v>
                </c:pt>
                <c:pt idx="948">
                  <c:v>167.82180260447888</c:v>
                </c:pt>
                <c:pt idx="949">
                  <c:v>167.82195911248883</c:v>
                </c:pt>
                <c:pt idx="950">
                  <c:v>167.82211561767235</c:v>
                </c:pt>
                <c:pt idx="951">
                  <c:v>167.82227212002942</c:v>
                </c:pt>
                <c:pt idx="952">
                  <c:v>167.82242861956007</c:v>
                </c:pt>
                <c:pt idx="953">
                  <c:v>167.82258511626432</c:v>
                </c:pt>
                <c:pt idx="954">
                  <c:v>167.8227416101422</c:v>
                </c:pt>
                <c:pt idx="955">
                  <c:v>167.82289810119369</c:v>
                </c:pt>
                <c:pt idx="956">
                  <c:v>167.8230545894188</c:v>
                </c:pt>
                <c:pt idx="957">
                  <c:v>167.82321107481761</c:v>
                </c:pt>
                <c:pt idx="958">
                  <c:v>167.82336755739007</c:v>
                </c:pt>
                <c:pt idx="959">
                  <c:v>167.82352403713625</c:v>
                </c:pt>
                <c:pt idx="960">
                  <c:v>167.82368051405612</c:v>
                </c:pt>
                <c:pt idx="961">
                  <c:v>167.82383698814971</c:v>
                </c:pt>
                <c:pt idx="962">
                  <c:v>167.82399345941704</c:v>
                </c:pt>
                <c:pt idx="963">
                  <c:v>167.82414992785812</c:v>
                </c:pt>
                <c:pt idx="964">
                  <c:v>167.82430639347299</c:v>
                </c:pt>
                <c:pt idx="965">
                  <c:v>167.82446285626165</c:v>
                </c:pt>
                <c:pt idx="966">
                  <c:v>167.8246193162241</c:v>
                </c:pt>
                <c:pt idx="967">
                  <c:v>167.82477577336039</c:v>
                </c:pt>
                <c:pt idx="968">
                  <c:v>167.8249322276705</c:v>
                </c:pt>
                <c:pt idx="969">
                  <c:v>167.8250886791545</c:v>
                </c:pt>
                <c:pt idx="970">
                  <c:v>167.82524512781237</c:v>
                </c:pt>
                <c:pt idx="971">
                  <c:v>167.82540157364414</c:v>
                </c:pt>
                <c:pt idx="972">
                  <c:v>167.82555801664981</c:v>
                </c:pt>
                <c:pt idx="973">
                  <c:v>167.82571445682942</c:v>
                </c:pt>
                <c:pt idx="974">
                  <c:v>167.82587089418294</c:v>
                </c:pt>
                <c:pt idx="975">
                  <c:v>167.82602732871044</c:v>
                </c:pt>
                <c:pt idx="976">
                  <c:v>167.82618376041188</c:v>
                </c:pt>
                <c:pt idx="977">
                  <c:v>167.82634018928735</c:v>
                </c:pt>
                <c:pt idx="978">
                  <c:v>167.82649661533682</c:v>
                </c:pt>
                <c:pt idx="979">
                  <c:v>167.82665303856029</c:v>
                </c:pt>
                <c:pt idx="980">
                  <c:v>167.82680945895783</c:v>
                </c:pt>
                <c:pt idx="981">
                  <c:v>167.82696587652941</c:v>
                </c:pt>
                <c:pt idx="982">
                  <c:v>167.82712229127506</c:v>
                </c:pt>
                <c:pt idx="983">
                  <c:v>167.82727870319482</c:v>
                </c:pt>
                <c:pt idx="984">
                  <c:v>167.8274351122887</c:v>
                </c:pt>
                <c:pt idx="985">
                  <c:v>167.82759151855666</c:v>
                </c:pt>
                <c:pt idx="986">
                  <c:v>167.82774792199879</c:v>
                </c:pt>
                <c:pt idx="987">
                  <c:v>167.82790432261507</c:v>
                </c:pt>
                <c:pt idx="988">
                  <c:v>167.82806072040552</c:v>
                </c:pt>
                <c:pt idx="989">
                  <c:v>167.82821711537017</c:v>
                </c:pt>
                <c:pt idx="990">
                  <c:v>167.82837350750899</c:v>
                </c:pt>
                <c:pt idx="991">
                  <c:v>167.82852989682206</c:v>
                </c:pt>
                <c:pt idx="992">
                  <c:v>167.82868628330937</c:v>
                </c:pt>
                <c:pt idx="993">
                  <c:v>167.82884266697096</c:v>
                </c:pt>
                <c:pt idx="994">
                  <c:v>167.8289990478068</c:v>
                </c:pt>
                <c:pt idx="995">
                  <c:v>167.82915542581691</c:v>
                </c:pt>
                <c:pt idx="996">
                  <c:v>167.82931180100132</c:v>
                </c:pt>
                <c:pt idx="997">
                  <c:v>167.82946817336011</c:v>
                </c:pt>
                <c:pt idx="998">
                  <c:v>167.82962454289319</c:v>
                </c:pt>
                <c:pt idx="999">
                  <c:v>167.82978090960063</c:v>
                </c:pt>
                <c:pt idx="1000">
                  <c:v>167.82993727348244</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Calculs!$AG$4:$AG$1004</c:f>
              <c:numCache>
                <c:formatCode>0.00</c:formatCode>
                <c:ptCount val="1001"/>
                <c:pt idx="0">
                  <c:v>0</c:v>
                </c:pt>
                <c:pt idx="1">
                  <c:v>8.9925032206179694</c:v>
                </c:pt>
                <c:pt idx="2">
                  <c:v>29.572794556870043</c:v>
                </c:pt>
                <c:pt idx="3">
                  <c:v>38.115705200329678</c:v>
                </c:pt>
                <c:pt idx="4">
                  <c:v>46.665041691720496</c:v>
                </c:pt>
                <c:pt idx="5">
                  <c:v>55.221858952506516</c:v>
                </c:pt>
                <c:pt idx="6">
                  <c:v>63.787204371628157</c:v>
                </c:pt>
                <c:pt idx="7">
                  <c:v>72.362118198999411</c:v>
                </c:pt>
                <c:pt idx="8">
                  <c:v>80.947633928952456</c:v>
                </c:pt>
                <c:pt idx="9">
                  <c:v>89.54477867402143</c:v>
                </c:pt>
                <c:pt idx="10">
                  <c:v>98.15457352944253</c:v>
                </c:pt>
                <c:pt idx="11">
                  <c:v>101.8613750941427</c:v>
                </c:pt>
                <c:pt idx="12">
                  <c:v>100.65448810984776</c:v>
                </c:pt>
                <c:pt idx="13">
                  <c:v>99.407673113114555</c:v>
                </c:pt>
                <c:pt idx="14">
                  <c:v>98.120888395405004</c:v>
                </c:pt>
                <c:pt idx="15">
                  <c:v>96.831575886142005</c:v>
                </c:pt>
                <c:pt idx="16">
                  <c:v>95.539776248803378</c:v>
                </c:pt>
                <c:pt idx="17">
                  <c:v>94.245530136803424</c:v>
                </c:pt>
                <c:pt idx="18">
                  <c:v>92.948878187976234</c:v>
                </c:pt>
                <c:pt idx="19">
                  <c:v>91.649861019086558</c:v>
                </c:pt>
                <c:pt idx="20">
                  <c:v>90.348519220370349</c:v>
                </c:pt>
                <c:pt idx="21">
                  <c:v>89.044893350105497</c:v>
                </c:pt>
                <c:pt idx="22">
                  <c:v>87.739023929213957</c:v>
                </c:pt>
                <c:pt idx="23">
                  <c:v>86.430951435897114</c:v>
                </c:pt>
                <c:pt idx="24">
                  <c:v>85.120716300304238</c:v>
                </c:pt>
                <c:pt idx="25">
                  <c:v>83.808358899236282</c:v>
                </c:pt>
                <c:pt idx="26">
                  <c:v>82.493919550885522</c:v>
                </c:pt>
                <c:pt idx="27">
                  <c:v>81.838225459981743</c:v>
                </c:pt>
                <c:pt idx="28">
                  <c:v>81.842440205119971</c:v>
                </c:pt>
                <c:pt idx="29">
                  <c:v>81.84631569641752</c:v>
                </c:pt>
                <c:pt idx="30">
                  <c:v>81.849851494899568</c:v>
                </c:pt>
                <c:pt idx="31">
                  <c:v>81.853047168202451</c:v>
                </c:pt>
                <c:pt idx="32">
                  <c:v>81.855902290597243</c:v>
                </c:pt>
                <c:pt idx="33">
                  <c:v>81.85841644301324</c:v>
                </c:pt>
                <c:pt idx="34">
                  <c:v>81.860589213061047</c:v>
                </c:pt>
                <c:pt idx="35">
                  <c:v>81.863475217569814</c:v>
                </c:pt>
                <c:pt idx="36">
                  <c:v>81.86601064914845</c:v>
                </c:pt>
                <c:pt idx="37">
                  <c:v>81.868180552104448</c:v>
                </c:pt>
                <c:pt idx="38">
                  <c:v>81.869985643551175</c:v>
                </c:pt>
                <c:pt idx="39">
                  <c:v>81.871426564912241</c:v>
                </c:pt>
                <c:pt idx="40">
                  <c:v>81.872503890083891</c:v>
                </c:pt>
                <c:pt idx="41">
                  <c:v>81.873218132606354</c:v>
                </c:pt>
                <c:pt idx="42">
                  <c:v>81.873569751986594</c:v>
                </c:pt>
                <c:pt idx="43">
                  <c:v>81.873559159291602</c:v>
                </c:pt>
                <c:pt idx="44">
                  <c:v>81.873186722111171</c:v>
                </c:pt>
                <c:pt idx="45">
                  <c:v>81.872452768974952</c:v>
                </c:pt>
                <c:pt idx="46">
                  <c:v>81.87135759329486</c:v>
                </c:pt>
                <c:pt idx="47">
                  <c:v>81.86990145689289</c:v>
                </c:pt>
                <c:pt idx="48">
                  <c:v>81.868084593166998</c:v>
                </c:pt>
                <c:pt idx="49">
                  <c:v>81.865907209938342</c:v>
                </c:pt>
                <c:pt idx="50">
                  <c:v>81.863369492018535</c:v>
                </c:pt>
                <c:pt idx="51">
                  <c:v>81.860471603529405</c:v>
                </c:pt>
                <c:pt idx="52">
                  <c:v>81.857213690004087</c:v>
                </c:pt>
                <c:pt idx="53">
                  <c:v>81.853595880293327</c:v>
                </c:pt>
                <c:pt idx="54">
                  <c:v>81.849618288299268</c:v>
                </c:pt>
                <c:pt idx="55">
                  <c:v>81.845281014555169</c:v>
                </c:pt>
                <c:pt idx="56">
                  <c:v>81.840584147666689</c:v>
                </c:pt>
                <c:pt idx="57">
                  <c:v>81.835527765630545</c:v>
                </c:pt>
                <c:pt idx="58">
                  <c:v>81.830111937041877</c:v>
                </c:pt>
                <c:pt idx="59">
                  <c:v>81.824336722202105</c:v>
                </c:pt>
                <c:pt idx="60">
                  <c:v>81.8182021741369</c:v>
                </c:pt>
                <c:pt idx="61">
                  <c:v>81.811708339533382</c:v>
                </c:pt>
                <c:pt idx="62">
                  <c:v>81.804855259603485</c:v>
                </c:pt>
                <c:pt idx="63">
                  <c:v>81.797642970881327</c:v>
                </c:pt>
                <c:pt idx="64">
                  <c:v>81.790071505959972</c:v>
                </c:pt>
                <c:pt idx="65">
                  <c:v>81.782140894173395</c:v>
                </c:pt>
                <c:pt idx="66">
                  <c:v>81.773851162228596</c:v>
                </c:pt>
                <c:pt idx="67">
                  <c:v>81.765202334792136</c:v>
                </c:pt>
                <c:pt idx="68">
                  <c:v>81.756194435034843</c:v>
                </c:pt>
                <c:pt idx="69">
                  <c:v>81.746827485138695</c:v>
                </c:pt>
                <c:pt idx="70">
                  <c:v>81.737101506768909</c:v>
                </c:pt>
                <c:pt idx="71">
                  <c:v>81.727016521513548</c:v>
                </c:pt>
                <c:pt idx="72">
                  <c:v>81.709009915204931</c:v>
                </c:pt>
                <c:pt idx="73">
                  <c:v>81.683069986306066</c:v>
                </c:pt>
                <c:pt idx="74">
                  <c:v>81.656754772120266</c:v>
                </c:pt>
                <c:pt idx="75">
                  <c:v>81.630064479715386</c:v>
                </c:pt>
                <c:pt idx="76">
                  <c:v>81.602999318350825</c:v>
                </c:pt>
                <c:pt idx="77">
                  <c:v>81.575559499770776</c:v>
                </c:pt>
                <c:pt idx="78">
                  <c:v>81.547745238479223</c:v>
                </c:pt>
                <c:pt idx="79">
                  <c:v>81.519556751997328</c:v>
                </c:pt>
                <c:pt idx="80">
                  <c:v>81.490994261104845</c:v>
                </c:pt>
                <c:pt idx="81">
                  <c:v>81.462057990066469</c:v>
                </c:pt>
                <c:pt idx="82">
                  <c:v>81.432748166844448</c:v>
                </c:pt>
                <c:pt idx="83">
                  <c:v>81.403065023298154</c:v>
                </c:pt>
                <c:pt idx="84">
                  <c:v>81.373008795371831</c:v>
                </c:pt>
                <c:pt idx="85">
                  <c:v>81.342579723270703</c:v>
                </c:pt>
                <c:pt idx="86">
                  <c:v>81.311778051627172</c:v>
                </c:pt>
                <c:pt idx="87">
                  <c:v>81.280604029656729</c:v>
                </c:pt>
                <c:pt idx="88">
                  <c:v>81.249057911305059</c:v>
                </c:pt>
                <c:pt idx="89">
                  <c:v>81.217139955386344</c:v>
                </c:pt>
                <c:pt idx="90">
                  <c:v>81.184850425713748</c:v>
                </c:pt>
                <c:pt idx="91">
                  <c:v>81.152189591222125</c:v>
                </c:pt>
                <c:pt idx="92">
                  <c:v>81.119157726083984</c:v>
                </c:pt>
                <c:pt idx="93">
                  <c:v>81.08575510981845</c:v>
                </c:pt>
                <c:pt idx="94">
                  <c:v>81.051982027394232</c:v>
                </c:pt>
                <c:pt idx="95">
                  <c:v>81.017838769326616</c:v>
                </c:pt>
                <c:pt idx="96">
                  <c:v>80.983325631768949</c:v>
                </c:pt>
                <c:pt idx="97">
                  <c:v>80.948442916598765</c:v>
                </c:pt>
                <c:pt idx="98">
                  <c:v>80.913190931499187</c:v>
                </c:pt>
                <c:pt idx="99">
                  <c:v>80.877569990035511</c:v>
                </c:pt>
                <c:pt idx="100">
                  <c:v>80.841580411727421</c:v>
                </c:pt>
                <c:pt idx="101">
                  <c:v>80.805222522117006</c:v>
                </c:pt>
                <c:pt idx="102">
                  <c:v>80.768496652832965</c:v>
                </c:pt>
                <c:pt idx="103">
                  <c:v>80.731403141650702</c:v>
                </c:pt>
                <c:pt idx="104">
                  <c:v>80.693942332549412</c:v>
                </c:pt>
                <c:pt idx="105">
                  <c:v>80.656114575765315</c:v>
                </c:pt>
                <c:pt idx="106">
                  <c:v>80.617920227841836</c:v>
                </c:pt>
                <c:pt idx="107">
                  <c:v>80.579359651676839</c:v>
                </c:pt>
                <c:pt idx="108">
                  <c:v>80.540433216566797</c:v>
                </c:pt>
                <c:pt idx="109">
                  <c:v>80.501141298248314</c:v>
                </c:pt>
                <c:pt idx="110">
                  <c:v>80.461484278936936</c:v>
                </c:pt>
                <c:pt idx="111">
                  <c:v>80.421462547363461</c:v>
                </c:pt>
                <c:pt idx="112">
                  <c:v>80.381076498807829</c:v>
                </c:pt>
                <c:pt idx="113">
                  <c:v>80.340326535130828</c:v>
                </c:pt>
                <c:pt idx="114">
                  <c:v>80.299213064803368</c:v>
                </c:pt>
                <c:pt idx="115">
                  <c:v>80.257736502933881</c:v>
                </c:pt>
                <c:pt idx="116">
                  <c:v>80.215897271293628</c:v>
                </c:pt>
                <c:pt idx="117">
                  <c:v>80.173695798340034</c:v>
                </c:pt>
                <c:pt idx="118">
                  <c:v>80.131132519238207</c:v>
                </c:pt>
                <c:pt idx="119">
                  <c:v>80.088207875880698</c:v>
                </c:pt>
                <c:pt idx="120">
                  <c:v>80.044922316905499</c:v>
                </c:pt>
                <c:pt idx="121">
                  <c:v>80.001276297712479</c:v>
                </c:pt>
                <c:pt idx="122">
                  <c:v>79.957270280478156</c:v>
                </c:pt>
                <c:pt idx="123">
                  <c:v>79.912904734169032</c:v>
                </c:pt>
                <c:pt idx="124">
                  <c:v>79.868180134553398</c:v>
                </c:pt>
                <c:pt idx="125">
                  <c:v>79.823096964211729</c:v>
                </c:pt>
                <c:pt idx="126">
                  <c:v>79.777655712545851</c:v>
                </c:pt>
                <c:pt idx="127">
                  <c:v>79.731856875786562</c:v>
                </c:pt>
                <c:pt idx="128">
                  <c:v>79.685700957000137</c:v>
                </c:pt>
                <c:pt idx="129">
                  <c:v>79.604246357411029</c:v>
                </c:pt>
                <c:pt idx="130">
                  <c:v>79.487448431601891</c:v>
                </c:pt>
                <c:pt idx="131">
                  <c:v>79.370237450510473</c:v>
                </c:pt>
                <c:pt idx="132">
                  <c:v>79.25261491257541</c:v>
                </c:pt>
                <c:pt idx="133">
                  <c:v>79.134582323675417</c:v>
                </c:pt>
                <c:pt idx="134">
                  <c:v>79.016141197082916</c:v>
                </c:pt>
                <c:pt idx="135">
                  <c:v>78.89729305341676</c:v>
                </c:pt>
                <c:pt idx="136">
                  <c:v>78.778039420593714</c:v>
                </c:pt>
                <c:pt idx="137">
                  <c:v>78.658381833778733</c:v>
                </c:pt>
                <c:pt idx="138">
                  <c:v>78.538321835334386</c:v>
                </c:pt>
                <c:pt idx="139">
                  <c:v>78.417860974769084</c:v>
                </c:pt>
                <c:pt idx="140">
                  <c:v>78.297000808684473</c:v>
                </c:pt>
                <c:pt idx="141">
                  <c:v>78.175742900721815</c:v>
                </c:pt>
                <c:pt idx="142">
                  <c:v>78.054088821507449</c:v>
                </c:pt>
                <c:pt idx="143">
                  <c:v>77.93204014859738</c:v>
                </c:pt>
                <c:pt idx="144">
                  <c:v>77.80959846642105</c:v>
                </c:pt>
                <c:pt idx="145">
                  <c:v>77.686765366224236</c:v>
                </c:pt>
                <c:pt idx="146">
                  <c:v>77.56354244601124</c:v>
                </c:pt>
                <c:pt idx="147">
                  <c:v>77.439931310486273</c:v>
                </c:pt>
                <c:pt idx="148">
                  <c:v>77.31593357099392</c:v>
                </c:pt>
                <c:pt idx="149">
                  <c:v>77.191550845459375</c:v>
                </c:pt>
                <c:pt idx="150">
                  <c:v>77.066784758327429</c:v>
                </c:pt>
                <c:pt idx="151">
                  <c:v>76.941636940501127</c:v>
                </c:pt>
                <c:pt idx="152">
                  <c:v>76.816109029279716</c:v>
                </c:pt>
                <c:pt idx="153">
                  <c:v>76.690202668295925</c:v>
                </c:pt>
                <c:pt idx="154">
                  <c:v>76.563919507452695</c:v>
                </c:pt>
                <c:pt idx="155">
                  <c:v>76.437261202859389</c:v>
                </c:pt>
                <c:pt idx="156">
                  <c:v>76.3102294167672</c:v>
                </c:pt>
                <c:pt idx="157">
                  <c:v>76.182825817504352</c:v>
                </c:pt>
                <c:pt idx="158">
                  <c:v>76.05505207941053</c:v>
                </c:pt>
                <c:pt idx="159">
                  <c:v>75.926909882770914</c:v>
                </c:pt>
                <c:pt idx="160">
                  <c:v>75.798400913749703</c:v>
                </c:pt>
                <c:pt idx="161">
                  <c:v>75.66952686432316</c:v>
                </c:pt>
                <c:pt idx="162">
                  <c:v>75.540289432212276</c:v>
                </c:pt>
                <c:pt idx="163">
                  <c:v>75.410690320814936</c:v>
                </c:pt>
                <c:pt idx="164">
                  <c:v>75.280731239137509</c:v>
                </c:pt>
                <c:pt idx="165">
                  <c:v>75.150413901726424</c:v>
                </c:pt>
                <c:pt idx="166">
                  <c:v>75.019740028598932</c:v>
                </c:pt>
                <c:pt idx="167">
                  <c:v>74.888711345173803</c:v>
                </c:pt>
                <c:pt idx="168">
                  <c:v>74.757329582201578</c:v>
                </c:pt>
                <c:pt idx="169">
                  <c:v>74.625596475694181</c:v>
                </c:pt>
                <c:pt idx="170">
                  <c:v>74.49351376685479</c:v>
                </c:pt>
                <c:pt idx="171">
                  <c:v>74.361083202006753</c:v>
                </c:pt>
                <c:pt idx="172">
                  <c:v>74.228306532522708</c:v>
                </c:pt>
                <c:pt idx="173">
                  <c:v>74.095185514753027</c:v>
                </c:pt>
                <c:pt idx="174">
                  <c:v>73.961721909954164</c:v>
                </c:pt>
                <c:pt idx="175">
                  <c:v>73.827917484216783</c:v>
                </c:pt>
                <c:pt idx="176">
                  <c:v>73.693774008393419</c:v>
                </c:pt>
                <c:pt idx="177">
                  <c:v>73.559293258026102</c:v>
                </c:pt>
                <c:pt idx="178">
                  <c:v>73.424477013273574</c:v>
                </c:pt>
                <c:pt idx="179">
                  <c:v>73.289327058838381</c:v>
                </c:pt>
                <c:pt idx="180">
                  <c:v>73.153845183893736</c:v>
                </c:pt>
                <c:pt idx="181">
                  <c:v>73.018033182010143</c:v>
                </c:pt>
                <c:pt idx="182">
                  <c:v>72.881892851081844</c:v>
                </c:pt>
                <c:pt idx="183">
                  <c:v>72.745425993253065</c:v>
                </c:pt>
                <c:pt idx="184">
                  <c:v>72.608634414844104</c:v>
                </c:pt>
                <c:pt idx="185">
                  <c:v>72.471519926277239</c:v>
                </c:pt>
                <c:pt idx="186">
                  <c:v>72.334084342002484</c:v>
                </c:pt>
                <c:pt idx="187">
                  <c:v>72.196329480423259</c:v>
                </c:pt>
                <c:pt idx="188">
                  <c:v>72.05825716382175</c:v>
                </c:pt>
                <c:pt idx="189">
                  <c:v>71.919869218284305</c:v>
                </c:pt>
                <c:pt idx="190">
                  <c:v>71.781167473626724</c:v>
                </c:pt>
                <c:pt idx="191">
                  <c:v>71.642153763319257</c:v>
                </c:pt>
                <c:pt idx="192">
                  <c:v>71.502829924411785</c:v>
                </c:pt>
                <c:pt idx="193">
                  <c:v>71.363197797458497</c:v>
                </c:pt>
                <c:pt idx="194">
                  <c:v>71.223259226442991</c:v>
                </c:pt>
                <c:pt idx="195">
                  <c:v>71.08301605870281</c:v>
                </c:pt>
                <c:pt idx="196">
                  <c:v>70.942470144854269</c:v>
                </c:pt>
                <c:pt idx="197">
                  <c:v>70.801623338717107</c:v>
                </c:pt>
                <c:pt idx="198">
                  <c:v>70.660477497238901</c:v>
                </c:pt>
                <c:pt idx="199">
                  <c:v>70.519034480419791</c:v>
                </c:pt>
                <c:pt idx="200">
                  <c:v>70.377296151236919</c:v>
                </c:pt>
                <c:pt idx="201">
                  <c:v>70.235264375568804</c:v>
                </c:pt>
                <c:pt idx="202">
                  <c:v>70.092941022119973</c:v>
                </c:pt>
                <c:pt idx="203">
                  <c:v>69.950327962345256</c:v>
                </c:pt>
                <c:pt idx="204">
                  <c:v>69.807427070374317</c:v>
                </c:pt>
                <c:pt idx="205">
                  <c:v>69.664240222936002</c:v>
                </c:pt>
                <c:pt idx="206">
                  <c:v>69.512223027773857</c:v>
                </c:pt>
                <c:pt idx="207">
                  <c:v>69.351370243219733</c:v>
                </c:pt>
                <c:pt idx="208">
                  <c:v>69.190230406129928</c:v>
                </c:pt>
                <c:pt idx="209">
                  <c:v>69.02880565094523</c:v>
                </c:pt>
                <c:pt idx="210">
                  <c:v>68.867098113756583</c:v>
                </c:pt>
                <c:pt idx="211">
                  <c:v>68.705109932217837</c:v>
                </c:pt>
                <c:pt idx="212">
                  <c:v>68.542843245458783</c:v>
                </c:pt>
                <c:pt idx="213">
                  <c:v>68.380300193998096</c:v>
                </c:pt>
                <c:pt idx="214">
                  <c:v>68.217482919656632</c:v>
                </c:pt>
                <c:pt idx="215">
                  <c:v>68.054393565470775</c:v>
                </c:pt>
                <c:pt idx="216">
                  <c:v>67.891034275605833</c:v>
                </c:pt>
                <c:pt idx="217">
                  <c:v>67.72740719526999</c:v>
                </c:pt>
                <c:pt idx="218">
                  <c:v>67.563514470627865</c:v>
                </c:pt>
                <c:pt idx="219">
                  <c:v>67.399358248714748</c:v>
                </c:pt>
                <c:pt idx="220">
                  <c:v>67.234940677350764</c:v>
                </c:pt>
                <c:pt idx="221">
                  <c:v>67.070263905055214</c:v>
                </c:pt>
                <c:pt idx="222">
                  <c:v>66.905330080961377</c:v>
                </c:pt>
                <c:pt idx="223">
                  <c:v>66.740141354731122</c:v>
                </c:pt>
                <c:pt idx="224">
                  <c:v>66.574699876470092</c:v>
                </c:pt>
                <c:pt idx="225">
                  <c:v>66.409007796642896</c:v>
                </c:pt>
                <c:pt idx="226">
                  <c:v>66.2430672659886</c:v>
                </c:pt>
                <c:pt idx="227">
                  <c:v>66.076880435436536</c:v>
                </c:pt>
                <c:pt idx="228">
                  <c:v>65.910449456022121</c:v>
                </c:pt>
                <c:pt idx="229">
                  <c:v>65.74377647880317</c:v>
                </c:pt>
                <c:pt idx="230">
                  <c:v>65.57686365477629</c:v>
                </c:pt>
                <c:pt idx="231">
                  <c:v>65.409713134793648</c:v>
                </c:pt>
                <c:pt idx="232">
                  <c:v>65.242327069479899</c:v>
                </c:pt>
                <c:pt idx="233">
                  <c:v>65.07470760914947</c:v>
                </c:pt>
                <c:pt idx="234">
                  <c:v>64.906856903724119</c:v>
                </c:pt>
                <c:pt idx="235">
                  <c:v>64.738777102650715</c:v>
                </c:pt>
                <c:pt idx="236">
                  <c:v>64.570470354819264</c:v>
                </c:pt>
                <c:pt idx="237">
                  <c:v>64.401938808481461</c:v>
                </c:pt>
                <c:pt idx="238">
                  <c:v>64.233184611169179</c:v>
                </c:pt>
                <c:pt idx="239">
                  <c:v>64.064209909613709</c:v>
                </c:pt>
                <c:pt idx="240">
                  <c:v>63.89501684966482</c:v>
                </c:pt>
                <c:pt idx="241">
                  <c:v>63.725607576210521</c:v>
                </c:pt>
                <c:pt idx="242">
                  <c:v>63.526387169796976</c:v>
                </c:pt>
                <c:pt idx="243">
                  <c:v>63.297339674099248</c:v>
                </c:pt>
                <c:pt idx="244">
                  <c:v>63.06807108000703</c:v>
                </c:pt>
                <c:pt idx="245">
                  <c:v>62.838584410750585</c:v>
                </c:pt>
                <c:pt idx="246">
                  <c:v>62.6088826847798</c:v>
                </c:pt>
                <c:pt idx="247">
                  <c:v>62.378968915646929</c:v>
                </c:pt>
                <c:pt idx="248">
                  <c:v>62.148846111890578</c:v>
                </c:pt>
                <c:pt idx="249">
                  <c:v>61.918517276920042</c:v>
                </c:pt>
                <c:pt idx="250">
                  <c:v>61.687985408900794</c:v>
                </c:pt>
                <c:pt idx="251">
                  <c:v>61.457253500640498</c:v>
                </c:pt>
                <c:pt idx="252">
                  <c:v>61.226324539476131</c:v>
                </c:pt>
                <c:pt idx="253">
                  <c:v>60.995201507161624</c:v>
                </c:pt>
                <c:pt idx="254">
                  <c:v>60.763887379756625</c:v>
                </c:pt>
                <c:pt idx="255">
                  <c:v>60.532385127515795</c:v>
                </c:pt>
                <c:pt idx="256">
                  <c:v>60.30069771477919</c:v>
                </c:pt>
                <c:pt idx="257">
                  <c:v>60.06882809986336</c:v>
                </c:pt>
                <c:pt idx="258">
                  <c:v>59.836779234953354</c:v>
                </c:pt>
                <c:pt idx="259">
                  <c:v>59.604554065995515</c:v>
                </c:pt>
                <c:pt idx="260">
                  <c:v>59.372155532591236</c:v>
                </c:pt>
                <c:pt idx="261">
                  <c:v>59.139586567891413</c:v>
                </c:pt>
                <c:pt idx="262">
                  <c:v>58.906850098492001</c:v>
                </c:pt>
                <c:pt idx="263">
                  <c:v>58.673949044330186</c:v>
                </c:pt>
                <c:pt idx="264">
                  <c:v>58.440886318581704</c:v>
                </c:pt>
                <c:pt idx="265">
                  <c:v>58.207664827558759</c:v>
                </c:pt>
                <c:pt idx="266">
                  <c:v>57.974287470609084</c:v>
                </c:pt>
                <c:pt idx="267">
                  <c:v>57.740757140015717</c:v>
                </c:pt>
                <c:pt idx="268">
                  <c:v>57.507076720897743</c:v>
                </c:pt>
                <c:pt idx="269">
                  <c:v>57.273249091111992</c:v>
                </c:pt>
                <c:pt idx="270">
                  <c:v>57.039277121155514</c:v>
                </c:pt>
                <c:pt idx="271">
                  <c:v>56.805163674068993</c:v>
                </c:pt>
                <c:pt idx="272">
                  <c:v>56.570911605341152</c:v>
                </c:pt>
                <c:pt idx="273">
                  <c:v>56.336523762814039</c:v>
                </c:pt>
                <c:pt idx="274">
                  <c:v>56.102002986589127</c:v>
                </c:pt>
                <c:pt idx="275">
                  <c:v>55.867352108934483</c:v>
                </c:pt>
                <c:pt idx="276">
                  <c:v>55.632573954192779</c:v>
                </c:pt>
                <c:pt idx="277">
                  <c:v>55.397671338690202</c:v>
                </c:pt>
                <c:pt idx="278">
                  <c:v>55.162647070646365</c:v>
                </c:pt>
                <c:pt idx="279">
                  <c:v>54.927503950085089</c:v>
                </c:pt>
                <c:pt idx="280">
                  <c:v>54.692244768746164</c:v>
                </c:pt>
                <c:pt idx="281">
                  <c:v>54.456872309997962</c:v>
                </c:pt>
                <c:pt idx="282">
                  <c:v>54.221389348751117</c:v>
                </c:pt>
                <c:pt idx="283">
                  <c:v>53.985798651373067</c:v>
                </c:pt>
                <c:pt idx="284">
                  <c:v>53.78491994554097</c:v>
                </c:pt>
                <c:pt idx="285">
                  <c:v>53.61876698439162</c:v>
                </c:pt>
                <c:pt idx="286">
                  <c:v>53.452509818185085</c:v>
                </c:pt>
                <c:pt idx="287">
                  <c:v>53.286150253621031</c:v>
                </c:pt>
                <c:pt idx="288">
                  <c:v>53.119690093355999</c:v>
                </c:pt>
                <c:pt idx="289">
                  <c:v>52.953131135953114</c:v>
                </c:pt>
                <c:pt idx="290">
                  <c:v>52.786475175832166</c:v>
                </c:pt>
                <c:pt idx="291">
                  <c:v>52.619724003220185</c:v>
                </c:pt>
                <c:pt idx="292">
                  <c:v>52.452879404102404</c:v>
                </c:pt>
                <c:pt idx="293">
                  <c:v>52.285943160173652</c:v>
                </c:pt>
                <c:pt idx="294">
                  <c:v>52.118917048790209</c:v>
                </c:pt>
                <c:pt idx="295">
                  <c:v>51.951802842922035</c:v>
                </c:pt>
                <c:pt idx="296">
                  <c:v>51.784602311105516</c:v>
                </c:pt>
                <c:pt idx="297">
                  <c:v>51.61731721739649</c:v>
                </c:pt>
                <c:pt idx="298">
                  <c:v>51.449949321323977</c:v>
                </c:pt>
                <c:pt idx="299">
                  <c:v>51.282500377843981</c:v>
                </c:pt>
                <c:pt idx="300">
                  <c:v>51.114972137294117</c:v>
                </c:pt>
                <c:pt idx="301">
                  <c:v>50.947366345348314</c:v>
                </c:pt>
                <c:pt idx="302">
                  <c:v>50.779684742972265</c:v>
                </c:pt>
                <c:pt idx="303">
                  <c:v>50.611929066379098</c:v>
                </c:pt>
                <c:pt idx="304">
                  <c:v>50.444101046985594</c:v>
                </c:pt>
                <c:pt idx="305">
                  <c:v>50.276202411368814</c:v>
                </c:pt>
                <c:pt idx="306">
                  <c:v>50.108234881223197</c:v>
                </c:pt>
                <c:pt idx="307">
                  <c:v>49.940200173318019</c:v>
                </c:pt>
                <c:pt idx="308">
                  <c:v>49.772099999455421</c:v>
                </c:pt>
                <c:pt idx="309">
                  <c:v>49.603936066428773</c:v>
                </c:pt>
                <c:pt idx="310">
                  <c:v>49.435710075981532</c:v>
                </c:pt>
                <c:pt idx="311">
                  <c:v>49.267423724766537</c:v>
                </c:pt>
                <c:pt idx="312">
                  <c:v>49.09907870430574</c:v>
                </c:pt>
                <c:pt idx="313">
                  <c:v>48.930676700950372</c:v>
                </c:pt>
                <c:pt idx="314">
                  <c:v>48.762219395841612</c:v>
                </c:pt>
                <c:pt idx="315">
                  <c:v>48.593708464871625</c:v>
                </c:pt>
                <c:pt idx="316">
                  <c:v>48.425145578645122</c:v>
                </c:pt>
                <c:pt idx="317">
                  <c:v>48.256532402441273</c:v>
                </c:pt>
                <c:pt idx="318">
                  <c:v>48.087870596176138</c:v>
                </c:pt>
                <c:pt idx="319">
                  <c:v>47.919161814365552</c:v>
                </c:pt>
                <c:pt idx="320">
                  <c:v>47.750407706088467</c:v>
                </c:pt>
                <c:pt idx="321">
                  <c:v>47.581609914950555</c:v>
                </c:pt>
                <c:pt idx="322">
                  <c:v>47.412770079048585</c:v>
                </c:pt>
                <c:pt idx="323">
                  <c:v>47.243889830934961</c:v>
                </c:pt>
                <c:pt idx="324">
                  <c:v>47.0749707975829</c:v>
                </c:pt>
                <c:pt idx="325">
                  <c:v>46.906014600351881</c:v>
                </c:pt>
                <c:pt idx="326">
                  <c:v>46.739165470276077</c:v>
                </c:pt>
                <c:pt idx="327">
                  <c:v>46.574425220060903</c:v>
                </c:pt>
                <c:pt idx="328">
                  <c:v>46.409651497869234</c:v>
                </c:pt>
                <c:pt idx="329">
                  <c:v>46.244845855382323</c:v>
                </c:pt>
                <c:pt idx="330">
                  <c:v>46.08000983878776</c:v>
                </c:pt>
                <c:pt idx="331">
                  <c:v>45.915144988748523</c:v>
                </c:pt>
                <c:pt idx="332">
                  <c:v>45.750252840372596</c:v>
                </c:pt>
                <c:pt idx="333">
                  <c:v>45.585334923183012</c:v>
                </c:pt>
                <c:pt idx="334">
                  <c:v>45.420392761088166</c:v>
                </c:pt>
                <c:pt idx="335">
                  <c:v>45.255427872352783</c:v>
                </c:pt>
                <c:pt idx="336">
                  <c:v>45.090441769569097</c:v>
                </c:pt>
                <c:pt idx="337">
                  <c:v>44.925435959628558</c:v>
                </c:pt>
                <c:pt idx="338">
                  <c:v>44.760411943693953</c:v>
                </c:pt>
                <c:pt idx="339">
                  <c:v>44.595371217171817</c:v>
                </c:pt>
                <c:pt idx="340">
                  <c:v>44.430315269685522</c:v>
                </c:pt>
                <c:pt idx="341">
                  <c:v>44.265245585048497</c:v>
                </c:pt>
                <c:pt idx="342">
                  <c:v>44.100163641238076</c:v>
                </c:pt>
                <c:pt idx="343">
                  <c:v>43.935070910369639</c:v>
                </c:pt>
                <c:pt idx="344">
                  <c:v>43.769968858671206</c:v>
                </c:pt>
                <c:pt idx="345">
                  <c:v>43.604858946458457</c:v>
                </c:pt>
                <c:pt idx="346">
                  <c:v>43.439742628110181</c:v>
                </c:pt>
                <c:pt idx="347">
                  <c:v>43.274621352044036</c:v>
                </c:pt>
                <c:pt idx="348">
                  <c:v>43.109496560692882</c:v>
                </c:pt>
                <c:pt idx="349">
                  <c:v>42.944369690481395</c:v>
                </c:pt>
                <c:pt idx="350">
                  <c:v>42.779242171803141</c:v>
                </c:pt>
                <c:pt idx="351">
                  <c:v>42.614115428998034</c:v>
                </c:pt>
                <c:pt idx="352">
                  <c:v>42.448990880330257</c:v>
                </c:pt>
                <c:pt idx="353">
                  <c:v>42.283869937966529</c:v>
                </c:pt>
                <c:pt idx="354">
                  <c:v>42.118754007954792</c:v>
                </c:pt>
                <c:pt idx="355">
                  <c:v>41.953644490203374</c:v>
                </c:pt>
                <c:pt idx="356">
                  <c:v>41.788542778460382</c:v>
                </c:pt>
                <c:pt idx="357">
                  <c:v>41.62345026029373</c:v>
                </c:pt>
                <c:pt idx="358">
                  <c:v>41.45836831707139</c:v>
                </c:pt>
                <c:pt idx="359">
                  <c:v>41.293298323942082</c:v>
                </c:pt>
                <c:pt idx="360">
                  <c:v>41.128241649816431</c:v>
                </c:pt>
                <c:pt idx="361">
                  <c:v>40.963199657348468</c:v>
                </c:pt>
                <c:pt idx="362">
                  <c:v>40.798173702917516</c:v>
                </c:pt>
                <c:pt idx="363">
                  <c:v>40.633165136610486</c:v>
                </c:pt>
                <c:pt idx="364">
                  <c:v>40.4681753022046</c:v>
                </c:pt>
                <c:pt idx="365">
                  <c:v>40.303205537150475</c:v>
                </c:pt>
                <c:pt idx="366">
                  <c:v>40.192656724896352</c:v>
                </c:pt>
                <c:pt idx="367">
                  <c:v>40.136524771730009</c:v>
                </c:pt>
                <c:pt idx="368">
                  <c:v>40.080369325230137</c:v>
                </c:pt>
                <c:pt idx="369">
                  <c:v>40.024190827179012</c:v>
                </c:pt>
                <c:pt idx="370">
                  <c:v>39.967989718516762</c:v>
                </c:pt>
                <c:pt idx="371">
                  <c:v>39.911766439335061</c:v>
                </c:pt>
                <c:pt idx="372">
                  <c:v>39.85552142887073</c:v>
                </c:pt>
                <c:pt idx="373">
                  <c:v>39.799255125499599</c:v>
                </c:pt>
                <c:pt idx="374">
                  <c:v>39.742967966730127</c:v>
                </c:pt>
                <c:pt idx="375">
                  <c:v>39.686660389197293</c:v>
                </c:pt>
                <c:pt idx="376">
                  <c:v>39.630332828656556</c:v>
                </c:pt>
                <c:pt idx="377">
                  <c:v>39.573985719977657</c:v>
                </c:pt>
                <c:pt idx="378">
                  <c:v>39.517619497138583</c:v>
                </c:pt>
                <c:pt idx="379">
                  <c:v>39.461234593219721</c:v>
                </c:pt>
                <c:pt idx="380">
                  <c:v>39.404831440397714</c:v>
                </c:pt>
                <c:pt idx="381">
                  <c:v>39.289664355176861</c:v>
                </c:pt>
                <c:pt idx="382">
                  <c:v>39.115741889920571</c:v>
                </c:pt>
                <c:pt idx="383">
                  <c:v>38.941858325257755</c:v>
                </c:pt>
                <c:pt idx="384">
                  <c:v>38.768015019892999</c:v>
                </c:pt>
                <c:pt idx="385">
                  <c:v>38.594213325304935</c:v>
                </c:pt>
                <c:pt idx="386">
                  <c:v>38.420454585733864</c:v>
                </c:pt>
                <c:pt idx="387">
                  <c:v>38.246740138169862</c:v>
                </c:pt>
                <c:pt idx="388">
                  <c:v>38.073071312341213</c:v>
                </c:pt>
                <c:pt idx="389">
                  <c:v>37.899449430703378</c:v>
                </c:pt>
                <c:pt idx="390">
                  <c:v>37.725875808428214</c:v>
                </c:pt>
                <c:pt idx="391">
                  <c:v>37.552351753393836</c:v>
                </c:pt>
                <c:pt idx="392">
                  <c:v>37.378878566174592</c:v>
                </c:pt>
                <c:pt idx="393">
                  <c:v>37.205457540031801</c:v>
                </c:pt>
                <c:pt idx="394">
                  <c:v>37.032089960904571</c:v>
                </c:pt>
                <c:pt idx="395">
                  <c:v>36.858777107401224</c:v>
                </c:pt>
                <c:pt idx="396">
                  <c:v>36.685520250791065</c:v>
                </c:pt>
                <c:pt idx="397">
                  <c:v>36.512320654996515</c:v>
                </c:pt>
                <c:pt idx="398">
                  <c:v>36.339179576585757</c:v>
                </c:pt>
                <c:pt idx="399">
                  <c:v>36.166098264765623</c:v>
                </c:pt>
                <c:pt idx="400">
                  <c:v>35.993077961375022</c:v>
                </c:pt>
                <c:pt idx="401">
                  <c:v>35.773978698447642</c:v>
                </c:pt>
                <c:pt idx="402">
                  <c:v>35.50881273079645</c:v>
                </c:pt>
                <c:pt idx="403">
                  <c:v>35.243763569436993</c:v>
                </c:pt>
                <c:pt idx="404">
                  <c:v>34.978833377719539</c:v>
                </c:pt>
                <c:pt idx="405">
                  <c:v>34.714024303094867</c:v>
                </c:pt>
                <c:pt idx="406">
                  <c:v>34.44933847710945</c:v>
                </c:pt>
                <c:pt idx="407">
                  <c:v>34.184778015401378</c:v>
                </c:pt>
                <c:pt idx="408">
                  <c:v>33.920345017697628</c:v>
                </c:pt>
                <c:pt idx="409">
                  <c:v>33.656041567812011</c:v>
                </c:pt>
                <c:pt idx="410">
                  <c:v>33.391869733644334</c:v>
                </c:pt>
                <c:pt idx="411">
                  <c:v>32.873089289802138</c:v>
                </c:pt>
                <c:pt idx="412">
                  <c:v>32.099783135223838</c:v>
                </c:pt>
                <c:pt idx="413">
                  <c:v>31.326938259766607</c:v>
                </c:pt>
                <c:pt idx="414">
                  <c:v>30.554566170677795</c:v>
                </c:pt>
                <c:pt idx="415">
                  <c:v>29.782678255304653</c:v>
                </c:pt>
                <c:pt idx="416">
                  <c:v>29.011285780996804</c:v>
                </c:pt>
                <c:pt idx="417">
                  <c:v>28.24039989502409</c:v>
                </c:pt>
                <c:pt idx="418">
                  <c:v>27.470031624509168</c:v>
                </c:pt>
                <c:pt idx="419">
                  <c:v>26.700191876375392</c:v>
                </c:pt>
                <c:pt idx="420">
                  <c:v>25.786091548336444</c:v>
                </c:pt>
                <c:pt idx="421">
                  <c:v>24.727811267961229</c:v>
                </c:pt>
                <c:pt idx="422">
                  <c:v>23.670314798533294</c:v>
                </c:pt>
                <c:pt idx="423">
                  <c:v>22.613620988601852</c:v>
                </c:pt>
                <c:pt idx="424">
                  <c:v>21.557748462216317</c:v>
                </c:pt>
                <c:pt idx="425">
                  <c:v>20.502715618775191</c:v>
                </c:pt>
                <c:pt idx="426">
                  <c:v>19.448540632909165</c:v>
                </c:pt>
                <c:pt idx="427">
                  <c:v>18.395241454398374</c:v>
                </c:pt>
                <c:pt idx="428">
                  <c:v>17.342835808123098</c:v>
                </c:pt>
                <c:pt idx="429">
                  <c:v>16.291341194047764</c:v>
                </c:pt>
                <c:pt idx="430">
                  <c:v>15.24077488723753</c:v>
                </c:pt>
                <c:pt idx="431">
                  <c:v>14.19115393790746</c:v>
                </c:pt>
                <c:pt idx="432">
                  <c:v>12.909383974191377</c:v>
                </c:pt>
                <c:pt idx="433">
                  <c:v>11.395658799571455</c:v>
                </c:pt>
                <c:pt idx="434">
                  <c:v>9.8833896409475592</c:v>
                </c:pt>
                <c:pt idx="435">
                  <c:v>8.3726102178989894</c:v>
                </c:pt>
                <c:pt idx="436">
                  <c:v>6.8633537828186491</c:v>
                </c:pt>
                <c:pt idx="437">
                  <c:v>5.3556531206742317</c:v>
                </c:pt>
                <c:pt idx="438">
                  <c:v>3.8495405488593306</c:v>
                </c:pt>
                <c:pt idx="439">
                  <c:v>2.3450479171335132</c:v>
                </c:pt>
                <c:pt idx="440">
                  <c:v>0.84220660764992594</c:v>
                </c:pt>
                <c:pt idx="441">
                  <c:v>-0.65895246493050763</c:v>
                </c:pt>
                <c:pt idx="442">
                  <c:v>-2.0169155147157332</c:v>
                </c:pt>
                <c:pt idx="443">
                  <c:v>-3.2318033827140891</c:v>
                </c:pt>
                <c:pt idx="444">
                  <c:v>-4.4452637478155719</c:v>
                </c:pt>
                <c:pt idx="445">
                  <c:v>-5.6572780990570859</c:v>
                </c:pt>
                <c:pt idx="446">
                  <c:v>-6.8678282296701383</c:v>
                </c:pt>
                <c:pt idx="447">
                  <c:v>-8.076896236404032</c:v>
                </c:pt>
                <c:pt idx="448">
                  <c:v>-9.2844645188095214</c:v>
                </c:pt>
                <c:pt idx="449">
                  <c:v>-10.49051577848388</c:v>
                </c:pt>
                <c:pt idx="450">
                  <c:v>-11.69503301827786</c:v>
                </c:pt>
                <c:pt idx="451">
                  <c:v>-12.897999541465486</c:v>
                </c:pt>
                <c:pt idx="452">
                  <c:v>-14.099398950877173</c:v>
                </c:pt>
                <c:pt idx="453">
                  <c:v>-15.096725970976342</c:v>
                </c:pt>
                <c:pt idx="454">
                  <c:v>-15.890230199787023</c:v>
                </c:pt>
                <c:pt idx="455">
                  <c:v>-16.682682911456201</c:v>
                </c:pt>
                <c:pt idx="456">
                  <c:v>-17.474078732522624</c:v>
                </c:pt>
                <c:pt idx="457">
                  <c:v>-18.264412413664672</c:v>
                </c:pt>
                <c:pt idx="458">
                  <c:v>-19.053678829080681</c:v>
                </c:pt>
                <c:pt idx="459">
                  <c:v>-19.841872975862518</c:v>
                </c:pt>
                <c:pt idx="460">
                  <c:v>-20.628989973362586</c:v>
                </c:pt>
                <c:pt idx="461">
                  <c:v>-21.232849536604256</c:v>
                </c:pt>
                <c:pt idx="462">
                  <c:v>-21.653704427347982</c:v>
                </c:pt>
                <c:pt idx="463">
                  <c:v>-22.073998365866448</c:v>
                </c:pt>
                <c:pt idx="464">
                  <c:v>-22.493731195819755</c:v>
                </c:pt>
                <c:pt idx="465">
                  <c:v>-22.912902790606761</c:v>
                </c:pt>
                <c:pt idx="466">
                  <c:v>-23.484537427451784</c:v>
                </c:pt>
                <c:pt idx="467">
                  <c:v>-24.208413362211964</c:v>
                </c:pt>
                <c:pt idx="468">
                  <c:v>-26.635335498706315</c:v>
                </c:pt>
                <c:pt idx="469">
                  <c:v>-28.677370947995691</c:v>
                </c:pt>
                <c:pt idx="470">
                  <c:v>-28.631046879269434</c:v>
                </c:pt>
                <c:pt idx="471">
                  <c:v>-28.584861009049103</c:v>
                </c:pt>
                <c:pt idx="472">
                  <c:v>-28.538812783017313</c:v>
                </c:pt>
                <c:pt idx="473">
                  <c:v>-28.492901649652094</c:v>
                </c:pt>
                <c:pt idx="474">
                  <c:v>-28.447127060209759</c:v>
                </c:pt>
                <c:pt idx="475">
                  <c:v>-28.401488468708123</c:v>
                </c:pt>
                <c:pt idx="476">
                  <c:v>-28.355985331909565</c:v>
                </c:pt>
                <c:pt idx="477">
                  <c:v>-28.310617109304438</c:v>
                </c:pt>
                <c:pt idx="478">
                  <c:v>-28.265383263094435</c:v>
                </c:pt>
                <c:pt idx="479">
                  <c:v>-28.220283258176231</c:v>
                </c:pt>
                <c:pt idx="480">
                  <c:v>-28.175316562125094</c:v>
                </c:pt>
                <c:pt idx="481">
                  <c:v>-28.130482645178681</c:v>
                </c:pt>
                <c:pt idx="482">
                  <c:v>-28.085780980220939</c:v>
                </c:pt>
                <c:pt idx="483">
                  <c:v>-28.041211042766157</c:v>
                </c:pt>
                <c:pt idx="484">
                  <c:v>-27.996772310943051</c:v>
                </c:pt>
                <c:pt idx="485">
                  <c:v>-27.952464265478998</c:v>
                </c:pt>
                <c:pt idx="486">
                  <c:v>-27.908286389684491</c:v>
                </c:pt>
                <c:pt idx="487">
                  <c:v>-27.864238169437421</c:v>
                </c:pt>
                <c:pt idx="488">
                  <c:v>-27.820319093167818</c:v>
                </c:pt>
                <c:pt idx="489">
                  <c:v>-27.776528651842455</c:v>
                </c:pt>
                <c:pt idx="490">
                  <c:v>-27.73286633894962</c:v>
                </c:pt>
                <c:pt idx="491">
                  <c:v>-27.689331650484043</c:v>
                </c:pt>
                <c:pt idx="492">
                  <c:v>-27.645924084931899</c:v>
                </c:pt>
                <c:pt idx="493">
                  <c:v>-27.602643143255857</c:v>
                </c:pt>
                <c:pt idx="494">
                  <c:v>-27.559488328880391</c:v>
                </c:pt>
                <c:pt idx="495">
                  <c:v>-27.51645914767699</c:v>
                </c:pt>
                <c:pt idx="496">
                  <c:v>-27.473555107949622</c:v>
                </c:pt>
                <c:pt idx="497">
                  <c:v>-27.430775720420243</c:v>
                </c:pt>
                <c:pt idx="498">
                  <c:v>-27.388120498214413</c:v>
                </c:pt>
                <c:pt idx="499">
                  <c:v>-27.345588956847003</c:v>
                </c:pt>
                <c:pt idx="500">
                  <c:v>-27.303180614208067</c:v>
                </c:pt>
                <c:pt idx="501">
                  <c:v>-27.260894990548611</c:v>
                </c:pt>
                <c:pt idx="502">
                  <c:v>-26.842133810513474</c:v>
                </c:pt>
                <c:pt idx="503">
                  <c:v>-26.435308267110035</c:v>
                </c:pt>
                <c:pt idx="504">
                  <c:v>-26.039964239321602</c:v>
                </c:pt>
                <c:pt idx="505">
                  <c:v>-25.655669140516554</c:v>
                </c:pt>
                <c:pt idx="506">
                  <c:v>-25.282010691842601</c:v>
                </c:pt>
                <c:pt idx="507">
                  <c:v>-24.918595776587601</c:v>
                </c:pt>
                <c:pt idx="508">
                  <c:v>-24.565049369425253</c:v>
                </c:pt>
                <c:pt idx="509">
                  <c:v>-24.221013534974276</c:v>
                </c:pt>
                <c:pt idx="510">
                  <c:v>-23.886146490562716</c:v>
                </c:pt>
                <c:pt idx="511">
                  <c:v>-23.560121728509692</c:v>
                </c:pt>
                <c:pt idx="512">
                  <c:v>-23.242627193618645</c:v>
                </c:pt>
                <c:pt idx="513">
                  <c:v>-22.933364511924928</c:v>
                </c:pt>
                <c:pt idx="514">
                  <c:v>-22.632048267056341</c:v>
                </c:pt>
                <c:pt idx="515">
                  <c:v>-22.338405320854811</c:v>
                </c:pt>
                <c:pt idx="516">
                  <c:v>-22.052174175170595</c:v>
                </c:pt>
                <c:pt idx="517">
                  <c:v>-21.773104371980804</c:v>
                </c:pt>
                <c:pt idx="518">
                  <c:v>-21.500955929204324</c:v>
                </c:pt>
                <c:pt idx="519">
                  <c:v>-21.235498809785874</c:v>
                </c:pt>
                <c:pt idx="520">
                  <c:v>-20.976512421806376</c:v>
                </c:pt>
                <c:pt idx="521">
                  <c:v>-20.723785147545222</c:v>
                </c:pt>
                <c:pt idx="522">
                  <c:v>-20.477113899574647</c:v>
                </c:pt>
                <c:pt idx="523">
                  <c:v>-20.236303702108405</c:v>
                </c:pt>
                <c:pt idx="524">
                  <c:v>-20.001167295956975</c:v>
                </c:pt>
                <c:pt idx="525">
                  <c:v>-19.771524765561288</c:v>
                </c:pt>
                <c:pt idx="526">
                  <c:v>-19.547203186686993</c:v>
                </c:pt>
                <c:pt idx="527">
                  <c:v>-19.328036293462528</c:v>
                </c:pt>
                <c:pt idx="528">
                  <c:v>-19.113864163537254</c:v>
                </c:pt>
                <c:pt idx="529">
                  <c:v>-18.904532920222294</c:v>
                </c:pt>
                <c:pt idx="530">
                  <c:v>-18.699894450555163</c:v>
                </c:pt>
                <c:pt idx="531">
                  <c:v>-18.499806138303065</c:v>
                </c:pt>
                <c:pt idx="532">
                  <c:v>-18.304130610986594</c:v>
                </c:pt>
                <c:pt idx="533">
                  <c:v>-18.11273550006819</c:v>
                </c:pt>
                <c:pt idx="534">
                  <c:v>-17.925493213507082</c:v>
                </c:pt>
                <c:pt idx="535">
                  <c:v>-17.742280719935735</c:v>
                </c:pt>
                <c:pt idx="536">
                  <c:v>-17.562979343762144</c:v>
                </c:pt>
                <c:pt idx="537">
                  <c:v>-17.387474570547713</c:v>
                </c:pt>
                <c:pt idx="538">
                  <c:v>-17.215655862052976</c:v>
                </c:pt>
                <c:pt idx="539">
                  <c:v>-17.047416480382228</c:v>
                </c:pt>
                <c:pt idx="540">
                  <c:v>-16.882653320694669</c:v>
                </c:pt>
                <c:pt idx="541">
                  <c:v>-16.721266751983244</c:v>
                </c:pt>
                <c:pt idx="542">
                  <c:v>-16.563160465453542</c:v>
                </c:pt>
                <c:pt idx="543">
                  <c:v>-16.408241330064172</c:v>
                </c:pt>
                <c:pt idx="544">
                  <c:v>-16.256419254816979</c:v>
                </c:pt>
                <c:pt idx="545">
                  <c:v>-16.107607057410434</c:v>
                </c:pt>
                <c:pt idx="546">
                  <c:v>-15.961720338892771</c:v>
                </c:pt>
                <c:pt idx="547">
                  <c:v>-15.818677363973215</c:v>
                </c:pt>
                <c:pt idx="548">
                  <c:v>-15.678398946669533</c:v>
                </c:pt>
                <c:pt idx="549">
                  <c:v>-15.54080834098894</c:v>
                </c:pt>
                <c:pt idx="550">
                  <c:v>-15.405831136356881</c:v>
                </c:pt>
                <c:pt idx="551">
                  <c:v>-15.273395157524202</c:v>
                </c:pt>
                <c:pt idx="552">
                  <c:v>-15.143430368698423</c:v>
                </c:pt>
                <c:pt idx="553">
                  <c:v>-15.015868781658799</c:v>
                </c:pt>
                <c:pt idx="554">
                  <c:v>-14.89064436762785</c:v>
                </c:pt>
                <c:pt idx="555">
                  <c:v>-14.767692972684234</c:v>
                </c:pt>
                <c:pt idx="556">
                  <c:v>-14.64695223651308</c:v>
                </c:pt>
                <c:pt idx="557">
                  <c:v>-14.528361514300366</c:v>
                </c:pt>
                <c:pt idx="558">
                  <c:v>-14.411861801587701</c:v>
                </c:pt>
                <c:pt idx="559">
                  <c:v>-14.297395661912933</c:v>
                </c:pt>
                <c:pt idx="560">
                  <c:v>-14.184907157070375</c:v>
                </c:pt>
                <c:pt idx="561">
                  <c:v>-14.074341779832217</c:v>
                </c:pt>
                <c:pt idx="562">
                  <c:v>-13.96564638898001</c:v>
                </c:pt>
                <c:pt idx="563">
                  <c:v>-13.858769146501603</c:v>
                </c:pt>
                <c:pt idx="564">
                  <c:v>-13.753659456815324</c:v>
                </c:pt>
                <c:pt idx="565">
                  <c:v>-13.65026790788864</c:v>
                </c:pt>
                <c:pt idx="566">
                  <c:v>-13.548546214123936</c:v>
                </c:pt>
                <c:pt idx="567">
                  <c:v>-13.448447160888769</c:v>
                </c:pt>
                <c:pt idx="568">
                  <c:v>-13.349924550572407</c:v>
                </c:pt>
                <c:pt idx="569">
                  <c:v>-13.252933150054378</c:v>
                </c:pt>
                <c:pt idx="570">
                  <c:v>-13.157428639474496</c:v>
                </c:pt>
                <c:pt idx="571">
                  <c:v>-13.063367562196992</c:v>
                </c:pt>
                <c:pt idx="572">
                  <c:v>-12.970707275864445</c:v>
                </c:pt>
                <c:pt idx="573">
                  <c:v>-12.879405904439682</c:v>
                </c:pt>
                <c:pt idx="574">
                  <c:v>-12.789422291136241</c:v>
                </c:pt>
                <c:pt idx="575">
                  <c:v>-12.700715952139909</c:v>
                </c:pt>
                <c:pt idx="576">
                  <c:v>-12.613247031025587</c:v>
                </c:pt>
                <c:pt idx="577">
                  <c:v>-12.526976253775121</c:v>
                </c:pt>
                <c:pt idx="578">
                  <c:v>-12.441864884303</c:v>
                </c:pt>
                <c:pt idx="579">
                  <c:v>-12.357874680397575</c:v>
                </c:pt>
                <c:pt idx="580">
                  <c:v>-12.274967849986135</c:v>
                </c:pt>
                <c:pt idx="581">
                  <c:v>-12.193107007632641</c:v>
                </c:pt>
                <c:pt idx="582">
                  <c:v>-12.112255131176951</c:v>
                </c:pt>
                <c:pt idx="583">
                  <c:v>-12.032375518424349</c:v>
                </c:pt>
                <c:pt idx="584">
                  <c:v>-11.953431743793786</c:v>
                </c:pt>
                <c:pt idx="585">
                  <c:v>-11.875387614832874</c:v>
                </c:pt>
                <c:pt idx="586">
                  <c:v>-11.798207128506718</c:v>
                </c:pt>
                <c:pt idx="587">
                  <c:v>-11.721854427166861</c:v>
                </c:pt>
                <c:pt idx="588">
                  <c:v>-11.646293754105422</c:v>
                </c:pt>
                <c:pt idx="589">
                  <c:v>-11.571489408598172</c:v>
                </c:pt>
                <c:pt idx="590">
                  <c:v>-11.497405700338824</c:v>
                </c:pt>
                <c:pt idx="591">
                  <c:v>-11.424006903165102</c:v>
                </c:pt>
                <c:pt idx="592">
                  <c:v>-11.351257207975468</c:v>
                </c:pt>
                <c:pt idx="593">
                  <c:v>-11.279120674733345</c:v>
                </c:pt>
                <c:pt idx="594">
                  <c:v>-11.2075611834538</c:v>
                </c:pt>
                <c:pt idx="595">
                  <c:v>-11.136542384065489</c:v>
                </c:pt>
                <c:pt idx="596">
                  <c:v>-11.066027645038639</c:v>
                </c:pt>
                <c:pt idx="597">
                  <c:v>-10.995980000667714</c:v>
                </c:pt>
                <c:pt idx="598">
                  <c:v>-10.926362096895376</c:v>
                </c:pt>
                <c:pt idx="599">
                  <c:v>-10.857136135562483</c:v>
                </c:pt>
                <c:pt idx="600">
                  <c:v>-10.788263816967008</c:v>
                </c:pt>
                <c:pt idx="601">
                  <c:v>-10.719706280613398</c:v>
                </c:pt>
                <c:pt idx="602">
                  <c:v>-10.651424044032579</c:v>
                </c:pt>
                <c:pt idx="603">
                  <c:v>-10.583376939552194</c:v>
                </c:pt>
                <c:pt idx="604">
                  <c:v>-10.515524048896438</c:v>
                </c:pt>
                <c:pt idx="605">
                  <c:v>-10.447823635495332</c:v>
                </c:pt>
                <c:pt idx="606">
                  <c:v>-10.380233074384783</c:v>
                </c:pt>
                <c:pt idx="607">
                  <c:v>-10.312708779580987</c:v>
                </c:pt>
                <c:pt idx="608">
                  <c:v>-10.245206128816593</c:v>
                </c:pt>
                <c:pt idx="609">
                  <c:v>-10.177679385531063</c:v>
                </c:pt>
                <c:pt idx="610">
                  <c:v>-10.110081618014709</c:v>
                </c:pt>
                <c:pt idx="611">
                  <c:v>-10.042364615614794</c:v>
                </c:pt>
                <c:pt idx="612">
                  <c:v>-9.9744788019237891</c:v>
                </c:pt>
                <c:pt idx="613">
                  <c:v>-9.9063731448840961</c:v>
                </c:pt>
                <c:pt idx="614">
                  <c:v>-9.8379950637614364</c:v>
                </c:pt>
                <c:pt idx="615">
                  <c:v>-9.7692903329608907</c:v>
                </c:pt>
                <c:pt idx="616">
                  <c:v>-9.7002029826856138</c:v>
                </c:pt>
                <c:pt idx="617">
                  <c:v>-9.6306751964699906</c:v>
                </c:pt>
                <c:pt idx="618">
                  <c:v>-9.5606472056563625</c:v>
                </c:pt>
                <c:pt idx="619">
                  <c:v>-9.4900571809289911</c:v>
                </c:pt>
                <c:pt idx="620">
                  <c:v>-9.4188411210711944</c:v>
                </c:pt>
                <c:pt idx="621">
                  <c:v>-9.346932739173015</c:v>
                </c:pt>
                <c:pt idx="622">
                  <c:v>-9.2742633465883113</c:v>
                </c:pt>
                <c:pt idx="623">
                  <c:v>-9.2007617350232564</c:v>
                </c:pt>
                <c:pt idx="624">
                  <c:v>-9.1263540572344883</c:v>
                </c:pt>
                <c:pt idx="625">
                  <c:v>-9.0509637069258915</c:v>
                </c:pt>
                <c:pt idx="626">
                  <c:v>-8.9745111985602062</c:v>
                </c:pt>
                <c:pt idx="627">
                  <c:v>-8.8969140479470621</c:v>
                </c:pt>
                <c:pt idx="628">
                  <c:v>-8.8180866546346852</c:v>
                </c:pt>
                <c:pt idx="629">
                  <c:v>-8.737940187320266</c:v>
                </c:pt>
                <c:pt idx="630">
                  <c:v>-8.656382473706282</c:v>
                </c:pt>
                <c:pt idx="631">
                  <c:v>-8.5733178964686019</c:v>
                </c:pt>
                <c:pt idx="632">
                  <c:v>-8.4886472972693845</c:v>
                </c:pt>
                <c:pt idx="633">
                  <c:v>-8.402267891045323</c:v>
                </c:pt>
                <c:pt idx="634">
                  <c:v>-8.314073193131426</c:v>
                </c:pt>
                <c:pt idx="635">
                  <c:v>-8.2239529621436045</c:v>
                </c:pt>
                <c:pt idx="636">
                  <c:v>-8.131793161940406</c:v>
                </c:pt>
                <c:pt idx="637">
                  <c:v>-8.0374759464155456</c:v>
                </c:pt>
                <c:pt idx="638">
                  <c:v>-7.9408796713371448</c:v>
                </c:pt>
                <c:pt idx="639">
                  <c:v>-7.8418789379445251</c:v>
                </c:pt>
                <c:pt idx="640">
                  <c:v>-7.7403446735349419</c:v>
                </c:pt>
                <c:pt idx="641">
                  <c:v>-7.636144254814651</c:v>
                </c:pt>
                <c:pt idx="642">
                  <c:v>-7.5291416803422875</c:v>
                </c:pt>
                <c:pt idx="643">
                  <c:v>-7.4191977989459819</c:v>
                </c:pt>
                <c:pt idx="644">
                  <c:v>-7.3061706015332852</c:v>
                </c:pt>
                <c:pt idx="645">
                  <c:v>-7.1899155842149538</c:v>
                </c:pt>
                <c:pt idx="646">
                  <c:v>-7.0702861911052715</c:v>
                </c:pt>
                <c:pt idx="647">
                  <c:v>-6.9471343455124703</c:v>
                </c:pt>
                <c:pt idx="648">
                  <c:v>-6.8203110784568963</c:v>
                </c:pt>
                <c:pt idx="649">
                  <c:v>-6.6896672635090866</c:v>
                </c:pt>
                <c:pt idx="650">
                  <c:v>-6.5550544667761947</c:v>
                </c:pt>
                <c:pt idx="651">
                  <c:v>-6.4163259204278358</c:v>
                </c:pt>
                <c:pt idx="652">
                  <c:v>-6.2733376273809904</c:v>
                </c:pt>
                <c:pt idx="653">
                  <c:v>-6.1259496035934342</c:v>
                </c:pt>
                <c:pt idx="654">
                  <c:v>-5.9740272627794875</c:v>
                </c:pt>
                <c:pt idx="655">
                  <c:v>-5.8174429461950492</c:v>
                </c:pt>
                <c:pt idx="656">
                  <c:v>-5.6560775973804356</c:v>
                </c:pt>
                <c:pt idx="657">
                  <c:v>-5.4898225783490382</c:v>
                </c:pt>
                <c:pt idx="658">
                  <c:v>-5.3185816196340907</c:v>
                </c:pt>
                <c:pt idx="659">
                  <c:v>-5.1422728918451961</c:v>
                </c:pt>
                <c:pt idx="660">
                  <c:v>-4.9608311809644521</c:v>
                </c:pt>
                <c:pt idx="661">
                  <c:v>-4.7742101435934039</c:v>
                </c:pt>
                <c:pt idx="662">
                  <c:v>-4.5823846118614364</c:v>
                </c:pt>
                <c:pt idx="663">
                  <c:v>-4.3853529108958691</c:v>
                </c:pt>
                <c:pt idx="664">
                  <c:v>-4.1831391448687834</c:v>
                </c:pt>
                <c:pt idx="665">
                  <c:v>-3.9757954009758496</c:v>
                </c:pt>
                <c:pt idx="666">
                  <c:v>-3.7634038146296716</c:v>
                </c:pt>
                <c:pt idx="667">
                  <c:v>-3.5460784340796527</c:v>
                </c:pt>
                <c:pt idx="668">
                  <c:v>-3.3239668190534442</c:v>
                </c:pt>
                <c:pt idx="669">
                  <c:v>-3.097251306315759</c:v>
                </c:pt>
                <c:pt idx="670">
                  <c:v>-2.8661498757037944</c:v>
                </c:pt>
                <c:pt idx="671">
                  <c:v>-2.6309165536121304</c:v>
                </c:pt>
                <c:pt idx="672">
                  <c:v>-2.3918412973516467</c:v>
                </c:pt>
                <c:pt idx="673">
                  <c:v>-2.149249313442259</c:v>
                </c:pt>
                <c:pt idx="674">
                  <c:v>-1.9034997756817038</c:v>
                </c:pt>
                <c:pt idx="675">
                  <c:v>-1.6549839245151015</c:v>
                </c:pt>
                <c:pt idx="676">
                  <c:v>-1.4041225473387893</c:v>
                </c:pt>
                <c:pt idx="677">
                  <c:v>-1.151362859210552</c:v>
                </c:pt>
                <c:pt idx="678">
                  <c:v>-0.89717482411365213</c:v>
                </c:pt>
                <c:pt idx="679">
                  <c:v>-0.64204697739226413</c:v>
                </c:pt>
                <c:pt idx="680">
                  <c:v>-0.38648182911930173</c:v>
                </c:pt>
                <c:pt idx="681">
                  <c:v>-0.1309909448565644</c:v>
                </c:pt>
                <c:pt idx="682">
                  <c:v>0.12391018650135077</c:v>
                </c:pt>
                <c:pt idx="683">
                  <c:v>0.37770737918349789</c:v>
                </c:pt>
                <c:pt idx="684">
                  <c:v>0.62989294864690493</c:v>
                </c:pt>
                <c:pt idx="685">
                  <c:v>0.87997075979526829</c:v>
                </c:pt>
                <c:pt idx="686">
                  <c:v>1.1274610099826667</c:v>
                </c:pt>
                <c:pt idx="687">
                  <c:v>1.3719046423598902</c:v>
                </c:pt>
                <c:pt idx="688">
                  <c:v>1.6128672999940754</c:v>
                </c:pt>
                <c:pt idx="689">
                  <c:v>1.8499427491241947</c:v>
                </c:pt>
                <c:pt idx="690">
                  <c:v>2.082755719829708</c:v>
                </c:pt>
                <c:pt idx="691">
                  <c:v>2.3109641331538877</c:v>
                </c:pt>
                <c:pt idx="692">
                  <c:v>2.5342607042352636</c:v>
                </c:pt>
                <c:pt idx="693">
                  <c:v>2.7523739302690649</c:v>
                </c:pt>
                <c:pt idx="694">
                  <c:v>2.9650684893261152</c:v>
                </c:pt>
                <c:pt idx="695">
                  <c:v>3.1721450905910551</c:v>
                </c:pt>
                <c:pt idx="696">
                  <c:v>3.3734398280649018</c:v>
                </c:pt>
                <c:pt idx="697">
                  <c:v>3.568823098052071</c:v>
                </c:pt>
                <c:pt idx="698">
                  <c:v>3.7581981458641298</c:v>
                </c:pt>
                <c:pt idx="699">
                  <c:v>3.941499309334064</c:v>
                </c:pt>
                <c:pt idx="700">
                  <c:v>4.1186900262840114</c:v>
                </c:pt>
                <c:pt idx="701">
                  <c:v>4.2897606704466735</c:v>
                </c:pt>
                <c:pt idx="702">
                  <c:v>4.4547262759679223</c:v>
                </c:pt>
                <c:pt idx="703">
                  <c:v>4.6136242049817699</c:v>
                </c:pt>
                <c:pt idx="704">
                  <c:v>4.7665118062917573</c:v>
                </c:pt>
                <c:pt idx="705">
                  <c:v>4.9134641063125608</c:v>
                </c:pt>
                <c:pt idx="706">
                  <c:v>5.0545715664617363</c:v>
                </c:pt>
                <c:pt idx="707">
                  <c:v>5.1899379344185652</c:v>
                </c:pt>
                <c:pt idx="708">
                  <c:v>5.3196782102947706</c:v>
                </c:pt>
                <c:pt idx="709">
                  <c:v>5.4439167429378053</c:v>
                </c:pt>
                <c:pt idx="710">
                  <c:v>5.5627854664042395</c:v>
                </c:pt>
                <c:pt idx="711">
                  <c:v>5.6764222821441415</c:v>
                </c:pt>
                <c:pt idx="712">
                  <c:v>5.784969588634679</c:v>
                </c:pt>
                <c:pt idx="713">
                  <c:v>5.8885729570711103</c:v>
                </c:pt>
                <c:pt idx="714">
                  <c:v>5.9873799492228628</c:v>
                </c:pt>
                <c:pt idx="715">
                  <c:v>6.0815390716352127</c:v>
                </c:pt>
                <c:pt idx="716">
                  <c:v>6.1711988589382125</c:v>
                </c:pt>
                <c:pt idx="717">
                  <c:v>6.2565070780465133</c:v>
                </c:pt>
                <c:pt idx="718">
                  <c:v>6.3376100444291152</c:v>
                </c:pt>
                <c:pt idx="719">
                  <c:v>6.4146520413328565</c:v>
                </c:pt>
                <c:pt idx="720">
                  <c:v>6.4877748327983191</c:v>
                </c:pt>
                <c:pt idx="721">
                  <c:v>6.5571172614586164</c:v>
                </c:pt>
                <c:pt idx="722">
                  <c:v>6.6228149224134647</c:v>
                </c:pt>
                <c:pt idx="723">
                  <c:v>6.6849999048826358</c:v>
                </c:pt>
                <c:pt idx="724">
                  <c:v>6.7438005938307004</c:v>
                </c:pt>
                <c:pt idx="725">
                  <c:v>6.7993415242905542</c:v>
                </c:pt>
                <c:pt idx="726">
                  <c:v>6.851743281674036</c:v>
                </c:pt>
                <c:pt idx="727">
                  <c:v>6.9011224419259518</c:v>
                </c:pt>
                <c:pt idx="728">
                  <c:v>6.9475915459390194</c:v>
                </c:pt>
                <c:pt idx="729">
                  <c:v>6.9912591031913669</c:v>
                </c:pt>
                <c:pt idx="730">
                  <c:v>7.0322296200875467</c:v>
                </c:pt>
                <c:pt idx="731">
                  <c:v>7.0706036489735489</c:v>
                </c:pt>
                <c:pt idx="732">
                  <c:v>7.106477854252816</c:v>
                </c:pt>
                <c:pt idx="733">
                  <c:v>7.1399450924521108</c:v>
                </c:pt>
                <c:pt idx="734">
                  <c:v>7.1710945034726361</c:v>
                </c:pt>
                <c:pt idx="735">
                  <c:v>7.2000116106138838</c:v>
                </c:pt>
                <c:pt idx="736">
                  <c:v>7.2267784272758728</c:v>
                </c:pt>
                <c:pt idx="737">
                  <c:v>7.2514735685317362</c:v>
                </c:pt>
                <c:pt idx="738">
                  <c:v>7.2741723660187212</c:v>
                </c:pt>
                <c:pt idx="739">
                  <c:v>7.2949469848235289</c:v>
                </c:pt>
                <c:pt idx="740">
                  <c:v>7.313866541240059</c:v>
                </c:pt>
                <c:pt idx="741">
                  <c:v>7.3309972204557567</c:v>
                </c:pt>
                <c:pt idx="742">
                  <c:v>7.3464023933793978</c:v>
                </c:pt>
                <c:pt idx="743">
                  <c:v>7.3601427319602664</c:v>
                </c:pt>
                <c:pt idx="744">
                  <c:v>7.3722763224679673</c:v>
                </c:pt>
                <c:pt idx="745">
                  <c:v>7.382858776305917</c:v>
                </c:pt>
                <c:pt idx="746">
                  <c:v>7.3919433380211172</c:v>
                </c:pt>
                <c:pt idx="747">
                  <c:v>7.3995809902498975</c:v>
                </c:pt>
                <c:pt idx="748">
                  <c:v>7.4058205554055236</c:v>
                </c:pt>
                <c:pt idx="749">
                  <c:v>7.4107087939697518</c:v>
                </c:pt>
                <c:pt idx="750">
                  <c:v>7.4142904992983869</c:v>
                </c:pt>
                <c:pt idx="751">
                  <c:v>7.4166085888910445</c:v>
                </c:pt>
                <c:pt idx="752">
                  <c:v>7.4177041921092215</c:v>
                </c:pt>
                <c:pt idx="753">
                  <c:v>7.4176167343547483</c:v>
                </c:pt>
                <c:pt idx="754">
                  <c:v>7.4163840177439395</c:v>
                </c:pt>
                <c:pt idx="755">
                  <c:v>7.4140422983315428</c:v>
                </c:pt>
                <c:pt idx="756">
                  <c:v>7.4106263599538558</c:v>
                </c:pt>
                <c:pt idx="757">
                  <c:v>7.4061695847723579</c:v>
                </c:pt>
                <c:pt idx="758">
                  <c:v>7.4007040206085986</c:v>
                </c:pt>
                <c:pt idx="759">
                  <c:v>7.3942604451680385</c:v>
                </c:pt>
                <c:pt idx="760">
                  <c:v>7.3868684272556955</c:v>
                </c:pt>
                <c:pt idx="761">
                  <c:v>7.378556385089782</c:v>
                </c:pt>
                <c:pt idx="762">
                  <c:v>7.3693516418216261</c:v>
                </c:pt>
                <c:pt idx="763">
                  <c:v>7.359280478370974</c:v>
                </c:pt>
                <c:pt idx="764">
                  <c:v>7.3483681836857677</c:v>
                </c:pt>
                <c:pt idx="765">
                  <c:v>7.3366391025344644</c:v>
                </c:pt>
                <c:pt idx="766">
                  <c:v>7.3241166809376521</c:v>
                </c:pt>
                <c:pt idx="767">
                  <c:v>7.3108235093434217</c:v>
                </c:pt>
                <c:pt idx="768">
                  <c:v>7.2967813636487344</c:v>
                </c:pt>
                <c:pt idx="769">
                  <c:v>7.282011244166064</c:v>
                </c:pt>
                <c:pt idx="770">
                  <c:v>7.2665334126317287</c:v>
                </c:pt>
                <c:pt idx="771">
                  <c:v>7.2503674273489986</c:v>
                </c:pt>
                <c:pt idx="772">
                  <c:v>7.2335321765558831</c:v>
                </c:pt>
                <c:pt idx="773">
                  <c:v>7.2160459101040271</c:v>
                </c:pt>
                <c:pt idx="774">
                  <c:v>7.1979262695317887</c:v>
                </c:pt>
                <c:pt idx="775">
                  <c:v>7.1791903166111082</c:v>
                </c:pt>
                <c:pt idx="776">
                  <c:v>7.1598545604444528</c:v>
                </c:pt>
                <c:pt idx="777">
                  <c:v>7.139934983184661</c:v>
                </c:pt>
                <c:pt idx="778">
                  <c:v>7.1194470644473835</c:v>
                </c:pt>
                <c:pt idx="779">
                  <c:v>7.0984058044824678</c:v>
                </c:pt>
                <c:pt idx="780">
                  <c:v>7.0768257461675788</c:v>
                </c:pt>
                <c:pt idx="781">
                  <c:v>7.054720995884356</c:v>
                </c:pt>
                <c:pt idx="782">
                  <c:v>7.0321052433344189</c:v>
                </c:pt>
                <c:pt idx="783">
                  <c:v>7.0089917803497368</c:v>
                </c:pt>
                <c:pt idx="784">
                  <c:v>6.9853935187492269</c:v>
                </c:pt>
                <c:pt idx="785">
                  <c:v>6.9613230072907415</c:v>
                </c:pt>
                <c:pt idx="786">
                  <c:v>6.9367924477652121</c:v>
                </c:pt>
                <c:pt idx="787">
                  <c:v>6.9118137102772517</c:v>
                </c:pt>
                <c:pt idx="788">
                  <c:v>6.8863983477543282</c:v>
                </c:pt>
                <c:pt idx="789">
                  <c:v>6.8605576097243528</c:v>
                </c:pt>
                <c:pt idx="790">
                  <c:v>6.8343024553995209</c:v>
                </c:pt>
                <c:pt idx="791">
                  <c:v>6.8076435661022767</c:v>
                </c:pt>
                <c:pt idx="792">
                  <c:v>6.7805913570673457</c:v>
                </c:pt>
                <c:pt idx="793">
                  <c:v>6.7531559886520274</c:v>
                </c:pt>
                <c:pt idx="794">
                  <c:v>6.725347376985285</c:v>
                </c:pt>
                <c:pt idx="795">
                  <c:v>6.6971752040844761</c:v>
                </c:pt>
                <c:pt idx="796">
                  <c:v>6.6686489274671175</c:v>
                </c:pt>
                <c:pt idx="797">
                  <c:v>6.6397777892836123</c:v>
                </c:pt>
                <c:pt idx="798">
                  <c:v>6.6105708249954773</c:v>
                </c:pt>
                <c:pt idx="799">
                  <c:v>6.5810368716223344</c:v>
                </c:pt>
                <c:pt idx="800">
                  <c:v>6.5511845755796791</c:v>
                </c:pt>
                <c:pt idx="801">
                  <c:v>6.5210224001283166</c:v>
                </c:pt>
                <c:pt idx="802">
                  <c:v>6.4905586324551869</c:v>
                </c:pt>
                <c:pt idx="803">
                  <c:v>6.4598013904043299</c:v>
                </c:pt>
                <c:pt idx="804">
                  <c:v>6.4287586288756975</c:v>
                </c:pt>
                <c:pt idx="805">
                  <c:v>6.3974381459086427</c:v>
                </c:pt>
                <c:pt idx="806">
                  <c:v>6.3658475884659591</c:v>
                </c:pt>
                <c:pt idx="807">
                  <c:v>6.3339944579335743</c:v>
                </c:pt>
                <c:pt idx="808">
                  <c:v>6.3018861153502268</c:v>
                </c:pt>
                <c:pt idx="809">
                  <c:v>6.2695297863805681</c:v>
                </c:pt>
                <c:pt idx="810">
                  <c:v>6.236932566044656</c:v>
                </c:pt>
                <c:pt idx="811">
                  <c:v>6.2041014232159171</c:v>
                </c:pt>
                <c:pt idx="812">
                  <c:v>6.1710432048991573</c:v>
                </c:pt>
                <c:pt idx="813">
                  <c:v>6.1377646402995678</c:v>
                </c:pt>
                <c:pt idx="814">
                  <c:v>6.1042723446930829</c:v>
                </c:pt>
                <c:pt idx="815">
                  <c:v>6.0705728231079634</c:v>
                </c:pt>
                <c:pt idx="816">
                  <c:v>6.0366724738269237</c:v>
                </c:pt>
                <c:pt idx="817">
                  <c:v>6.0025775917186781</c:v>
                </c:pt>
                <c:pt idx="818">
                  <c:v>5.9682943714073238</c:v>
                </c:pt>
                <c:pt idx="819">
                  <c:v>5.9338289102875139</c:v>
                </c:pt>
                <c:pt idx="820">
                  <c:v>5.8991872113930643</c:v>
                </c:pt>
                <c:pt idx="821">
                  <c:v>5.8643751861261126</c:v>
                </c:pt>
                <c:pt idx="822">
                  <c:v>5.8293986568537353</c:v>
                </c:pt>
                <c:pt idx="823">
                  <c:v>5.7942633593784807</c:v>
                </c:pt>
                <c:pt idx="824">
                  <c:v>5.758974945288994</c:v>
                </c:pt>
                <c:pt idx="825">
                  <c:v>5.7235389841966029</c:v>
                </c:pt>
                <c:pt idx="826">
                  <c:v>5.6879609658634465</c:v>
                </c:pt>
                <c:pt idx="827">
                  <c:v>5.6522463022274074</c:v>
                </c:pt>
                <c:pt idx="828">
                  <c:v>5.6164003293289371</c:v>
                </c:pt>
                <c:pt idx="829">
                  <c:v>5.5804283091445228</c:v>
                </c:pt>
                <c:pt idx="830">
                  <c:v>5.5443354313313824</c:v>
                </c:pt>
                <c:pt idx="831">
                  <c:v>5.5081268148876807</c:v>
                </c:pt>
                <c:pt idx="832">
                  <c:v>5.4718075097324652</c:v>
                </c:pt>
                <c:pt idx="833">
                  <c:v>5.435382498209159</c:v>
                </c:pt>
                <c:pt idx="834">
                  <c:v>5.398856696516404</c:v>
                </c:pt>
                <c:pt idx="835">
                  <c:v>5.3622349560698082</c:v>
                </c:pt>
                <c:pt idx="836">
                  <c:v>5.3255220647979806</c:v>
                </c:pt>
                <c:pt idx="837">
                  <c:v>5.2887227483760419</c:v>
                </c:pt>
                <c:pt idx="838">
                  <c:v>5.2518416713997524</c:v>
                </c:pt>
                <c:pt idx="839">
                  <c:v>5.2148834385031488</c:v>
                </c:pt>
                <c:pt idx="840">
                  <c:v>5.1778525954224648</c:v>
                </c:pt>
                <c:pt idx="841">
                  <c:v>5.1407536300090237</c:v>
                </c:pt>
                <c:pt idx="842">
                  <c:v>5.1035909731936409</c:v>
                </c:pt>
                <c:pt idx="843">
                  <c:v>5.0663689999049151</c:v>
                </c:pt>
                <c:pt idx="844">
                  <c:v>5.0290920299437731</c:v>
                </c:pt>
                <c:pt idx="845">
                  <c:v>4.9917643288163829</c:v>
                </c:pt>
                <c:pt idx="846">
                  <c:v>4.9543901085276545</c:v>
                </c:pt>
                <c:pt idx="847">
                  <c:v>4.9169735283371656</c:v>
                </c:pt>
                <c:pt idx="848">
                  <c:v>4.8795186954795806</c:v>
                </c:pt>
                <c:pt idx="849">
                  <c:v>4.8420296658512942</c:v>
                </c:pt>
                <c:pt idx="850">
                  <c:v>4.8045104446650182</c:v>
                </c:pt>
                <c:pt idx="851">
                  <c:v>4.766964987074056</c:v>
                </c:pt>
                <c:pt idx="852">
                  <c:v>4.7293971987677841</c:v>
                </c:pt>
                <c:pt idx="853">
                  <c:v>4.6918109365398371</c:v>
                </c:pt>
                <c:pt idx="854">
                  <c:v>4.6542100088304972</c:v>
                </c:pt>
                <c:pt idx="855">
                  <c:v>4.6165981762446435</c:v>
                </c:pt>
                <c:pt idx="856">
                  <c:v>4.5789791520465162</c:v>
                </c:pt>
                <c:pt idx="857">
                  <c:v>4.5413566026326704</c:v>
                </c:pt>
                <c:pt idx="858">
                  <c:v>4.5037341479841917</c:v>
                </c:pt>
                <c:pt idx="859">
                  <c:v>4.4661153620994076</c:v>
                </c:pt>
                <c:pt idx="860">
                  <c:v>4.4285037734081598</c:v>
                </c:pt>
                <c:pt idx="861">
                  <c:v>4.3909028651686626</c:v>
                </c:pt>
                <c:pt idx="862">
                  <c:v>4.3533160758479665</c:v>
                </c:pt>
                <c:pt idx="863">
                  <c:v>4.3157467994869938</c:v>
                </c:pt>
                <c:pt idx="864">
                  <c:v>4.2781983860509998</c:v>
                </c:pt>
                <c:pt idx="865">
                  <c:v>4.24067414176639</c:v>
                </c:pt>
                <c:pt idx="866">
                  <c:v>4.2031773294446921</c:v>
                </c:pt>
                <c:pt idx="867">
                  <c:v>4.1657111687944903</c:v>
                </c:pt>
                <c:pt idx="868">
                  <c:v>4.1282788367220231</c:v>
                </c:pt>
                <c:pt idx="869">
                  <c:v>4.0908834676212713</c:v>
                </c:pt>
                <c:pt idx="870">
                  <c:v>4.053528153654109</c:v>
                </c:pt>
                <c:pt idx="871">
                  <c:v>4.01621594502127</c:v>
                </c:pt>
                <c:pt idx="872">
                  <c:v>3.9789498502246978</c:v>
                </c:pt>
                <c:pt idx="873">
                  <c:v>3.9417328363218846</c:v>
                </c:pt>
                <c:pt idx="874">
                  <c:v>3.9045678291728247</c:v>
                </c:pt>
                <c:pt idx="875">
                  <c:v>3.8674577136800234</c:v>
                </c:pt>
                <c:pt idx="876">
                  <c:v>3.8304053340222026</c:v>
                </c:pt>
                <c:pt idx="877">
                  <c:v>3.7934134938821007</c:v>
                </c:pt>
                <c:pt idx="878">
                  <c:v>3.7564849566688796</c:v>
                </c:pt>
                <c:pt idx="879">
                  <c:v>3.7196224457356006</c:v>
                </c:pt>
                <c:pt idx="880">
                  <c:v>3.682828644592159</c:v>
                </c:pt>
                <c:pt idx="881">
                  <c:v>3.6461061971141309</c:v>
                </c:pt>
                <c:pt idx="882">
                  <c:v>3.6094577077478682</c:v>
                </c:pt>
                <c:pt idx="883">
                  <c:v>3.572885741712259</c:v>
                </c:pt>
                <c:pt idx="884">
                  <c:v>3.5363928251974652</c:v>
                </c:pt>
                <c:pt idx="885">
                  <c:v>3.4999814455610139</c:v>
                </c:pt>
                <c:pt idx="886">
                  <c:v>3.4636540515215106</c:v>
                </c:pt>
                <c:pt idx="887">
                  <c:v>3.4274130533503016</c:v>
                </c:pt>
                <c:pt idx="888">
                  <c:v>3.3912608230613799</c:v>
                </c:pt>
                <c:pt idx="889">
                  <c:v>3.3551996945997686</c:v>
                </c:pt>
                <c:pt idx="890">
                  <c:v>3.3192319640286714</c:v>
                </c:pt>
                <c:pt idx="891">
                  <c:v>3.2833598897156513</c:v>
                </c:pt>
                <c:pt idx="892">
                  <c:v>3.2475856925179611</c:v>
                </c:pt>
                <c:pt idx="893">
                  <c:v>3.2119115559674025</c:v>
                </c:pt>
                <c:pt idx="894">
                  <c:v>3.1763396264547712</c:v>
                </c:pt>
                <c:pt idx="895">
                  <c:v>3.1408720134141737</c:v>
                </c:pt>
                <c:pt idx="896">
                  <c:v>3.1055107895073419</c:v>
                </c:pt>
                <c:pt idx="897">
                  <c:v>3.0702579908081615</c:v>
                </c:pt>
                <c:pt idx="898">
                  <c:v>3.0351156169875475</c:v>
                </c:pt>
                <c:pt idx="899">
                  <c:v>3.0000856314987905</c:v>
                </c:pt>
                <c:pt idx="900">
                  <c:v>2.9651699617635865</c:v>
                </c:pt>
                <c:pt idx="901">
                  <c:v>2.930370499358804</c:v>
                </c:pt>
                <c:pt idx="902">
                  <c:v>2.8956891002041765</c:v>
                </c:pt>
                <c:pt idx="903">
                  <c:v>2.8611275847509647</c:v>
                </c:pt>
                <c:pt idx="904">
                  <c:v>2.8266877381717759</c:v>
                </c:pt>
                <c:pt idx="905">
                  <c:v>2.7923713105515402</c:v>
                </c:pt>
                <c:pt idx="906">
                  <c:v>2.7581800170798392</c:v>
                </c:pt>
                <c:pt idx="907">
                  <c:v>2.7241155382445905</c:v>
                </c:pt>
                <c:pt idx="908">
                  <c:v>2.6901795200271783</c:v>
                </c:pt>
                <c:pt idx="909">
                  <c:v>2.6563735740991463</c:v>
                </c:pt>
                <c:pt idx="910">
                  <c:v>2.622699278020443</c:v>
                </c:pt>
                <c:pt idx="911">
                  <c:v>2.5891581754393238</c:v>
                </c:pt>
                <c:pt idx="912">
                  <c:v>2.5557517762939677</c:v>
                </c:pt>
                <c:pt idx="913">
                  <c:v>2.522481557015805</c:v>
                </c:pt>
                <c:pt idx="914">
                  <c:v>2.4893489607346337</c:v>
                </c:pt>
                <c:pt idx="915">
                  <c:v>2.4563553974855497</c:v>
                </c:pt>
                <c:pt idx="916">
                  <c:v>2.4235022444177172</c:v>
                </c:pt>
                <c:pt idx="917">
                  <c:v>2.3907908460049931</c:v>
                </c:pt>
                <c:pt idx="918">
                  <c:v>2.3582225142584425</c:v>
                </c:pt>
                <c:pt idx="919">
                  <c:v>2.3257985289407523</c:v>
                </c:pt>
                <c:pt idx="920">
                  <c:v>2.2935201377825409</c:v>
                </c:pt>
                <c:pt idx="921">
                  <c:v>2.2613885567005818</c:v>
                </c:pt>
                <c:pt idx="922">
                  <c:v>2.2294049700179679</c:v>
                </c:pt>
                <c:pt idx="923">
                  <c:v>2.1975705306861366</c:v>
                </c:pt>
                <c:pt idx="924">
                  <c:v>2.1658863605088587</c:v>
                </c:pt>
                <c:pt idx="925">
                  <c:v>2.1343535503680906</c:v>
                </c:pt>
                <c:pt idx="926">
                  <c:v>2.1029731604517217</c:v>
                </c:pt>
                <c:pt idx="927">
                  <c:v>2.0717462204832104</c:v>
                </c:pt>
                <c:pt idx="928">
                  <c:v>2.0406737299530278</c:v>
                </c:pt>
                <c:pt idx="929">
                  <c:v>2.0097566583520203</c:v>
                </c:pt>
                <c:pt idx="930">
                  <c:v>1.9789959454064716</c:v>
                </c:pt>
                <c:pt idx="931">
                  <c:v>1.9483925013150447</c:v>
                </c:pt>
                <c:pt idx="932">
                  <c:v>1.917947206987427</c:v>
                </c:pt>
                <c:pt idx="933">
                  <c:v>1.8876609142847061</c:v>
                </c:pt>
                <c:pt idx="934">
                  <c:v>1.8575344462614432</c:v>
                </c:pt>
                <c:pt idx="935">
                  <c:v>1.8275685974094316</c:v>
                </c:pt>
                <c:pt idx="936">
                  <c:v>1.7977641339029917</c:v>
                </c:pt>
                <c:pt idx="937">
                  <c:v>1.7681217938459524</c:v>
                </c:pt>
                <c:pt idx="938">
                  <c:v>1.7386422875200864</c:v>
                </c:pt>
                <c:pt idx="939">
                  <c:v>1.7093262976350871</c:v>
                </c:pt>
                <c:pt idx="940">
                  <c:v>1.6801744795799856</c:v>
                </c:pt>
                <c:pt idx="941">
                  <c:v>1.6511874616759865</c:v>
                </c:pt>
                <c:pt idx="942">
                  <c:v>1.6223658454306449</c:v>
                </c:pt>
                <c:pt idx="943">
                  <c:v>1.5937102057933803</c:v>
                </c:pt>
                <c:pt idx="944">
                  <c:v>1.5652210914122389</c:v>
                </c:pt>
                <c:pt idx="945">
                  <c:v>1.5651928260209562</c:v>
                </c:pt>
                <c:pt idx="946">
                  <c:v>1.5651645607953952</c:v>
                </c:pt>
                <c:pt idx="947">
                  <c:v>1.5651362957355666</c:v>
                </c:pt>
                <c:pt idx="948">
                  <c:v>1.5651080308414702</c:v>
                </c:pt>
                <c:pt idx="949">
                  <c:v>1.5650797661130991</c:v>
                </c:pt>
                <c:pt idx="950">
                  <c:v>1.5650515015504602</c:v>
                </c:pt>
                <c:pt idx="951">
                  <c:v>1.565023237153552</c:v>
                </c:pt>
                <c:pt idx="952">
                  <c:v>1.5649949729223724</c:v>
                </c:pt>
                <c:pt idx="953">
                  <c:v>1.5649667088569306</c:v>
                </c:pt>
                <c:pt idx="954">
                  <c:v>1.5649384449572192</c:v>
                </c:pt>
                <c:pt idx="955">
                  <c:v>1.5649101812232331</c:v>
                </c:pt>
                <c:pt idx="956">
                  <c:v>1.5648819176549846</c:v>
                </c:pt>
                <c:pt idx="957">
                  <c:v>1.564853654252472</c:v>
                </c:pt>
                <c:pt idx="958">
                  <c:v>1.5648253910156953</c:v>
                </c:pt>
                <c:pt idx="959">
                  <c:v>1.5647971279446491</c:v>
                </c:pt>
                <c:pt idx="960">
                  <c:v>1.5647688650393405</c:v>
                </c:pt>
                <c:pt idx="961">
                  <c:v>1.5647406022997608</c:v>
                </c:pt>
                <c:pt idx="962">
                  <c:v>1.5647123397259239</c:v>
                </c:pt>
                <c:pt idx="963">
                  <c:v>1.564684077317823</c:v>
                </c:pt>
                <c:pt idx="964">
                  <c:v>1.564655815075465</c:v>
                </c:pt>
                <c:pt idx="965">
                  <c:v>1.5646275529988394</c:v>
                </c:pt>
                <c:pt idx="966">
                  <c:v>1.5645992910879531</c:v>
                </c:pt>
                <c:pt idx="967">
                  <c:v>1.5645710293428063</c:v>
                </c:pt>
                <c:pt idx="968">
                  <c:v>1.5645427677633972</c:v>
                </c:pt>
                <c:pt idx="969">
                  <c:v>1.5645145063497292</c:v>
                </c:pt>
                <c:pt idx="970">
                  <c:v>1.5644862451017989</c:v>
                </c:pt>
                <c:pt idx="971">
                  <c:v>1.5644579840196098</c:v>
                </c:pt>
                <c:pt idx="972">
                  <c:v>1.5644297231031636</c:v>
                </c:pt>
                <c:pt idx="973">
                  <c:v>1.5644014623524587</c:v>
                </c:pt>
                <c:pt idx="974">
                  <c:v>1.5643732017674932</c:v>
                </c:pt>
                <c:pt idx="975">
                  <c:v>1.5643449413482742</c:v>
                </c:pt>
                <c:pt idx="976">
                  <c:v>1.5643166810947928</c:v>
                </c:pt>
                <c:pt idx="977">
                  <c:v>1.5642884210070633</c:v>
                </c:pt>
                <c:pt idx="978">
                  <c:v>1.5642601610850715</c:v>
                </c:pt>
                <c:pt idx="979">
                  <c:v>1.5642319013288297</c:v>
                </c:pt>
                <c:pt idx="980">
                  <c:v>1.5642036417383292</c:v>
                </c:pt>
                <c:pt idx="981">
                  <c:v>1.5641753823135751</c:v>
                </c:pt>
                <c:pt idx="982">
                  <c:v>1.5641471230545694</c:v>
                </c:pt>
                <c:pt idx="983">
                  <c:v>1.5641188639613066</c:v>
                </c:pt>
                <c:pt idx="984">
                  <c:v>1.5640906050337939</c:v>
                </c:pt>
                <c:pt idx="985">
                  <c:v>1.5640623462720242</c:v>
                </c:pt>
                <c:pt idx="986">
                  <c:v>1.5640340876760099</c:v>
                </c:pt>
                <c:pt idx="987">
                  <c:v>1.5640058292457404</c:v>
                </c:pt>
                <c:pt idx="988">
                  <c:v>1.5639775709812191</c:v>
                </c:pt>
                <c:pt idx="989">
                  <c:v>1.5639493128824515</c:v>
                </c:pt>
                <c:pt idx="990">
                  <c:v>1.5639210549494305</c:v>
                </c:pt>
                <c:pt idx="991">
                  <c:v>1.563892797182163</c:v>
                </c:pt>
                <c:pt idx="992">
                  <c:v>1.5638645395806439</c:v>
                </c:pt>
                <c:pt idx="993">
                  <c:v>1.5638362821448784</c:v>
                </c:pt>
                <c:pt idx="994">
                  <c:v>1.5638080248748611</c:v>
                </c:pt>
                <c:pt idx="995">
                  <c:v>1.5637797677705993</c:v>
                </c:pt>
                <c:pt idx="996">
                  <c:v>1.563751510832093</c:v>
                </c:pt>
                <c:pt idx="997">
                  <c:v>1.563723254059342</c:v>
                </c:pt>
                <c:pt idx="998">
                  <c:v>1.5636949974523358</c:v>
                </c:pt>
                <c:pt idx="999">
                  <c:v>1.5636667410110903</c:v>
                </c:pt>
                <c:pt idx="1000">
                  <c:v>1.5636384847356037</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Calculs!$AH$4:$AH$1004</c:f>
              <c:numCache>
                <c:formatCode>0.00</c:formatCode>
                <c:ptCount val="1001"/>
                <c:pt idx="0">
                  <c:v>0</c:v>
                </c:pt>
                <c:pt idx="1">
                  <c:v>18.65346727766773</c:v>
                </c:pt>
                <c:pt idx="2">
                  <c:v>39.233758613919804</c:v>
                </c:pt>
                <c:pt idx="3">
                  <c:v>47.776669257379439</c:v>
                </c:pt>
                <c:pt idx="4">
                  <c:v>56.326005748770257</c:v>
                </c:pt>
                <c:pt idx="5">
                  <c:v>64.882823009556276</c:v>
                </c:pt>
                <c:pt idx="6">
                  <c:v>73.448168428677917</c:v>
                </c:pt>
                <c:pt idx="7">
                  <c:v>82.023082256049179</c:v>
                </c:pt>
                <c:pt idx="8">
                  <c:v>90.608597986002223</c:v>
                </c:pt>
                <c:pt idx="9">
                  <c:v>99.205742731071197</c:v>
                </c:pt>
                <c:pt idx="10">
                  <c:v>107.8155375864923</c:v>
                </c:pt>
                <c:pt idx="11">
                  <c:v>111.52233915119247</c:v>
                </c:pt>
                <c:pt idx="12">
                  <c:v>110.31545216689751</c:v>
                </c:pt>
                <c:pt idx="13">
                  <c:v>109.06863717016432</c:v>
                </c:pt>
                <c:pt idx="14">
                  <c:v>107.78185245245477</c:v>
                </c:pt>
                <c:pt idx="15">
                  <c:v>106.49253994319177</c:v>
                </c:pt>
                <c:pt idx="16">
                  <c:v>105.20074030585313</c:v>
                </c:pt>
                <c:pt idx="17">
                  <c:v>103.90649419385319</c:v>
                </c:pt>
                <c:pt idx="18">
                  <c:v>102.609842245026</c:v>
                </c:pt>
                <c:pt idx="19">
                  <c:v>101.31082507613633</c:v>
                </c:pt>
                <c:pt idx="20">
                  <c:v>100.00948327742012</c:v>
                </c:pt>
                <c:pt idx="21">
                  <c:v>98.705857407155264</c:v>
                </c:pt>
                <c:pt idx="22">
                  <c:v>97.399987986263724</c:v>
                </c:pt>
                <c:pt idx="23">
                  <c:v>96.091915492946882</c:v>
                </c:pt>
                <c:pt idx="24">
                  <c:v>94.781680357354006</c:v>
                </c:pt>
                <c:pt idx="25">
                  <c:v>93.469322956286049</c:v>
                </c:pt>
                <c:pt idx="26">
                  <c:v>92.15488360793529</c:v>
                </c:pt>
                <c:pt idx="27">
                  <c:v>91.49918951703151</c:v>
                </c:pt>
                <c:pt idx="28">
                  <c:v>91.503404262169724</c:v>
                </c:pt>
                <c:pt idx="29">
                  <c:v>91.507279753467287</c:v>
                </c:pt>
                <c:pt idx="30">
                  <c:v>91.510815551949335</c:v>
                </c:pt>
                <c:pt idx="31">
                  <c:v>91.514011225252219</c:v>
                </c:pt>
                <c:pt idx="32">
                  <c:v>91.51686634764701</c:v>
                </c:pt>
                <c:pt idx="33">
                  <c:v>91.519380500063008</c:v>
                </c:pt>
                <c:pt idx="34">
                  <c:v>91.5215532701108</c:v>
                </c:pt>
                <c:pt idx="35">
                  <c:v>91.523384182351037</c:v>
                </c:pt>
                <c:pt idx="36">
                  <c:v>91.524872756531821</c:v>
                </c:pt>
                <c:pt idx="37">
                  <c:v>91.526018590626364</c:v>
                </c:pt>
                <c:pt idx="38">
                  <c:v>91.526821289564367</c:v>
                </c:pt>
                <c:pt idx="39">
                  <c:v>91.527280465244914</c:v>
                </c:pt>
                <c:pt idx="40">
                  <c:v>91.527395736549053</c:v>
                </c:pt>
                <c:pt idx="41">
                  <c:v>91.527166729352643</c:v>
                </c:pt>
                <c:pt idx="42">
                  <c:v>91.526593076539569</c:v>
                </c:pt>
                <c:pt idx="43">
                  <c:v>91.52567441801547</c:v>
                </c:pt>
                <c:pt idx="44">
                  <c:v>91.524410400721266</c:v>
                </c:pt>
                <c:pt idx="45">
                  <c:v>91.522800678647073</c:v>
                </c:pt>
                <c:pt idx="46">
                  <c:v>91.520844912846385</c:v>
                </c:pt>
                <c:pt idx="47">
                  <c:v>91.518542771449873</c:v>
                </c:pt>
                <c:pt idx="48">
                  <c:v>91.515893929679805</c:v>
                </c:pt>
                <c:pt idx="49">
                  <c:v>91.512898069864079</c:v>
                </c:pt>
                <c:pt idx="50">
                  <c:v>91.509554881450413</c:v>
                </c:pt>
                <c:pt idx="51">
                  <c:v>91.505864061020475</c:v>
                </c:pt>
                <c:pt idx="52">
                  <c:v>91.501825312304035</c:v>
                </c:pt>
                <c:pt idx="53">
                  <c:v>91.497438346192808</c:v>
                </c:pt>
                <c:pt idx="54">
                  <c:v>91.492702880754493</c:v>
                </c:pt>
                <c:pt idx="55">
                  <c:v>91.487618641246698</c:v>
                </c:pt>
                <c:pt idx="56">
                  <c:v>91.48218536013033</c:v>
                </c:pt>
                <c:pt idx="57">
                  <c:v>91.476402777083393</c:v>
                </c:pt>
                <c:pt idx="58">
                  <c:v>91.470270639014345</c:v>
                </c:pt>
                <c:pt idx="59">
                  <c:v>91.463788700075298</c:v>
                </c:pt>
                <c:pt idx="60">
                  <c:v>91.456956721675013</c:v>
                </c:pt>
                <c:pt idx="61">
                  <c:v>91.44977447249201</c:v>
                </c:pt>
                <c:pt idx="62">
                  <c:v>91.442241728486991</c:v>
                </c:pt>
                <c:pt idx="63">
                  <c:v>91.43435827291556</c:v>
                </c:pt>
                <c:pt idx="64">
                  <c:v>91.426123896340343</c:v>
                </c:pt>
                <c:pt idx="65">
                  <c:v>91.41753839664311</c:v>
                </c:pt>
                <c:pt idx="66">
                  <c:v>91.408601579036628</c:v>
                </c:pt>
                <c:pt idx="67">
                  <c:v>91.399313256076297</c:v>
                </c:pt>
                <c:pt idx="68">
                  <c:v>91.389673247671411</c:v>
                </c:pt>
                <c:pt idx="69">
                  <c:v>91.379681381096304</c:v>
                </c:pt>
                <c:pt idx="70">
                  <c:v>91.369337491001403</c:v>
                </c:pt>
                <c:pt idx="71">
                  <c:v>91.358641419423591</c:v>
                </c:pt>
                <c:pt idx="72">
                  <c:v>91.340030379707386</c:v>
                </c:pt>
                <c:pt idx="73">
                  <c:v>91.313492503740918</c:v>
                </c:pt>
                <c:pt idx="74">
                  <c:v>91.286585667888573</c:v>
                </c:pt>
                <c:pt idx="75">
                  <c:v>91.259309924395126</c:v>
                </c:pt>
                <c:pt idx="76">
                  <c:v>91.231665333500388</c:v>
                </c:pt>
                <c:pt idx="77">
                  <c:v>91.203651963440024</c:v>
                </c:pt>
                <c:pt idx="78">
                  <c:v>91.175269890446572</c:v>
                </c:pt>
                <c:pt idx="79">
                  <c:v>91.146519198749772</c:v>
                </c:pt>
                <c:pt idx="80">
                  <c:v>91.117399980576764</c:v>
                </c:pt>
                <c:pt idx="81">
                  <c:v>91.087912336151788</c:v>
                </c:pt>
                <c:pt idx="82">
                  <c:v>91.058056373695706</c:v>
                </c:pt>
                <c:pt idx="83">
                  <c:v>91.027832209425071</c:v>
                </c:pt>
                <c:pt idx="84">
                  <c:v>90.997239967550982</c:v>
                </c:pt>
                <c:pt idx="85">
                  <c:v>90.966279780277361</c:v>
                </c:pt>
                <c:pt idx="86">
                  <c:v>90.934951787799221</c:v>
                </c:pt>
                <c:pt idx="87">
                  <c:v>90.903256138300279</c:v>
                </c:pt>
                <c:pt idx="88">
                  <c:v>90.871192987950451</c:v>
                </c:pt>
                <c:pt idx="89">
                  <c:v>90.838762500902789</c:v>
                </c:pt>
                <c:pt idx="90">
                  <c:v>90.805964849290291</c:v>
                </c:pt>
                <c:pt idx="91">
                  <c:v>90.772800213222169</c:v>
                </c:pt>
                <c:pt idx="92">
                  <c:v>90.739268780779952</c:v>
                </c:pt>
                <c:pt idx="93">
                  <c:v>90.705370748012996</c:v>
                </c:pt>
                <c:pt idx="94">
                  <c:v>90.671106318933894</c:v>
                </c:pt>
                <c:pt idx="95">
                  <c:v>90.636475705513348</c:v>
                </c:pt>
                <c:pt idx="96">
                  <c:v>90.601479127674793</c:v>
                </c:pt>
                <c:pt idx="97">
                  <c:v>90.566116813288573</c:v>
                </c:pt>
                <c:pt idx="98">
                  <c:v>90.530388998165861</c:v>
                </c:pt>
                <c:pt idx="99">
                  <c:v>90.49429592605216</c:v>
                </c:pt>
                <c:pt idx="100">
                  <c:v>90.457837848620457</c:v>
                </c:pt>
                <c:pt idx="101">
                  <c:v>90.421015025464001</c:v>
                </c:pt>
                <c:pt idx="102">
                  <c:v>90.383827724088817</c:v>
                </c:pt>
                <c:pt idx="103">
                  <c:v>90.346276219905633</c:v>
                </c:pt>
                <c:pt idx="104">
                  <c:v>90.308360796221805</c:v>
                </c:pt>
                <c:pt idx="105">
                  <c:v>90.27008174423257</c:v>
                </c:pt>
                <c:pt idx="106">
                  <c:v>90.231439363011987</c:v>
                </c:pt>
                <c:pt idx="107">
                  <c:v>90.192433959503731</c:v>
                </c:pt>
                <c:pt idx="108">
                  <c:v>90.153065848511275</c:v>
                </c:pt>
                <c:pt idx="109">
                  <c:v>90.113335352687855</c:v>
                </c:pt>
                <c:pt idx="110">
                  <c:v>90.073242802526053</c:v>
                </c:pt>
                <c:pt idx="111">
                  <c:v>90.032788536346956</c:v>
                </c:pt>
                <c:pt idx="112">
                  <c:v>89.991972900289042</c:v>
                </c:pt>
                <c:pt idx="113">
                  <c:v>89.950796248296712</c:v>
                </c:pt>
                <c:pt idx="114">
                  <c:v>89.909258942108352</c:v>
                </c:pt>
                <c:pt idx="115">
                  <c:v>89.867361351244099</c:v>
                </c:pt>
                <c:pt idx="116">
                  <c:v>89.825103852993379</c:v>
                </c:pt>
                <c:pt idx="117">
                  <c:v>89.782486832401844</c:v>
                </c:pt>
                <c:pt idx="118">
                  <c:v>89.739510682258143</c:v>
                </c:pt>
                <c:pt idx="119">
                  <c:v>89.696175803080237</c:v>
                </c:pt>
                <c:pt idx="120">
                  <c:v>89.652482603101447</c:v>
                </c:pt>
                <c:pt idx="121">
                  <c:v>89.60843149825601</c:v>
                </c:pt>
                <c:pt idx="122">
                  <c:v>89.564022912164461</c:v>
                </c:pt>
                <c:pt idx="123">
                  <c:v>89.519257276118495</c:v>
                </c:pt>
                <c:pt idx="124">
                  <c:v>89.474135029065579</c:v>
                </c:pt>
                <c:pt idx="125">
                  <c:v>89.428656617593134</c:v>
                </c:pt>
                <c:pt idx="126">
                  <c:v>89.382822495912507</c:v>
                </c:pt>
                <c:pt idx="127">
                  <c:v>89.336633125842411</c:v>
                </c:pt>
                <c:pt idx="128">
                  <c:v>89.290088976792077</c:v>
                </c:pt>
                <c:pt idx="129">
                  <c:v>89.20824841706154</c:v>
                </c:pt>
                <c:pt idx="130">
                  <c:v>89.091066767733579</c:v>
                </c:pt>
                <c:pt idx="131">
                  <c:v>88.97347426571416</c:v>
                </c:pt>
                <c:pt idx="132">
                  <c:v>88.855472376172997</c:v>
                </c:pt>
                <c:pt idx="133">
                  <c:v>88.737062572459507</c:v>
                </c:pt>
                <c:pt idx="134">
                  <c:v>88.618246336034304</c:v>
                </c:pt>
                <c:pt idx="135">
                  <c:v>88.499025156400378</c:v>
                </c:pt>
                <c:pt idx="136">
                  <c:v>88.379400531033994</c:v>
                </c:pt>
                <c:pt idx="137">
                  <c:v>88.25937396531512</c:v>
                </c:pt>
                <c:pt idx="138">
                  <c:v>88.138946972457688</c:v>
                </c:pt>
                <c:pt idx="139">
                  <c:v>88.018121073439445</c:v>
                </c:pt>
                <c:pt idx="140">
                  <c:v>87.896897796931512</c:v>
                </c:pt>
                <c:pt idx="141">
                  <c:v>87.775278679227711</c:v>
                </c:pt>
                <c:pt idx="142">
                  <c:v>87.653265264173498</c:v>
                </c:pt>
                <c:pt idx="143">
                  <c:v>87.530859103094599</c:v>
                </c:pt>
                <c:pt idx="144">
                  <c:v>87.408061754725466</c:v>
                </c:pt>
                <c:pt idx="145">
                  <c:v>87.284874785137333</c:v>
                </c:pt>
                <c:pt idx="146">
                  <c:v>87.161299767666094</c:v>
                </c:pt>
                <c:pt idx="147">
                  <c:v>87.037338282839869</c:v>
                </c:pt>
                <c:pt idx="148">
                  <c:v>86.912991918306162</c:v>
                </c:pt>
                <c:pt idx="149">
                  <c:v>86.788262268759141</c:v>
                </c:pt>
                <c:pt idx="150">
                  <c:v>86.663150935866227</c:v>
                </c:pt>
                <c:pt idx="151">
                  <c:v>86.537659528194695</c:v>
                </c:pt>
                <c:pt idx="152">
                  <c:v>86.411789661138002</c:v>
                </c:pt>
                <c:pt idx="153">
                  <c:v>86.285542956841795</c:v>
                </c:pt>
                <c:pt idx="154">
                  <c:v>86.158921044129769</c:v>
                </c:pt>
                <c:pt idx="155">
                  <c:v>86.031925558429322</c:v>
                </c:pt>
                <c:pt idx="156">
                  <c:v>85.904558141696867</c:v>
                </c:pt>
                <c:pt idx="157">
                  <c:v>85.776820442343052</c:v>
                </c:pt>
                <c:pt idx="158">
                  <c:v>85.64871411515773</c:v>
                </c:pt>
                <c:pt idx="159">
                  <c:v>85.520240821234722</c:v>
                </c:pt>
                <c:pt idx="160">
                  <c:v>85.391402227896407</c:v>
                </c:pt>
                <c:pt idx="161">
                  <c:v>85.262200008618095</c:v>
                </c:pt>
                <c:pt idx="162">
                  <c:v>85.132635842952268</c:v>
                </c:pt>
                <c:pt idx="163">
                  <c:v>85.002711416452613</c:v>
                </c:pt>
                <c:pt idx="164">
                  <c:v>84.872428420597785</c:v>
                </c:pt>
                <c:pt idx="165">
                  <c:v>84.741788552715207</c:v>
                </c:pt>
                <c:pt idx="166">
                  <c:v>84.610793515904575</c:v>
                </c:pt>
                <c:pt idx="167">
                  <c:v>84.479445018961229</c:v>
                </c:pt>
                <c:pt idx="168">
                  <c:v>84.347744776299464</c:v>
                </c:pt>
                <c:pt idx="169">
                  <c:v>84.21569450787544</c:v>
                </c:pt>
                <c:pt idx="170">
                  <c:v>84.083295939110357</c:v>
                </c:pt>
                <c:pt idx="171">
                  <c:v>83.950550800813119</c:v>
                </c:pt>
                <c:pt idx="172">
                  <c:v>83.817460829103197</c:v>
                </c:pt>
                <c:pt idx="173">
                  <c:v>83.684027765333056</c:v>
                </c:pt>
                <c:pt idx="174">
                  <c:v>83.550253356010714</c:v>
                </c:pt>
                <c:pt idx="175">
                  <c:v>83.416139352722141</c:v>
                </c:pt>
                <c:pt idx="176">
                  <c:v>83.281687512053452</c:v>
                </c:pt>
                <c:pt idx="177">
                  <c:v>83.146899595513176</c:v>
                </c:pt>
                <c:pt idx="178">
                  <c:v>83.011777369454279</c:v>
                </c:pt>
                <c:pt idx="179">
                  <c:v>82.876322604996147</c:v>
                </c:pt>
                <c:pt idx="180">
                  <c:v>82.740537077946627</c:v>
                </c:pt>
                <c:pt idx="181">
                  <c:v>82.604422568723763</c:v>
                </c:pt>
                <c:pt idx="182">
                  <c:v>82.467980862277699</c:v>
                </c:pt>
                <c:pt idx="183">
                  <c:v>82.331213748012345</c:v>
                </c:pt>
                <c:pt idx="184">
                  <c:v>82.194123019707078</c:v>
                </c:pt>
                <c:pt idx="185">
                  <c:v>82.056710475438379</c:v>
                </c:pt>
                <c:pt idx="186">
                  <c:v>81.918977917501437</c:v>
                </c:pt>
                <c:pt idx="187">
                  <c:v>81.780927152331742</c:v>
                </c:pt>
                <c:pt idx="188">
                  <c:v>81.642559990426534</c:v>
                </c:pt>
                <c:pt idx="189">
                  <c:v>81.503878246266325</c:v>
                </c:pt>
                <c:pt idx="190">
                  <c:v>81.364883738236486</c:v>
                </c:pt>
                <c:pt idx="191">
                  <c:v>81.22557828854859</c:v>
                </c:pt>
                <c:pt idx="192">
                  <c:v>81.085963723162024</c:v>
                </c:pt>
                <c:pt idx="193">
                  <c:v>80.946041871705262</c:v>
                </c:pt>
                <c:pt idx="194">
                  <c:v>80.805814567397547</c:v>
                </c:pt>
                <c:pt idx="195">
                  <c:v>80.665283646970209</c:v>
                </c:pt>
                <c:pt idx="196">
                  <c:v>80.524450950588246</c:v>
                </c:pt>
                <c:pt idx="197">
                  <c:v>80.383318321771867</c:v>
                </c:pt>
                <c:pt idx="198">
                  <c:v>80.241887607317921</c:v>
                </c:pt>
                <c:pt idx="199">
                  <c:v>80.100160657221608</c:v>
                </c:pt>
                <c:pt idx="200">
                  <c:v>79.958139324598037</c:v>
                </c:pt>
                <c:pt idx="201">
                  <c:v>79.815825465603837</c:v>
                </c:pt>
                <c:pt idx="202">
                  <c:v>79.673220939358998</c:v>
                </c:pt>
                <c:pt idx="203">
                  <c:v>79.530327607868472</c:v>
                </c:pt>
                <c:pt idx="204">
                  <c:v>79.38714733594415</c:v>
                </c:pt>
                <c:pt idx="205">
                  <c:v>79.243681991126621</c:v>
                </c:pt>
                <c:pt idx="206">
                  <c:v>79.091387172098237</c:v>
                </c:pt>
                <c:pt idx="207">
                  <c:v>78.930257628107995</c:v>
                </c:pt>
                <c:pt idx="208">
                  <c:v>78.768841886909328</c:v>
                </c:pt>
                <c:pt idx="209">
                  <c:v>78.607142073965974</c:v>
                </c:pt>
                <c:pt idx="210">
                  <c:v>78.445160316515214</c:v>
                </c:pt>
                <c:pt idx="211">
                  <c:v>78.28289874347827</c:v>
                </c:pt>
                <c:pt idx="212">
                  <c:v>78.120359485371011</c:v>
                </c:pt>
                <c:pt idx="213">
                  <c:v>77.957544674214702</c:v>
                </c:pt>
                <c:pt idx="214">
                  <c:v>77.794456443447061</c:v>
                </c:pt>
                <c:pt idx="215">
                  <c:v>77.631096927833525</c:v>
                </c:pt>
                <c:pt idx="216">
                  <c:v>77.467468263378493</c:v>
                </c:pt>
                <c:pt idx="217">
                  <c:v>77.303572587237241</c:v>
                </c:pt>
                <c:pt idx="218">
                  <c:v>77.139412037627551</c:v>
                </c:pt>
                <c:pt idx="219">
                  <c:v>76.974988753741926</c:v>
                </c:pt>
                <c:pt idx="220">
                  <c:v>76.810304875659895</c:v>
                </c:pt>
                <c:pt idx="221">
                  <c:v>76.645362544260479</c:v>
                </c:pt>
                <c:pt idx="222">
                  <c:v>76.480163901135157</c:v>
                </c:pt>
                <c:pt idx="223">
                  <c:v>76.314711088500744</c:v>
                </c:pt>
                <c:pt idx="224">
                  <c:v>76.149006249112801</c:v>
                </c:pt>
                <c:pt idx="225">
                  <c:v>75.983051526179139</c:v>
                </c:pt>
                <c:pt idx="226">
                  <c:v>75.816849063273693</c:v>
                </c:pt>
                <c:pt idx="227">
                  <c:v>75.650401004250597</c:v>
                </c:pt>
                <c:pt idx="228">
                  <c:v>75.483709493158557</c:v>
                </c:pt>
                <c:pt idx="229">
                  <c:v>75.316776674155534</c:v>
                </c:pt>
                <c:pt idx="230">
                  <c:v>75.149604691423576</c:v>
                </c:pt>
                <c:pt idx="231">
                  <c:v>74.982195689084222</c:v>
                </c:pt>
                <c:pt idx="232">
                  <c:v>74.814551811113873</c:v>
                </c:pt>
                <c:pt idx="233">
                  <c:v>74.646675201259725</c:v>
                </c:pt>
                <c:pt idx="234">
                  <c:v>74.478568002955868</c:v>
                </c:pt>
                <c:pt idx="235">
                  <c:v>74.310232359239748</c:v>
                </c:pt>
                <c:pt idx="236">
                  <c:v>74.141670412668901</c:v>
                </c:pt>
                <c:pt idx="237">
                  <c:v>73.972884305238082</c:v>
                </c:pt>
                <c:pt idx="238">
                  <c:v>73.803876178296633</c:v>
                </c:pt>
                <c:pt idx="239">
                  <c:v>73.634648172466314</c:v>
                </c:pt>
                <c:pt idx="240">
                  <c:v>73.465202427559277</c:v>
                </c:pt>
                <c:pt idx="241">
                  <c:v>73.295541082496555</c:v>
                </c:pt>
                <c:pt idx="242">
                  <c:v>73.096069211926803</c:v>
                </c:pt>
                <c:pt idx="243">
                  <c:v>72.866770853296018</c:v>
                </c:pt>
                <c:pt idx="244">
                  <c:v>72.637251990940641</c:v>
                </c:pt>
                <c:pt idx="245">
                  <c:v>72.407515641616413</c:v>
                </c:pt>
                <c:pt idx="246">
                  <c:v>72.177564817376052</c:v>
                </c:pt>
                <c:pt idx="247">
                  <c:v>71.947402525450627</c:v>
                </c:pt>
                <c:pt idx="248">
                  <c:v>71.717031768132202</c:v>
                </c:pt>
                <c:pt idx="249">
                  <c:v>71.486455542656898</c:v>
                </c:pt>
                <c:pt idx="250">
                  <c:v>71.255676841089084</c:v>
                </c:pt>
                <c:pt idx="251">
                  <c:v>71.024698650206176</c:v>
                </c:pt>
                <c:pt idx="252">
                  <c:v>70.793523951384529</c:v>
                </c:pt>
                <c:pt idx="253">
                  <c:v>70.562155720485862</c:v>
                </c:pt>
                <c:pt idx="254">
                  <c:v>70.330596927744892</c:v>
                </c:pt>
                <c:pt idx="255">
                  <c:v>70.098850537657455</c:v>
                </c:pt>
                <c:pt idx="256">
                  <c:v>69.866919508869799</c:v>
                </c:pt>
                <c:pt idx="257">
                  <c:v>69.634806794068552</c:v>
                </c:pt>
                <c:pt idx="258">
                  <c:v>69.402515339871684</c:v>
                </c:pt>
                <c:pt idx="259">
                  <c:v>69.170048086720215</c:v>
                </c:pt>
                <c:pt idx="260">
                  <c:v>68.937407968770984</c:v>
                </c:pt>
                <c:pt idx="261">
                  <c:v>68.704597913790053</c:v>
                </c:pt>
                <c:pt idx="262">
                  <c:v>68.471620843047319</c:v>
                </c:pt>
                <c:pt idx="263">
                  <c:v>68.23847967121165</c:v>
                </c:pt>
                <c:pt idx="264">
                  <c:v>68.005177306247305</c:v>
                </c:pt>
                <c:pt idx="265">
                  <c:v>67.771716649310932</c:v>
                </c:pt>
                <c:pt idx="266">
                  <c:v>67.538100594649663</c:v>
                </c:pt>
                <c:pt idx="267">
                  <c:v>67.304332029500017</c:v>
                </c:pt>
                <c:pt idx="268">
                  <c:v>67.070413833987814</c:v>
                </c:pt>
                <c:pt idx="269">
                  <c:v>66.83634888102894</c:v>
                </c:pt>
                <c:pt idx="270">
                  <c:v>66.602140036231006</c:v>
                </c:pt>
                <c:pt idx="271">
                  <c:v>66.367790157795952</c:v>
                </c:pt>
                <c:pt idx="272">
                  <c:v>66.133302096423634</c:v>
                </c:pt>
                <c:pt idx="273">
                  <c:v>65.89867869521629</c:v>
                </c:pt>
                <c:pt idx="274">
                  <c:v>65.663922789583893</c:v>
                </c:pt>
                <c:pt idx="275">
                  <c:v>65.429037207150543</c:v>
                </c:pt>
                <c:pt idx="276">
                  <c:v>65.194024767661702</c:v>
                </c:pt>
                <c:pt idx="277">
                  <c:v>64.958888282892431</c:v>
                </c:pt>
                <c:pt idx="278">
                  <c:v>64.723630556556486</c:v>
                </c:pt>
                <c:pt idx="279">
                  <c:v>64.488254384216489</c:v>
                </c:pt>
                <c:pt idx="280">
                  <c:v>64.252762553194913</c:v>
                </c:pt>
                <c:pt idx="281">
                  <c:v>64.017157842486071</c:v>
                </c:pt>
                <c:pt idx="282">
                  <c:v>63.781443022669087</c:v>
                </c:pt>
                <c:pt idx="283">
                  <c:v>63.545620855821781</c:v>
                </c:pt>
                <c:pt idx="284">
                  <c:v>63.344511065372984</c:v>
                </c:pt>
                <c:pt idx="285">
                  <c:v>63.178127400633812</c:v>
                </c:pt>
                <c:pt idx="286">
                  <c:v>63.011639908454825</c:v>
                </c:pt>
                <c:pt idx="287">
                  <c:v>62.845050392156793</c:v>
                </c:pt>
                <c:pt idx="288">
                  <c:v>62.678360651047569</c:v>
                </c:pt>
                <c:pt idx="289">
                  <c:v>62.511572480371385</c:v>
                </c:pt>
                <c:pt idx="290">
                  <c:v>62.344687671258541</c:v>
                </c:pt>
                <c:pt idx="291">
                  <c:v>62.177708010675573</c:v>
                </c:pt>
                <c:pt idx="292">
                  <c:v>62.010635281375841</c:v>
                </c:pt>
                <c:pt idx="293">
                  <c:v>61.843471261850532</c:v>
                </c:pt>
                <c:pt idx="294">
                  <c:v>61.676217726280157</c:v>
                </c:pt>
                <c:pt idx="295">
                  <c:v>61.508876444486397</c:v>
                </c:pt>
                <c:pt idx="296">
                  <c:v>61.341449181884471</c:v>
                </c:pt>
                <c:pt idx="297">
                  <c:v>61.173937699435854</c:v>
                </c:pt>
                <c:pt idx="298">
                  <c:v>61.006343753601591</c:v>
                </c:pt>
                <c:pt idx="299">
                  <c:v>60.838669096295817</c:v>
                </c:pt>
                <c:pt idx="300">
                  <c:v>60.670915474839994</c:v>
                </c:pt>
                <c:pt idx="301">
                  <c:v>60.503084631917304</c:v>
                </c:pt>
                <c:pt idx="302">
                  <c:v>60.335178305527783</c:v>
                </c:pt>
                <c:pt idx="303">
                  <c:v>60.167198228943619</c:v>
                </c:pt>
                <c:pt idx="304">
                  <c:v>59.999146130665103</c:v>
                </c:pt>
                <c:pt idx="305">
                  <c:v>59.83102373437692</c:v>
                </c:pt>
                <c:pt idx="306">
                  <c:v>59.662832758904919</c:v>
                </c:pt>
                <c:pt idx="307">
                  <c:v>59.494574918173306</c:v>
                </c:pt>
                <c:pt idx="308">
                  <c:v>59.32625192116236</c:v>
                </c:pt>
                <c:pt idx="309">
                  <c:v>59.157865471866465</c:v>
                </c:pt>
                <c:pt idx="310">
                  <c:v>58.989417269252719</c:v>
                </c:pt>
                <c:pt idx="311">
                  <c:v>58.820909007219953</c:v>
                </c:pt>
                <c:pt idx="312">
                  <c:v>58.652342374558117</c:v>
                </c:pt>
                <c:pt idx="313">
                  <c:v>58.483719054908235</c:v>
                </c:pt>
                <c:pt idx="314">
                  <c:v>58.315040726722778</c:v>
                </c:pt>
                <c:pt idx="315">
                  <c:v>58.146309063226411</c:v>
                </c:pt>
                <c:pt idx="316">
                  <c:v>57.977525732377316</c:v>
                </c:pt>
                <c:pt idx="317">
                  <c:v>57.808692396828825</c:v>
                </c:pt>
                <c:pt idx="318">
                  <c:v>57.639810713891613</c:v>
                </c:pt>
                <c:pt idx="319">
                  <c:v>57.470882335496306</c:v>
                </c:pt>
                <c:pt idx="320">
                  <c:v>57.301908908156605</c:v>
                </c:pt>
                <c:pt idx="321">
                  <c:v>57.132892072932592</c:v>
                </c:pt>
                <c:pt idx="322">
                  <c:v>56.96383346539492</c:v>
                </c:pt>
                <c:pt idx="323">
                  <c:v>56.794734715589087</c:v>
                </c:pt>
                <c:pt idx="324">
                  <c:v>56.625597448000356</c:v>
                </c:pt>
                <c:pt idx="325">
                  <c:v>56.456423281519022</c:v>
                </c:pt>
                <c:pt idx="326">
                  <c:v>56.289356444728561</c:v>
                </c:pt>
                <c:pt idx="327">
                  <c:v>56.124398747922157</c:v>
                </c:pt>
                <c:pt idx="328">
                  <c:v>55.959407836888381</c:v>
                </c:pt>
                <c:pt idx="329">
                  <c:v>55.794385260951699</c:v>
                </c:pt>
                <c:pt idx="330">
                  <c:v>55.62933256396019</c:v>
                </c:pt>
                <c:pt idx="331">
                  <c:v>55.464251284254381</c:v>
                </c:pt>
                <c:pt idx="332">
                  <c:v>55.299142954636693</c:v>
                </c:pt>
                <c:pt idx="333">
                  <c:v>55.134009102341238</c:v>
                </c:pt>
                <c:pt idx="334">
                  <c:v>54.968851249003997</c:v>
                </c:pt>
                <c:pt idx="335">
                  <c:v>54.803670910633521</c:v>
                </c:pt>
                <c:pt idx="336">
                  <c:v>54.638469597581988</c:v>
                </c:pt>
                <c:pt idx="337">
                  <c:v>54.473248814516666</c:v>
                </c:pt>
                <c:pt idx="338">
                  <c:v>54.308010060391851</c:v>
                </c:pt>
                <c:pt idx="339">
                  <c:v>54.142754828421154</c:v>
                </c:pt>
                <c:pt idx="340">
                  <c:v>53.977484606050318</c:v>
                </c:pt>
                <c:pt idx="341">
                  <c:v>53.812200874930333</c:v>
                </c:pt>
                <c:pt idx="342">
                  <c:v>53.646905110891069</c:v>
                </c:pt>
                <c:pt idx="343">
                  <c:v>53.481598783915238</c:v>
                </c:pt>
                <c:pt idx="344">
                  <c:v>53.316283358112848</c:v>
                </c:pt>
                <c:pt idx="345">
                  <c:v>53.150960291696038</c:v>
                </c:pt>
                <c:pt idx="346">
                  <c:v>52.985631036954324</c:v>
                </c:pt>
                <c:pt idx="347">
                  <c:v>52.820297040230258</c:v>
                </c:pt>
                <c:pt idx="348">
                  <c:v>52.654959741895539</c:v>
                </c:pt>
                <c:pt idx="349">
                  <c:v>52.489620576327518</c:v>
                </c:pt>
                <c:pt idx="350">
                  <c:v>52.324280971886061</c:v>
                </c:pt>
                <c:pt idx="351">
                  <c:v>52.158942350890889</c:v>
                </c:pt>
                <c:pt idx="352">
                  <c:v>51.993606129599328</c:v>
                </c:pt>
                <c:pt idx="353">
                  <c:v>51.828273718184434</c:v>
                </c:pt>
                <c:pt idx="354">
                  <c:v>51.662946520713518</c:v>
                </c:pt>
                <c:pt idx="355">
                  <c:v>51.497625935127139</c:v>
                </c:pt>
                <c:pt idx="356">
                  <c:v>51.332313353218424</c:v>
                </c:pt>
                <c:pt idx="357">
                  <c:v>51.167010160612861</c:v>
                </c:pt>
                <c:pt idx="358">
                  <c:v>51.001717736748468</c:v>
                </c:pt>
                <c:pt idx="359">
                  <c:v>50.836437454856309</c:v>
                </c:pt>
                <c:pt idx="360">
                  <c:v>50.67117068194154</c:v>
                </c:pt>
                <c:pt idx="361">
                  <c:v>50.505918778764752</c:v>
                </c:pt>
                <c:pt idx="362">
                  <c:v>50.340683099823714</c:v>
                </c:pt>
                <c:pt idx="363">
                  <c:v>50.175464993335559</c:v>
                </c:pt>
                <c:pt idx="364">
                  <c:v>50.010265801219369</c:v>
                </c:pt>
                <c:pt idx="365">
                  <c:v>49.84508685907911</c:v>
                </c:pt>
                <c:pt idx="366">
                  <c:v>49.734329048527755</c:v>
                </c:pt>
                <c:pt idx="367">
                  <c:v>49.67798827448587</c:v>
                </c:pt>
                <c:pt idx="368">
                  <c:v>49.621624183628747</c:v>
                </c:pt>
                <c:pt idx="369">
                  <c:v>49.565237216839904</c:v>
                </c:pt>
                <c:pt idx="370">
                  <c:v>49.508827814165336</c:v>
                </c:pt>
                <c:pt idx="371">
                  <c:v>49.452396414807176</c:v>
                </c:pt>
                <c:pt idx="372">
                  <c:v>49.395943457117255</c:v>
                </c:pt>
                <c:pt idx="373">
                  <c:v>49.339469378590927</c:v>
                </c:pt>
                <c:pt idx="374">
                  <c:v>49.282974615860667</c:v>
                </c:pt>
                <c:pt idx="375">
                  <c:v>49.226459604689943</c:v>
                </c:pt>
                <c:pt idx="376">
                  <c:v>49.169924779967104</c:v>
                </c:pt>
                <c:pt idx="377">
                  <c:v>49.113370575699186</c:v>
                </c:pt>
                <c:pt idx="378">
                  <c:v>49.056797425005833</c:v>
                </c:pt>
                <c:pt idx="379">
                  <c:v>49.00020576011341</c:v>
                </c:pt>
                <c:pt idx="380">
                  <c:v>48.943596012348841</c:v>
                </c:pt>
                <c:pt idx="381">
                  <c:v>48.828222497370966</c:v>
                </c:pt>
                <c:pt idx="382">
                  <c:v>48.654093766226097</c:v>
                </c:pt>
                <c:pt idx="383">
                  <c:v>48.480004097758496</c:v>
                </c:pt>
                <c:pt idx="384">
                  <c:v>48.305954848898566</c:v>
                </c:pt>
                <c:pt idx="385">
                  <c:v>48.131947369361136</c:v>
                </c:pt>
                <c:pt idx="386">
                  <c:v>47.957983001632961</c:v>
                </c:pt>
                <c:pt idx="387">
                  <c:v>47.784063080960678</c:v>
                </c:pt>
                <c:pt idx="388">
                  <c:v>47.610188935339181</c:v>
                </c:pt>
                <c:pt idx="389">
                  <c:v>47.436361885500411</c:v>
                </c:pt>
                <c:pt idx="390">
                  <c:v>47.262583244902544</c:v>
                </c:pt>
                <c:pt idx="391">
                  <c:v>47.088854319719651</c:v>
                </c:pt>
                <c:pt idx="392">
                  <c:v>46.915176408831655</c:v>
                </c:pt>
                <c:pt idx="393">
                  <c:v>46.741550803814881</c:v>
                </c:pt>
                <c:pt idx="394">
                  <c:v>46.56797878893282</c:v>
                </c:pt>
                <c:pt idx="395">
                  <c:v>46.394461641127435</c:v>
                </c:pt>
                <c:pt idx="396">
                  <c:v>46.221000630010835</c:v>
                </c:pt>
                <c:pt idx="397">
                  <c:v>46.047597017857271</c:v>
                </c:pt>
                <c:pt idx="398">
                  <c:v>45.874252059595712</c:v>
                </c:pt>
                <c:pt idx="399">
                  <c:v>45.700967002802642</c:v>
                </c:pt>
                <c:pt idx="400">
                  <c:v>45.527743087695349</c:v>
                </c:pt>
                <c:pt idx="401">
                  <c:v>45.308440344694574</c:v>
                </c:pt>
                <c:pt idx="402">
                  <c:v>45.0430710266509</c:v>
                </c:pt>
                <c:pt idx="403">
                  <c:v>44.777818642270674</c:v>
                </c:pt>
                <c:pt idx="404">
                  <c:v>44.512685352607384</c:v>
                </c:pt>
                <c:pt idx="405">
                  <c:v>44.247673302827302</c:v>
                </c:pt>
                <c:pt idx="406">
                  <c:v>43.982784622204449</c:v>
                </c:pt>
                <c:pt idx="407">
                  <c:v>43.718021424116372</c:v>
                </c:pt>
                <c:pt idx="408">
                  <c:v>43.453385806041219</c:v>
                </c:pt>
                <c:pt idx="409">
                  <c:v>43.188879849555519</c:v>
                </c:pt>
                <c:pt idx="410">
                  <c:v>42.924505620333186</c:v>
                </c:pt>
                <c:pt idx="411">
                  <c:v>42.40552289076706</c:v>
                </c:pt>
                <c:pt idx="412">
                  <c:v>41.632014555652376</c:v>
                </c:pt>
                <c:pt idx="413">
                  <c:v>40.858967598787061</c:v>
                </c:pt>
                <c:pt idx="414">
                  <c:v>40.086393521388949</c:v>
                </c:pt>
                <c:pt idx="415">
                  <c:v>39.314303704804409</c:v>
                </c:pt>
                <c:pt idx="416">
                  <c:v>38.542709410409721</c:v>
                </c:pt>
                <c:pt idx="417">
                  <c:v>37.771621779527884</c:v>
                </c:pt>
                <c:pt idx="418">
                  <c:v>37.001051833360158</c:v>
                </c:pt>
                <c:pt idx="419">
                  <c:v>36.231010472932908</c:v>
                </c:pt>
                <c:pt idx="420">
                  <c:v>35.316708590086201</c:v>
                </c:pt>
                <c:pt idx="421">
                  <c:v>34.258226805449631</c:v>
                </c:pt>
                <c:pt idx="422">
                  <c:v>33.200528874305434</c:v>
                </c:pt>
                <c:pt idx="423">
                  <c:v>32.143633637228859</c:v>
                </c:pt>
                <c:pt idx="424">
                  <c:v>31.087559710320846</c:v>
                </c:pt>
                <c:pt idx="425">
                  <c:v>30.032325485055114</c:v>
                </c:pt>
                <c:pt idx="426">
                  <c:v>28.977949128159466</c:v>
                </c:pt>
                <c:pt idx="427">
                  <c:v>27.924448581531287</c:v>
                </c:pt>
                <c:pt idx="428">
                  <c:v>26.871841562186468</c:v>
                </c:pt>
                <c:pt idx="429">
                  <c:v>25.82014556224166</c:v>
                </c:pt>
                <c:pt idx="430">
                  <c:v>24.769377848929132</c:v>
                </c:pt>
                <c:pt idx="431">
                  <c:v>23.71955546464422</c:v>
                </c:pt>
                <c:pt idx="432">
                  <c:v>22.437584029712461</c:v>
                </c:pt>
                <c:pt idx="433">
                  <c:v>20.923657338080375</c:v>
                </c:pt>
                <c:pt idx="434">
                  <c:v>19.411186605384355</c:v>
                </c:pt>
                <c:pt idx="435">
                  <c:v>17.900205539947798</c:v>
                </c:pt>
                <c:pt idx="436">
                  <c:v>16.390747382911766</c:v>
                </c:pt>
                <c:pt idx="437">
                  <c:v>14.882844907992665</c:v>
                </c:pt>
                <c:pt idx="438">
                  <c:v>13.376530421329861</c:v>
                </c:pt>
                <c:pt idx="439">
                  <c:v>11.871835761422256</c:v>
                </c:pt>
                <c:pt idx="440">
                  <c:v>10.368792299152405</c:v>
                </c:pt>
                <c:pt idx="441">
                  <c:v>8.8674309378972094</c:v>
                </c:pt>
                <c:pt idx="442">
                  <c:v>7.5092654522477877</c:v>
                </c:pt>
                <c:pt idx="443">
                  <c:v>6.2941749909325768</c:v>
                </c:pt>
                <c:pt idx="444">
                  <c:v>5.080511865836236</c:v>
                </c:pt>
                <c:pt idx="445">
                  <c:v>3.8682945786749836</c:v>
                </c:pt>
                <c:pt idx="446">
                  <c:v>2.6575413269465922</c:v>
                </c:pt>
                <c:pt idx="447">
                  <c:v>1.4482700046048145</c:v>
                </c:pt>
                <c:pt idx="448">
                  <c:v>0.24049820277339276</c:v>
                </c:pt>
                <c:pt idx="449">
                  <c:v>-0.96575678950140065</c:v>
                </c:pt>
                <c:pt idx="450">
                  <c:v>-2.1704779844601063</c:v>
                </c:pt>
                <c:pt idx="451">
                  <c:v>-3.3736486948022861</c:v>
                </c:pt>
                <c:pt idx="452">
                  <c:v>-4.5752525328220637</c:v>
                </c:pt>
                <c:pt idx="453">
                  <c:v>-5.5727842324871784</c:v>
                </c:pt>
                <c:pt idx="454">
                  <c:v>-6.3664933998313593</c:v>
                </c:pt>
                <c:pt idx="455">
                  <c:v>-7.1591513155083435</c:v>
                </c:pt>
                <c:pt idx="456">
                  <c:v>-7.9507526125951484</c:v>
                </c:pt>
                <c:pt idx="457">
                  <c:v>-8.7412920483411209</c:v>
                </c:pt>
                <c:pt idx="458">
                  <c:v>-9.5307645035494435</c:v>
                </c:pt>
                <c:pt idx="459">
                  <c:v>-10.319164981951891</c:v>
                </c:pt>
                <c:pt idx="460">
                  <c:v>-11.106488609577049</c:v>
                </c:pt>
                <c:pt idx="461">
                  <c:v>-11.710555108161969</c:v>
                </c:pt>
                <c:pt idx="462">
                  <c:v>-12.131617244812723</c:v>
                </c:pt>
                <c:pt idx="463">
                  <c:v>-12.552118743768562</c:v>
                </c:pt>
                <c:pt idx="464">
                  <c:v>-12.972059452679066</c:v>
                </c:pt>
                <c:pt idx="465">
                  <c:v>-13.391439248955885</c:v>
                </c:pt>
                <c:pt idx="466">
                  <c:v>-13.963282413859913</c:v>
                </c:pt>
                <c:pt idx="467">
                  <c:v>-14.687367208504982</c:v>
                </c:pt>
                <c:pt idx="468">
                  <c:v>-17.11449854319849</c:v>
                </c:pt>
                <c:pt idx="469">
                  <c:v>-19.156743548918001</c:v>
                </c:pt>
                <c:pt idx="470">
                  <c:v>-19.110629411908963</c:v>
                </c:pt>
                <c:pt idx="471">
                  <c:v>-19.064653849400738</c:v>
                </c:pt>
                <c:pt idx="472">
                  <c:v>-19.018816307785677</c:v>
                </c:pt>
                <c:pt idx="473">
                  <c:v>-18.973116236253432</c:v>
                </c:pt>
                <c:pt idx="474">
                  <c:v>-18.927553086773873</c:v>
                </c:pt>
                <c:pt idx="475">
                  <c:v>-18.882126314080288</c:v>
                </c:pt>
                <c:pt idx="476">
                  <c:v>-18.836835375652448</c:v>
                </c:pt>
                <c:pt idx="477">
                  <c:v>-18.791679731700047</c:v>
                </c:pt>
                <c:pt idx="478">
                  <c:v>-18.746658845146047</c:v>
                </c:pt>
                <c:pt idx="479">
                  <c:v>-18.701772181610337</c:v>
                </c:pt>
                <c:pt idx="480">
                  <c:v>-18.657019209393358</c:v>
                </c:pt>
                <c:pt idx="481">
                  <c:v>-18.612399399459882</c:v>
                </c:pt>
                <c:pt idx="482">
                  <c:v>-18.567912225422944</c:v>
                </c:pt>
                <c:pt idx="483">
                  <c:v>-18.523557163527887</c:v>
                </c:pt>
                <c:pt idx="484">
                  <c:v>-18.479333692636441</c:v>
                </c:pt>
                <c:pt idx="485">
                  <c:v>-18.435241294211</c:v>
                </c:pt>
                <c:pt idx="486">
                  <c:v>-18.391279452299038</c:v>
                </c:pt>
                <c:pt idx="487">
                  <c:v>-18.347447653517424</c:v>
                </c:pt>
                <c:pt idx="488">
                  <c:v>-18.303745387037168</c:v>
                </c:pt>
                <c:pt idx="489">
                  <c:v>-18.26017214456801</c:v>
                </c:pt>
                <c:pt idx="490">
                  <c:v>-18.216727420343233</c:v>
                </c:pt>
                <c:pt idx="491">
                  <c:v>-18.173410711104559</c:v>
                </c:pt>
                <c:pt idx="492">
                  <c:v>-18.130221516087179</c:v>
                </c:pt>
                <c:pt idx="493">
                  <c:v>-18.087159337004817</c:v>
                </c:pt>
                <c:pt idx="494">
                  <c:v>-18.044223678035014</c:v>
                </c:pt>
                <c:pt idx="495">
                  <c:v>-18.001414045804374</c:v>
                </c:pt>
                <c:pt idx="496">
                  <c:v>-17.958729949374025</c:v>
                </c:pt>
                <c:pt idx="497">
                  <c:v>-17.916170900225126</c:v>
                </c:pt>
                <c:pt idx="498">
                  <c:v>-17.873736412244504</c:v>
                </c:pt>
                <c:pt idx="499">
                  <c:v>-17.831426001710351</c:v>
                </c:pt>
                <c:pt idx="500">
                  <c:v>-17.78923918727811</c:v>
                </c:pt>
                <c:pt idx="501">
                  <c:v>-17.74717548996626</c:v>
                </c:pt>
                <c:pt idx="502">
                  <c:v>-17.330662713426566</c:v>
                </c:pt>
                <c:pt idx="503">
                  <c:v>-16.926126503143344</c:v>
                </c:pt>
                <c:pt idx="504">
                  <c:v>-16.533113547250604</c:v>
                </c:pt>
                <c:pt idx="505">
                  <c:v>-16.151192090679523</c:v>
                </c:pt>
                <c:pt idx="506">
                  <c:v>-15.779950709236974</c:v>
                </c:pt>
                <c:pt idx="507">
                  <c:v>-15.418997164676215</c:v>
                </c:pt>
                <c:pt idx="508">
                  <c:v>-15.06795733467907</c:v>
                </c:pt>
                <c:pt idx="509">
                  <c:v>-14.726474212179321</c:v>
                </c:pt>
                <c:pt idx="510">
                  <c:v>-14.394206968920109</c:v>
                </c:pt>
                <c:pt idx="511">
                  <c:v>-14.070830078558705</c:v>
                </c:pt>
                <c:pt idx="512">
                  <c:v>-13.756032495014209</c:v>
                </c:pt>
                <c:pt idx="513">
                  <c:v>-13.449516882102003</c:v>
                </c:pt>
                <c:pt idx="514">
                  <c:v>-13.150998890815226</c:v>
                </c:pt>
                <c:pt idx="515">
                  <c:v>-12.860206480902638</c:v>
                </c:pt>
                <c:pt idx="516">
                  <c:v>-12.576879283655959</c:v>
                </c:pt>
                <c:pt idx="517">
                  <c:v>-12.300768003059881</c:v>
                </c:pt>
                <c:pt idx="518">
                  <c:v>-12.031633852678578</c:v>
                </c:pt>
                <c:pt idx="519">
                  <c:v>-11.769248025853127</c:v>
                </c:pt>
                <c:pt idx="520">
                  <c:v>-11.513391196968829</c:v>
                </c:pt>
                <c:pt idx="521">
                  <c:v>-11.263853051719897</c:v>
                </c:pt>
                <c:pt idx="522">
                  <c:v>-11.020431844453746</c:v>
                </c:pt>
                <c:pt idx="523">
                  <c:v>-10.782933980819077</c:v>
                </c:pt>
                <c:pt idx="524">
                  <c:v>-10.551173624072256</c:v>
                </c:pt>
                <c:pt idx="525">
                  <c:v>-10.324972323516212</c:v>
                </c:pt>
                <c:pt idx="526">
                  <c:v>-10.104158663656291</c:v>
                </c:pt>
                <c:pt idx="527">
                  <c:v>-9.8885679327588694</c:v>
                </c:pt>
                <c:pt idx="528">
                  <c:v>-9.6780418095915888</c:v>
                </c:pt>
                <c:pt idx="529">
                  <c:v>-9.4724280672106786</c:v>
                </c:pt>
                <c:pt idx="530">
                  <c:v>-9.2715802927393547</c:v>
                </c:pt>
                <c:pt idx="531">
                  <c:v>-9.0753576221552361</c:v>
                </c:pt>
                <c:pt idx="532">
                  <c:v>-8.8836244891717229</c:v>
                </c:pt>
                <c:pt idx="533">
                  <c:v>-8.6962503873610917</c:v>
                </c:pt>
                <c:pt idx="534">
                  <c:v>-8.5131096447245813</c:v>
                </c:pt>
                <c:pt idx="535">
                  <c:v>-8.3340812099682626</c:v>
                </c:pt>
                <c:pt idx="536">
                  <c:v>-8.1590484497928593</c:v>
                </c:pt>
                <c:pt idx="537">
                  <c:v>-7.987898956551553</c:v>
                </c:pt>
                <c:pt idx="538">
                  <c:v>-7.8205243656721972</c:v>
                </c:pt>
                <c:pt idx="539">
                  <c:v>-7.6568201822796977</c:v>
                </c:pt>
                <c:pt idx="540">
                  <c:v>-7.4966856164909643</c:v>
                </c:pt>
                <c:pt idx="541">
                  <c:v>-7.3400234268885836</c:v>
                </c:pt>
                <c:pt idx="542">
                  <c:v>-7.1867397717109842</c:v>
                </c:pt>
                <c:pt idx="543">
                  <c:v>-7.0367440673261186</c:v>
                </c:pt>
                <c:pt idx="544">
                  <c:v>-6.8899488535828404</c:v>
                </c:pt>
                <c:pt idx="545">
                  <c:v>-6.7462696656595984</c:v>
                </c:pt>
                <c:pt idx="546">
                  <c:v>-6.6056249120535524</c:v>
                </c:pt>
                <c:pt idx="547">
                  <c:v>-6.4679357583752966</c:v>
                </c:pt>
                <c:pt idx="548">
                  <c:v>-6.3331260166347096</c:v>
                </c:pt>
                <c:pt idx="549">
                  <c:v>-6.2011220397226356</c:v>
                </c:pt>
                <c:pt idx="550">
                  <c:v>-6.071852620810902</c:v>
                </c:pt>
                <c:pt idx="551">
                  <c:v>-5.9452488974097557</c:v>
                </c:pt>
                <c:pt idx="552">
                  <c:v>-5.8212442598373109</c:v>
                </c:pt>
                <c:pt idx="553">
                  <c:v>-5.6997742638702009</c:v>
                </c:pt>
                <c:pt idx="554">
                  <c:v>-5.5807765473579929</c:v>
                </c:pt>
                <c:pt idx="555">
                  <c:v>-5.4641907505967913</c:v>
                </c:pt>
                <c:pt idx="556">
                  <c:v>-5.349958440269158</c:v>
                </c:pt>
                <c:pt idx="557">
                  <c:v>-5.2380230367686682</c:v>
                </c:pt>
                <c:pt idx="558">
                  <c:v>-5.1283297447377096</c:v>
                </c:pt>
                <c:pt idx="559">
                  <c:v>-5.0208254866569879</c:v>
                </c:pt>
                <c:pt idx="560">
                  <c:v>-4.9154588393342067</c:v>
                </c:pt>
                <c:pt idx="561">
                  <c:v>-4.8121799731479813</c:v>
                </c:pt>
                <c:pt idx="562">
                  <c:v>-4.7109405939111149</c:v>
                </c:pt>
                <c:pt idx="563">
                  <c:v>-4.6116938872247601</c:v>
                </c:pt>
                <c:pt idx="564">
                  <c:v>-4.5143944652022165</c:v>
                </c:pt>
                <c:pt idx="565">
                  <c:v>-4.4189983154476264</c:v>
                </c:pt>
                <c:pt idx="566">
                  <c:v>-4.3254627521810765</c:v>
                </c:pt>
                <c:pt idx="567">
                  <c:v>-4.2337463694075614</c:v>
                </c:pt>
                <c:pt idx="568">
                  <c:v>-4.1438089960326385</c:v>
                </c:pt>
                <c:pt idx="569">
                  <c:v>-4.0556116528328987</c:v>
                </c:pt>
                <c:pt idx="570">
                  <c:v>-3.9691165111941773</c:v>
                </c:pt>
                <c:pt idx="571">
                  <c:v>-3.8842868535350594</c:v>
                </c:pt>
                <c:pt idx="572">
                  <c:v>-3.8010870353375217</c:v>
                </c:pt>
                <c:pt idx="573">
                  <c:v>-3.7194824487106581</c:v>
                </c:pt>
                <c:pt idx="574">
                  <c:v>-3.6394394874172415</c:v>
                </c:pt>
                <c:pt idx="575">
                  <c:v>-3.5609255132965072</c:v>
                </c:pt>
                <c:pt idx="576">
                  <c:v>-3.4839088240199287</c:v>
                </c:pt>
                <c:pt idx="577">
                  <c:v>-3.4083586221200077</c:v>
                </c:pt>
                <c:pt idx="578">
                  <c:v>-3.3342449852351135</c:v>
                </c:pt>
                <c:pt idx="579">
                  <c:v>-3.2615388375162722</c:v>
                </c:pt>
                <c:pt idx="580">
                  <c:v>-3.1902119221444862</c:v>
                </c:pt>
                <c:pt idx="581">
                  <c:v>-3.1202367749098046</c:v>
                </c:pt>
                <c:pt idx="582">
                  <c:v>-3.0515866988056559</c:v>
                </c:pt>
                <c:pt idx="583">
                  <c:v>-2.9842357395943648</c:v>
                </c:pt>
                <c:pt idx="584">
                  <c:v>-2.9181586623017925</c:v>
                </c:pt>
                <c:pt idx="585">
                  <c:v>-2.8533309286012409</c:v>
                </c:pt>
                <c:pt idx="586">
                  <c:v>-2.7897286750485453</c:v>
                </c:pt>
                <c:pt idx="587">
                  <c:v>-2.7273286921321929</c:v>
                </c:pt>
                <c:pt idx="588">
                  <c:v>-2.6661084041040093</c:v>
                </c:pt>
                <c:pt idx="589">
                  <c:v>-2.60604584955759</c:v>
                </c:pt>
                <c:pt idx="590">
                  <c:v>-2.5471196627232184</c:v>
                </c:pt>
                <c:pt idx="591">
                  <c:v>-2.4893090554494477</c:v>
                </c:pt>
                <c:pt idx="592">
                  <c:v>-2.4325937998429703</c:v>
                </c:pt>
                <c:pt idx="593">
                  <c:v>-2.3769542115396636</c:v>
                </c:pt>
                <c:pt idx="594">
                  <c:v>-2.3223711335809956</c:v>
                </c:pt>
                <c:pt idx="595">
                  <c:v>-2.268825920871123</c:v>
                </c:pt>
                <c:pt idx="596">
                  <c:v>-2.2163004251911858</c:v>
                </c:pt>
                <c:pt idx="597">
                  <c:v>-2.1647769807483135</c:v>
                </c:pt>
                <c:pt idx="598">
                  <c:v>-2.11423839023794</c:v>
                </c:pt>
                <c:pt idx="599">
                  <c:v>-2.0646679113989088</c:v>
                </c:pt>
                <c:pt idx="600">
                  <c:v>-2.0160492440418403</c:v>
                </c:pt>
                <c:pt idx="601">
                  <c:v>-1.9683665175320559</c:v>
                </c:pt>
                <c:pt idx="602">
                  <c:v>-1.9216042787091667</c:v>
                </c:pt>
                <c:pt idx="603">
                  <c:v>-1.8757474802262724</c:v>
                </c:pt>
                <c:pt idx="604">
                  <c:v>-1.8307814692923983</c:v>
                </c:pt>
                <c:pt idx="605">
                  <c:v>-1.7866919768025378</c:v>
                </c:pt>
                <c:pt idx="606">
                  <c:v>-1.7434651068403531</c:v>
                </c:pt>
                <c:pt idx="607">
                  <c:v>-1.7010873265391693</c:v>
                </c:pt>
                <c:pt idx="608">
                  <c:v>-1.6595454562875678</c:v>
                </c:pt>
                <c:pt idx="609">
                  <c:v>-1.6188266602664254</c:v>
                </c:pt>
                <c:pt idx="610">
                  <c:v>-1.5789184373047862</c:v>
                </c:pt>
                <c:pt idx="611">
                  <c:v>-1.5398086120425047</c:v>
                </c:pt>
                <c:pt idx="612">
                  <c:v>-1.5014853263880672</c:v>
                </c:pt>
                <c:pt idx="613">
                  <c:v>-1.4639370312604738</c:v>
                </c:pt>
                <c:pt idx="614">
                  <c:v>-1.4271524786045109</c:v>
                </c:pt>
                <c:pt idx="615">
                  <c:v>-1.3911207136691759</c:v>
                </c:pt>
                <c:pt idx="616">
                  <c:v>-1.3558310675394001</c:v>
                </c:pt>
                <c:pt idx="617">
                  <c:v>-1.3212731499116079</c:v>
                </c:pt>
                <c:pt idx="618">
                  <c:v>-1.2874368421040099</c:v>
                </c:pt>
                <c:pt idx="619">
                  <c:v>-1.2543122902928803</c:v>
                </c:pt>
                <c:pt idx="620">
                  <c:v>-1.2218898989663576</c:v>
                </c:pt>
                <c:pt idx="621">
                  <c:v>-1.19016032458767</c:v>
                </c:pt>
                <c:pt idx="622">
                  <c:v>-1.1591144694599236</c:v>
                </c:pt>
                <c:pt idx="623">
                  <c:v>-1.1287434757848933</c:v>
                </c:pt>
                <c:pt idx="624">
                  <c:v>-1.099038719908515</c:v>
                </c:pt>
                <c:pt idx="625">
                  <c:v>-1.0699918067460028</c:v>
                </c:pt>
                <c:pt idx="626">
                  <c:v>-1.0415945643797637</c:v>
                </c:pt>
                <c:pt idx="627">
                  <c:v>-1.0138390388234695</c:v>
                </c:pt>
                <c:pt idx="628">
                  <c:v>-0.98671748894588152</c:v>
                </c:pt>
                <c:pt idx="629">
                  <c:v>-0.96022238154816464</c:v>
                </c:pt>
                <c:pt idx="630">
                  <c:v>-0.93434638658864277</c:v>
                </c:pt>
                <c:pt idx="631">
                  <c:v>-0.90908237254907498</c:v>
                </c:pt>
                <c:pt idx="632">
                  <c:v>-0.88442340193669111</c:v>
                </c:pt>
                <c:pt idx="633">
                  <c:v>-0.86036272691636317</c:v>
                </c:pt>
                <c:pt idx="634">
                  <c:v>-0.83689378506740131</c:v>
                </c:pt>
                <c:pt idx="635">
                  <c:v>-0.81401019525957508</c:v>
                </c:pt>
                <c:pt idx="636">
                  <c:v>-0.79170575364306339</c:v>
                </c:pt>
                <c:pt idx="637">
                  <c:v>-0.76997442974711228</c:v>
                </c:pt>
                <c:pt idx="638">
                  <c:v>-0.7488103626822683</c:v>
                </c:pt>
                <c:pt idx="639">
                  <c:v>-0.72820785744109728</c:v>
                </c:pt>
                <c:pt idx="640">
                  <c:v>-0.70816138129237172</c:v>
                </c:pt>
                <c:pt idx="641">
                  <c:v>-0.68866556026374348</c:v>
                </c:pt>
                <c:pt idx="642">
                  <c:v>-0.66971517570793837</c:v>
                </c:pt>
                <c:pt idx="643">
                  <c:v>-0.6513051609475532</c:v>
                </c:pt>
                <c:pt idx="644">
                  <c:v>-0.63343059799352863</c:v>
                </c:pt>
                <c:pt idx="645">
                  <c:v>-0.61608671433238726</c:v>
                </c:pt>
                <c:pt idx="646">
                  <c:v>-0.59926887977732024</c:v>
                </c:pt>
                <c:pt idx="647">
                  <c:v>-0.58297260337819257</c:v>
                </c:pt>
                <c:pt idx="648">
                  <c:v>-0.56719353038553033</c:v>
                </c:pt>
                <c:pt idx="649">
                  <c:v>-0.55192743926352739</c:v>
                </c:pt>
                <c:pt idx="650">
                  <c:v>-0.53717023874709258</c:v>
                </c:pt>
                <c:pt idx="651">
                  <c:v>-0.52291796493794096</c:v>
                </c:pt>
                <c:pt idx="652">
                  <c:v>-0.50916677843470803</c:v>
                </c:pt>
                <c:pt idx="653">
                  <c:v>-0.49591296149205827</c:v>
                </c:pt>
                <c:pt idx="654">
                  <c:v>-0.48315291520375686</c:v>
                </c:pt>
                <c:pt idx="655">
                  <c:v>-0.47088315670467396</c:v>
                </c:pt>
                <c:pt idx="656">
                  <c:v>-0.45910031638671656</c:v>
                </c:pt>
                <c:pt idx="657">
                  <c:v>-0.44780113512372582</c:v>
                </c:pt>
                <c:pt idx="658">
                  <c:v>-0.43698246150044145</c:v>
                </c:pt>
                <c:pt idx="659">
                  <c:v>-0.42664124904072409</c:v>
                </c:pt>
                <c:pt idx="660">
                  <c:v>-0.41677455343036041</c:v>
                </c:pt>
                <c:pt idx="661">
                  <c:v>-0.40737952972993635</c:v>
                </c:pt>
                <c:pt idx="662">
                  <c:v>-0.39845342957347063</c:v>
                </c:pt>
                <c:pt idx="663">
                  <c:v>-0.38999359834875724</c:v>
                </c:pt>
                <c:pt idx="664">
                  <c:v>-0.38199747235567905</c:v>
                </c:pt>
                <c:pt idx="665">
                  <c:v>-0.37446257593910803</c:v>
                </c:pt>
                <c:pt idx="666">
                  <c:v>-0.36738651859344018</c:v>
                </c:pt>
                <c:pt idx="667">
                  <c:v>-0.36076699203629031</c:v>
                </c:pt>
                <c:pt idx="668">
                  <c:v>-0.35460176724942244</c:v>
                </c:pt>
                <c:pt idx="669">
                  <c:v>-0.34888869148558782</c:v>
                </c:pt>
                <c:pt idx="670">
                  <c:v>-0.34362568524061327</c:v>
                </c:pt>
                <c:pt idx="671">
                  <c:v>-0.33881073919078586</c:v>
                </c:pt>
                <c:pt idx="672">
                  <c:v>-0.33444191109634303</c:v>
                </c:pt>
                <c:pt idx="673">
                  <c:v>-0.33051732267266493</c:v>
                </c:pt>
                <c:pt idx="674">
                  <c:v>-0.32703515643157643</c:v>
                </c:pt>
                <c:pt idx="675">
                  <c:v>-0.32399365249599249</c:v>
                </c:pt>
                <c:pt idx="676">
                  <c:v>-0.32139110539194599</c:v>
                </c:pt>
                <c:pt idx="677">
                  <c:v>-0.31922586082283172</c:v>
                </c:pt>
                <c:pt idx="678">
                  <c:v>-0.31749631243144122</c:v>
                </c:pt>
                <c:pt idx="679">
                  <c:v>-0.31620089855604921</c:v>
                </c:pt>
                <c:pt idx="680">
                  <c:v>-0.31533809898741733</c:v>
                </c:pt>
                <c:pt idx="681">
                  <c:v>-0.31490643173409349</c:v>
                </c:pt>
                <c:pt idx="682">
                  <c:v>-0.31490444980378873</c:v>
                </c:pt>
                <c:pt idx="683">
                  <c:v>-0.31533073800889738</c:v>
                </c:pt>
                <c:pt idx="684">
                  <c:v>-0.31618390980438155</c:v>
                </c:pt>
                <c:pt idx="685">
                  <c:v>-0.31746260416627214</c:v>
                </c:pt>
                <c:pt idx="686">
                  <c:v>-0.31916548251892224</c:v>
                </c:pt>
                <c:pt idx="687">
                  <c:v>-0.3212912257189291</c:v>
                </c:pt>
                <c:pt idx="688">
                  <c:v>-0.32383853110327299</c:v>
                </c:pt>
                <c:pt idx="689">
                  <c:v>-0.32680610960876777</c:v>
                </c:pt>
                <c:pt idx="690">
                  <c:v>-0.33019268296935639</c:v>
                </c:pt>
                <c:pt idx="691">
                  <c:v>-0.33399698099714531</c:v>
                </c:pt>
                <c:pt idx="692">
                  <c:v>-0.33821773895237628</c:v>
                </c:pt>
                <c:pt idx="693">
                  <c:v>-0.34285369500678559</c:v>
                </c:pt>
                <c:pt idx="694">
                  <c:v>-0.34790358780403918</c:v>
                </c:pt>
                <c:pt idx="695">
                  <c:v>-0.35336615412014838</c:v>
                </c:pt>
                <c:pt idx="696">
                  <c:v>-0.35924012662600918</c:v>
                </c:pt>
                <c:pt idx="697">
                  <c:v>-0.36552423175345922</c:v>
                </c:pt>
                <c:pt idx="698">
                  <c:v>-0.37221718766553935</c:v>
                </c:pt>
                <c:pt idx="699">
                  <c:v>-0.37931770233098</c:v>
                </c:pt>
                <c:pt idx="700">
                  <c:v>-0.38682447170232243</c:v>
                </c:pt>
                <c:pt idx="701">
                  <c:v>-0.39473617799653277</c:v>
                </c:pt>
                <c:pt idx="702">
                  <c:v>-0.40305148807648</c:v>
                </c:pt>
                <c:pt idx="703">
                  <c:v>-0.41176905193121555</c:v>
                </c:pt>
                <c:pt idx="704">
                  <c:v>-0.42088750125263469</c:v>
                </c:pt>
                <c:pt idx="705">
                  <c:v>-0.4304054481058025</c:v>
                </c:pt>
                <c:pt idx="706">
                  <c:v>-0.44032148368997642</c:v>
                </c:pt>
                <c:pt idx="707">
                  <c:v>-0.4506341771871748</c:v>
                </c:pt>
                <c:pt idx="708">
                  <c:v>-0.46134207469500954</c:v>
                </c:pt>
                <c:pt idx="709">
                  <c:v>-0.47244369824040389</c:v>
                </c:pt>
                <c:pt idx="710">
                  <c:v>-0.48393754487076823</c:v>
                </c:pt>
                <c:pt idx="711">
                  <c:v>-0.49582208581920217</c:v>
                </c:pt>
                <c:pt idx="712">
                  <c:v>-0.50809576574029569</c:v>
                </c:pt>
                <c:pt idx="713">
                  <c:v>-0.52075700201316055</c:v>
                </c:pt>
                <c:pt idx="714">
                  <c:v>-0.53380418410837904</c:v>
                </c:pt>
                <c:pt idx="715">
                  <c:v>-0.54723567301564924</c:v>
                </c:pt>
                <c:pt idx="716">
                  <c:v>-0.56104980072900046</c:v>
                </c:pt>
                <c:pt idx="717">
                  <c:v>-0.57524486978656275</c:v>
                </c:pt>
                <c:pt idx="718">
                  <c:v>-0.58981915286199726</c:v>
                </c:pt>
                <c:pt idx="719">
                  <c:v>-0.6047708924048063</c:v>
                </c:pt>
                <c:pt idx="720">
                  <c:v>-0.6200983003268834</c:v>
                </c:pt>
                <c:pt idx="721">
                  <c:v>-0.63579955773277685</c:v>
                </c:pt>
                <c:pt idx="722">
                  <c:v>-0.65187281469128133</c:v>
                </c:pt>
                <c:pt idx="723">
                  <c:v>-0.668316190046086</c:v>
                </c:pt>
                <c:pt idx="724">
                  <c:v>-0.68512777126334168</c:v>
                </c:pt>
                <c:pt idx="725">
                  <c:v>-0.70230561431412264</c:v>
                </c:pt>
                <c:pt idx="726">
                  <c:v>-0.71984774358988368</c:v>
                </c:pt>
                <c:pt idx="727">
                  <c:v>-0.73775215184911336</c:v>
                </c:pt>
                <c:pt idx="728">
                  <c:v>-0.75601680019349848</c:v>
                </c:pt>
                <c:pt idx="729">
                  <c:v>-0.77463961807202708</c:v>
                </c:pt>
                <c:pt idx="730">
                  <c:v>-0.79361850331152772</c:v>
                </c:pt>
                <c:pt idx="731">
                  <c:v>-0.8129513221722654</c:v>
                </c:pt>
                <c:pt idx="732">
                  <c:v>-0.83263590942728016</c:v>
                </c:pt>
                <c:pt idx="733">
                  <c:v>-0.85267006846424442</c:v>
                </c:pt>
                <c:pt idx="734">
                  <c:v>-0.87305157140869261</c:v>
                </c:pt>
                <c:pt idx="735">
                  <c:v>-0.89377815926754656</c:v>
                </c:pt>
                <c:pt idx="736">
                  <c:v>-0.91484754209192654</c:v>
                </c:pt>
                <c:pt idx="737">
                  <c:v>-0.93625739915830364</c:v>
                </c:pt>
                <c:pt idx="738">
                  <c:v>-0.95800537916711204</c:v>
                </c:pt>
                <c:pt idx="739">
                  <c:v>-0.9800891004579797</c:v>
                </c:pt>
                <c:pt idx="740">
                  <c:v>-1.0025061512408078</c:v>
                </c:pt>
                <c:pt idx="741">
                  <c:v>-1.0252540898419562</c:v>
                </c:pt>
                <c:pt idx="742">
                  <c:v>-1.0483304449648601</c:v>
                </c:pt>
                <c:pt idx="743">
                  <c:v>-1.0717327159644101</c:v>
                </c:pt>
                <c:pt idx="744">
                  <c:v>-1.09545837313451</c:v>
                </c:pt>
                <c:pt idx="745">
                  <c:v>-1.1195048580082176</c:v>
                </c:pt>
                <c:pt idx="746">
                  <c:v>-1.1438695836699371</c:v>
                </c:pt>
                <c:pt idx="747">
                  <c:v>-1.1685499350791551</c:v>
                </c:pt>
                <c:pt idx="748">
                  <c:v>-1.1935432694052246</c:v>
                </c:pt>
                <c:pt idx="749">
                  <c:v>-1.2188469163727507</c:v>
                </c:pt>
                <c:pt idx="750">
                  <c:v>-1.2444581786171403</c:v>
                </c:pt>
                <c:pt idx="751">
                  <c:v>-1.270374332049901</c:v>
                </c:pt>
                <c:pt idx="752">
                  <c:v>-1.2965926262333076</c:v>
                </c:pt>
                <c:pt idx="753">
                  <c:v>-1.3231102847640483</c:v>
                </c:pt>
                <c:pt idx="754">
                  <c:v>-1.3499245056655154</c:v>
                </c:pt>
                <c:pt idx="755">
                  <c:v>-1.3770324617883811</c:v>
                </c:pt>
                <c:pt idx="756">
                  <c:v>-1.4044313012191514</c:v>
                </c:pt>
                <c:pt idx="757">
                  <c:v>-1.4321181476963778</c:v>
                </c:pt>
                <c:pt idx="758">
                  <c:v>-1.4600901010342286</c:v>
                </c:pt>
                <c:pt idx="759">
                  <c:v>-1.4883442375531415</c:v>
                </c:pt>
                <c:pt idx="760">
                  <c:v>-1.5168776105172697</c:v>
                </c:pt>
                <c:pt idx="761">
                  <c:v>-1.5456872505784689</c:v>
                </c:pt>
                <c:pt idx="762">
                  <c:v>-1.5747701662265543</c:v>
                </c:pt>
                <c:pt idx="763">
                  <c:v>-1.6041233442455924</c:v>
                </c:pt>
                <c:pt idx="764">
                  <c:v>-1.6337437501759755</c:v>
                </c:pt>
                <c:pt idx="765">
                  <c:v>-1.6636283287820535</c:v>
                </c:pt>
                <c:pt idx="766">
                  <c:v>-1.6937740045250831</c:v>
                </c:pt>
                <c:pt idx="767">
                  <c:v>-1.7241776820412935</c:v>
                </c:pt>
                <c:pt idx="768">
                  <c:v>-1.7548362466248291</c:v>
                </c:pt>
                <c:pt idx="769">
                  <c:v>-1.7857465647153743</c:v>
                </c:pt>
                <c:pt idx="770">
                  <c:v>-1.8169054843902468</c:v>
                </c:pt>
                <c:pt idx="771">
                  <c:v>-1.8483098358607599</c:v>
                </c:pt>
                <c:pt idx="772">
                  <c:v>-1.8799564319726518</c:v>
                </c:pt>
                <c:pt idx="773">
                  <c:v>-1.9118420687103919</c:v>
                </c:pt>
                <c:pt idx="774">
                  <c:v>-1.9439635257051675</c:v>
                </c:pt>
                <c:pt idx="775">
                  <c:v>-1.9763175667463713</c:v>
                </c:pt>
                <c:pt idx="776">
                  <c:v>-2.0089009402963804</c:v>
                </c:pt>
                <c:pt idx="777">
                  <c:v>-2.0417103800084884</c:v>
                </c:pt>
                <c:pt idx="778">
                  <c:v>-2.0747426052477564</c:v>
                </c:pt>
                <c:pt idx="779">
                  <c:v>-2.1079943216146404</c:v>
                </c:pt>
                <c:pt idx="780">
                  <c:v>-2.1414622214712105</c:v>
                </c:pt>
                <c:pt idx="781">
                  <c:v>-2.1751429844697783</c:v>
                </c:pt>
                <c:pt idx="782">
                  <c:v>-2.2090332780837709</c:v>
                </c:pt>
                <c:pt idx="783">
                  <c:v>-2.2431297581406722</c:v>
                </c:pt>
                <c:pt idx="784">
                  <c:v>-2.2774290693568617</c:v>
                </c:pt>
                <c:pt idx="785">
                  <c:v>-2.3119278458741901</c:v>
                </c:pt>
                <c:pt idx="786">
                  <c:v>-2.346622711798116</c:v>
                </c:pt>
                <c:pt idx="787">
                  <c:v>-2.3815102817372393</c:v>
                </c:pt>
                <c:pt idx="788">
                  <c:v>-2.4165871613440726</c:v>
                </c:pt>
                <c:pt idx="789">
                  <c:v>-2.4518499478568709</c:v>
                </c:pt>
                <c:pt idx="790">
                  <c:v>-2.4872952306423874</c:v>
                </c:pt>
                <c:pt idx="791">
                  <c:v>-2.5229195917393561</c:v>
                </c:pt>
                <c:pt idx="792">
                  <c:v>-2.5587196064025672</c:v>
                </c:pt>
                <c:pt idx="793">
                  <c:v>-2.5946918436473627</c:v>
                </c:pt>
                <c:pt idx="794">
                  <c:v>-2.6308328667944081</c:v>
                </c:pt>
                <c:pt idx="795">
                  <c:v>-2.6671392340145621</c:v>
                </c:pt>
                <c:pt idx="796">
                  <c:v>-2.7036074988736991</c:v>
                </c:pt>
                <c:pt idx="797">
                  <c:v>-2.7402342108773317</c:v>
                </c:pt>
                <c:pt idx="798">
                  <c:v>-2.7770159160148684</c:v>
                </c:pt>
                <c:pt idx="799">
                  <c:v>-2.8139491573033588</c:v>
                </c:pt>
                <c:pt idx="800">
                  <c:v>-2.8510304753305742</c:v>
                </c:pt>
                <c:pt idx="801">
                  <c:v>-2.8882564087972598</c:v>
                </c:pt>
                <c:pt idx="802">
                  <c:v>-2.9256234950584274</c:v>
                </c:pt>
                <c:pt idx="803">
                  <c:v>-2.9631282706635194</c:v>
                </c:pt>
                <c:pt idx="804">
                  <c:v>-3.0007672718952998</c:v>
                </c:pt>
                <c:pt idx="805">
                  <c:v>-3.038537035307328</c:v>
                </c:pt>
                <c:pt idx="806">
                  <c:v>-3.0764340982598672</c:v>
                </c:pt>
                <c:pt idx="807">
                  <c:v>-3.1144549994540784</c:v>
                </c:pt>
                <c:pt idx="808">
                  <c:v>-3.1525962794643463</c:v>
                </c:pt>
                <c:pt idx="809">
                  <c:v>-3.1908544812686213</c:v>
                </c:pt>
                <c:pt idx="810">
                  <c:v>-3.2292261507765971</c:v>
                </c:pt>
                <c:pt idx="811">
                  <c:v>-3.2677078373556072</c:v>
                </c:pt>
                <c:pt idx="812">
                  <c:v>-3.3062960943540896</c:v>
                </c:pt>
                <c:pt idx="813">
                  <c:v>-3.3449874796224917</c:v>
                </c:pt>
                <c:pt idx="814">
                  <c:v>-3.3837785560314608</c:v>
                </c:pt>
                <c:pt idx="815">
                  <c:v>-3.4226658919871893</c:v>
                </c:pt>
                <c:pt idx="816">
                  <c:v>-3.4616460619437941</c:v>
                </c:pt>
                <c:pt idx="817">
                  <c:v>-3.5007156469125693</c:v>
                </c:pt>
                <c:pt idx="818">
                  <c:v>-3.539871234968003</c:v>
                </c:pt>
                <c:pt idx="819">
                  <c:v>-3.5791094217504194</c:v>
                </c:pt>
                <c:pt idx="820">
                  <c:v>-3.618426810965103</c:v>
                </c:pt>
                <c:pt idx="821">
                  <c:v>-3.6578200148778115</c:v>
                </c:pt>
                <c:pt idx="822">
                  <c:v>-3.6972856548065156</c:v>
                </c:pt>
                <c:pt idx="823">
                  <c:v>-3.7368203616092481</c:v>
                </c:pt>
                <c:pt idx="824">
                  <c:v>-3.7764207761679711</c:v>
                </c:pt>
                <c:pt idx="825">
                  <c:v>-3.8160835498682935</c:v>
                </c:pt>
                <c:pt idx="826">
                  <c:v>-3.8558053450749501</c:v>
                </c:pt>
                <c:pt idx="827">
                  <c:v>-3.8955828356029243</c:v>
                </c:pt>
                <c:pt idx="828">
                  <c:v>-3.9354127071840859</c:v>
                </c:pt>
                <c:pt idx="829">
                  <c:v>-3.9752916579292297</c:v>
                </c:pt>
                <c:pt idx="830">
                  <c:v>-4.0152163987854257</c:v>
                </c:pt>
                <c:pt idx="831">
                  <c:v>-4.0551836539885526</c:v>
                </c:pt>
                <c:pt idx="832">
                  <c:v>-4.0951901615108932</c:v>
                </c:pt>
                <c:pt idx="833">
                  <c:v>-4.1352326735037286</c:v>
                </c:pt>
                <c:pt idx="834">
                  <c:v>-4.1753079567348035</c:v>
                </c:pt>
                <c:pt idx="835">
                  <c:v>-4.2154127930205378</c:v>
                </c:pt>
                <c:pt idx="836">
                  <c:v>-4.255543979652928</c:v>
                </c:pt>
                <c:pt idx="837">
                  <c:v>-4.2956983298210361</c:v>
                </c:pt>
                <c:pt idx="838">
                  <c:v>-4.3358726730269339</c:v>
                </c:pt>
                <c:pt idx="839">
                  <c:v>-4.3760638554960547</c:v>
                </c:pt>
                <c:pt idx="840">
                  <c:v>-4.4162687405818382</c:v>
                </c:pt>
                <c:pt idx="841">
                  <c:v>-4.4564842091646044</c:v>
                </c:pt>
                <c:pt idx="842">
                  <c:v>-4.4967071600445196</c:v>
                </c:pt>
                <c:pt idx="843">
                  <c:v>-4.5369345103286687</c:v>
                </c:pt>
                <c:pt idx="844">
                  <c:v>-4.577163195812024</c:v>
                </c:pt>
                <c:pt idx="845">
                  <c:v>-4.6173901713523771</c:v>
                </c:pt>
                <c:pt idx="846">
                  <c:v>-4.6576124112390147</c:v>
                </c:pt>
                <c:pt idx="847">
                  <c:v>-4.6978269095552116</c:v>
                </c:pt>
                <c:pt idx="848">
                  <c:v>-4.7380306805343348</c:v>
                </c:pt>
                <c:pt idx="849">
                  <c:v>-4.7782207589095833</c:v>
                </c:pt>
                <c:pt idx="850">
                  <c:v>-4.8183942002572842</c:v>
                </c:pt>
                <c:pt idx="851">
                  <c:v>-4.8585480813336499</c:v>
                </c:pt>
                <c:pt idx="852">
                  <c:v>-4.8986795004049482</c:v>
                </c:pt>
                <c:pt idx="853">
                  <c:v>-4.9387855775710827</c:v>
                </c:pt>
                <c:pt idx="854">
                  <c:v>-4.9788634550824495</c:v>
                </c:pt>
                <c:pt idx="855">
                  <c:v>-5.0189102976500504</c:v>
                </c:pt>
                <c:pt idx="856">
                  <c:v>-5.058923292748867</c:v>
                </c:pt>
                <c:pt idx="857">
                  <c:v>-5.0988996509143432</c:v>
                </c:pt>
                <c:pt idx="858">
                  <c:v>-5.1388366060320472</c:v>
                </c:pt>
                <c:pt idx="859">
                  <c:v>-5.178731415620395</c:v>
                </c:pt>
                <c:pt idx="860">
                  <c:v>-5.2185813611064091</c:v>
                </c:pt>
                <c:pt idx="861">
                  <c:v>-5.2583837480945306</c:v>
                </c:pt>
                <c:pt idx="862">
                  <c:v>-5.2981359066283842</c:v>
                </c:pt>
                <c:pt idx="863">
                  <c:v>-5.3378351914455004</c:v>
                </c:pt>
                <c:pt idx="864">
                  <c:v>-5.3774789822249849</c:v>
                </c:pt>
                <c:pt idx="865">
                  <c:v>-5.4170646838280776</c:v>
                </c:pt>
                <c:pt idx="866">
                  <c:v>-5.4565897265315932</c:v>
                </c:pt>
                <c:pt idx="867">
                  <c:v>-5.496051566254228</c:v>
                </c:pt>
                <c:pt idx="868">
                  <c:v>-5.5354476847757468</c:v>
                </c:pt>
                <c:pt idx="869">
                  <c:v>-5.5747755899489544</c:v>
                </c:pt>
                <c:pt idx="870">
                  <c:v>-5.6140328159045483</c:v>
                </c:pt>
                <c:pt idx="871">
                  <c:v>-5.6532169232487623</c:v>
                </c:pt>
                <c:pt idx="872">
                  <c:v>-5.6923254992538244</c:v>
                </c:pt>
                <c:pt idx="873">
                  <c:v>-5.7313561580412635</c:v>
                </c:pt>
                <c:pt idx="874">
                  <c:v>-5.7703065407579786</c:v>
                </c:pt>
                <c:pt idx="875">
                  <c:v>-5.8091743157451905</c:v>
                </c:pt>
                <c:pt idx="876">
                  <c:v>-5.8479571787001596</c:v>
                </c:pt>
                <c:pt idx="877">
                  <c:v>-5.8866528528307693</c:v>
                </c:pt>
                <c:pt idx="878">
                  <c:v>-5.9252590890029673</c:v>
                </c:pt>
                <c:pt idx="879">
                  <c:v>-5.9637736658810176</c:v>
                </c:pt>
                <c:pt idx="880">
                  <c:v>-6.0021943900606844</c:v>
                </c:pt>
                <c:pt idx="881">
                  <c:v>-6.0405190961952666</c:v>
                </c:pt>
                <c:pt idx="882">
                  <c:v>-6.0787456471145678</c:v>
                </c:pt>
                <c:pt idx="883">
                  <c:v>-6.1168719339368067</c:v>
                </c:pt>
                <c:pt idx="884">
                  <c:v>-6.1548958761734855</c:v>
                </c:pt>
                <c:pt idx="885">
                  <c:v>-6.1928154218272411</c:v>
                </c:pt>
                <c:pt idx="886">
                  <c:v>-6.230628547482743</c:v>
                </c:pt>
                <c:pt idx="887">
                  <c:v>-6.2683332583906335</c:v>
                </c:pt>
                <c:pt idx="888">
                  <c:v>-6.3059275885445523</c:v>
                </c:pt>
                <c:pt idx="889">
                  <c:v>-6.3434096007513165</c:v>
                </c:pt>
                <c:pt idx="890">
                  <c:v>-6.3807773866942528</c:v>
                </c:pt>
                <c:pt idx="891">
                  <c:v>-6.4180290669897104</c:v>
                </c:pt>
                <c:pt idx="892">
                  <c:v>-6.4551627912369147</c:v>
                </c:pt>
                <c:pt idx="893">
                  <c:v>-6.492176738061012</c:v>
                </c:pt>
                <c:pt idx="894">
                  <c:v>-6.5290691151495555</c:v>
                </c:pt>
                <c:pt idx="895">
                  <c:v>-6.5658381592823352</c:v>
                </c:pt>
                <c:pt idx="896">
                  <c:v>-6.6024821363546877</c:v>
                </c:pt>
                <c:pt idx="897">
                  <c:v>-6.6389993413942934</c:v>
                </c:pt>
                <c:pt idx="898">
                  <c:v>-6.6753880985715321</c:v>
                </c:pt>
                <c:pt idx="899">
                  <c:v>-6.7116467612034922</c:v>
                </c:pt>
                <c:pt idx="900">
                  <c:v>-6.7477737117516048</c:v>
                </c:pt>
                <c:pt idx="901">
                  <c:v>-6.7837673618130596</c:v>
                </c:pt>
                <c:pt idx="902">
                  <c:v>-6.8196261521060002</c:v>
                </c:pt>
                <c:pt idx="903">
                  <c:v>-6.8553485524485973</c:v>
                </c:pt>
                <c:pt idx="904">
                  <c:v>-6.8909330617320386</c:v>
                </c:pt>
                <c:pt idx="905">
                  <c:v>-6.9263782078875442</c:v>
                </c:pt>
                <c:pt idx="906">
                  <c:v>-6.9616825478474258</c:v>
                </c:pt>
                <c:pt idx="907">
                  <c:v>-6.99684466750029</c:v>
                </c:pt>
                <c:pt idx="908">
                  <c:v>-7.0318631816404809</c:v>
                </c:pt>
                <c:pt idx="909">
                  <c:v>-7.0667367339117577</c:v>
                </c:pt>
                <c:pt idx="910">
                  <c:v>-7.1014639967453768</c:v>
                </c:pt>
                <c:pt idx="911">
                  <c:v>-7.1360436712926001</c:v>
                </c:pt>
                <c:pt idx="912">
                  <c:v>-7.1704744873516839</c:v>
                </c:pt>
                <c:pt idx="913">
                  <c:v>-7.2047552032894995</c:v>
                </c:pt>
                <c:pt idx="914">
                  <c:v>-7.2388846059578116</c:v>
                </c:pt>
                <c:pt idx="915">
                  <c:v>-7.2728615106042858</c:v>
                </c:pt>
                <c:pt idx="916">
                  <c:v>-7.3066847607783618</c:v>
                </c:pt>
                <c:pt idx="917">
                  <c:v>-7.3403532282320167</c:v>
                </c:pt>
                <c:pt idx="918">
                  <c:v>-7.3738658128155405</c:v>
                </c:pt>
                <c:pt idx="919">
                  <c:v>-7.4072214423683826</c:v>
                </c:pt>
                <c:pt idx="920">
                  <c:v>-7.4404190726051729</c:v>
                </c:pt>
                <c:pt idx="921">
                  <c:v>-7.4734576869969951</c:v>
                </c:pt>
                <c:pt idx="922">
                  <c:v>-7.5063362966479881</c:v>
                </c:pt>
                <c:pt idx="923">
                  <c:v>-7.5390539401674088</c:v>
                </c:pt>
                <c:pt idx="924">
                  <c:v>-7.5716096835371527</c:v>
                </c:pt>
                <c:pt idx="925">
                  <c:v>-7.6040026199749322</c:v>
                </c:pt>
                <c:pt idx="926">
                  <c:v>-7.6362318697931144</c:v>
                </c:pt>
                <c:pt idx="927">
                  <c:v>-7.6682965802533447</c:v>
                </c:pt>
                <c:pt idx="928">
                  <c:v>-7.70019592541707</c:v>
                </c:pt>
                <c:pt idx="929">
                  <c:v>-7.7319291059919548</c:v>
                </c:pt>
                <c:pt idx="930">
                  <c:v>-7.7634953491744332</c:v>
                </c:pt>
                <c:pt idx="931">
                  <c:v>-7.7948939084883477</c:v>
                </c:pt>
                <c:pt idx="932">
                  <c:v>-7.8261240636198304</c:v>
                </c:pt>
                <c:pt idx="933">
                  <c:v>-7.8571851202485297</c:v>
                </c:pt>
                <c:pt idx="934">
                  <c:v>-7.8880764098752341</c:v>
                </c:pt>
                <c:pt idx="935">
                  <c:v>-7.9187972896459904</c:v>
                </c:pt>
                <c:pt idx="936">
                  <c:v>-7.9493471421728783</c:v>
                </c:pt>
                <c:pt idx="937">
                  <c:v>-7.979725375351399</c:v>
                </c:pt>
                <c:pt idx="938">
                  <c:v>-8.0099314221747075</c:v>
                </c:pt>
                <c:pt idx="939">
                  <c:v>-8.0399647405446952</c:v>
                </c:pt>
                <c:pt idx="940">
                  <c:v>-8.0698248130800376</c:v>
                </c:pt>
                <c:pt idx="941">
                  <c:v>-8.0995111469212926</c:v>
                </c:pt>
                <c:pt idx="942">
                  <c:v>-8.1290232735331749</c:v>
                </c:pt>
                <c:pt idx="943">
                  <c:v>-8.158360748504041</c:v>
                </c:pt>
                <c:pt idx="944">
                  <c:v>-8.1875231513427202</c:v>
                </c:pt>
                <c:pt idx="945">
                  <c:v>-8.1875520841566161</c:v>
                </c:pt>
                <c:pt idx="946">
                  <c:v>-8.1875810167964094</c:v>
                </c:pt>
                <c:pt idx="947">
                  <c:v>-8.1876099492620913</c:v>
                </c:pt>
                <c:pt idx="948">
                  <c:v>-8.1876388815536618</c:v>
                </c:pt>
                <c:pt idx="949">
                  <c:v>-8.1876678136711263</c:v>
                </c:pt>
                <c:pt idx="950">
                  <c:v>-8.1876967456144794</c:v>
                </c:pt>
                <c:pt idx="951">
                  <c:v>-8.1877256773837246</c:v>
                </c:pt>
                <c:pt idx="952">
                  <c:v>-8.1877546089788602</c:v>
                </c:pt>
                <c:pt idx="953">
                  <c:v>-8.1877835403998791</c:v>
                </c:pt>
                <c:pt idx="954">
                  <c:v>-8.1878124716467919</c:v>
                </c:pt>
                <c:pt idx="955">
                  <c:v>-8.1878414027195987</c:v>
                </c:pt>
                <c:pt idx="956">
                  <c:v>-8.1878703336182888</c:v>
                </c:pt>
                <c:pt idx="957">
                  <c:v>-8.1878992643428639</c:v>
                </c:pt>
                <c:pt idx="958">
                  <c:v>-8.1879281948933276</c:v>
                </c:pt>
                <c:pt idx="959">
                  <c:v>-8.1879571252696799</c:v>
                </c:pt>
                <c:pt idx="960">
                  <c:v>-8.187986055471919</c:v>
                </c:pt>
                <c:pt idx="961">
                  <c:v>-8.1880149855000486</c:v>
                </c:pt>
                <c:pt idx="962">
                  <c:v>-8.1880439153540578</c:v>
                </c:pt>
                <c:pt idx="963">
                  <c:v>-8.1880728450339557</c:v>
                </c:pt>
                <c:pt idx="964">
                  <c:v>-8.1881017745397315</c:v>
                </c:pt>
                <c:pt idx="965">
                  <c:v>-8.1881307038713995</c:v>
                </c:pt>
                <c:pt idx="966">
                  <c:v>-8.188159633028949</c:v>
                </c:pt>
                <c:pt idx="967">
                  <c:v>-8.1881885620123818</c:v>
                </c:pt>
                <c:pt idx="968">
                  <c:v>-8.1882174908217014</c:v>
                </c:pt>
                <c:pt idx="969">
                  <c:v>-8.1882464194569025</c:v>
                </c:pt>
                <c:pt idx="970">
                  <c:v>-8.1882753479179886</c:v>
                </c:pt>
                <c:pt idx="971">
                  <c:v>-8.1883042762049545</c:v>
                </c:pt>
                <c:pt idx="972">
                  <c:v>-8.1883332043178054</c:v>
                </c:pt>
                <c:pt idx="973">
                  <c:v>-8.1883621322565361</c:v>
                </c:pt>
                <c:pt idx="974">
                  <c:v>-8.18839106002115</c:v>
                </c:pt>
                <c:pt idx="975">
                  <c:v>-8.1884199876116455</c:v>
                </c:pt>
                <c:pt idx="976">
                  <c:v>-8.1884489150280224</c:v>
                </c:pt>
                <c:pt idx="977">
                  <c:v>-8.1884778422702755</c:v>
                </c:pt>
                <c:pt idx="978">
                  <c:v>-8.1885067693384119</c:v>
                </c:pt>
                <c:pt idx="979">
                  <c:v>-8.1885356962324245</c:v>
                </c:pt>
                <c:pt idx="980">
                  <c:v>-8.1885646229523203</c:v>
                </c:pt>
                <c:pt idx="981">
                  <c:v>-8.1885935494980941</c:v>
                </c:pt>
                <c:pt idx="982">
                  <c:v>-8.1886224758697441</c:v>
                </c:pt>
                <c:pt idx="983">
                  <c:v>-8.1886514020672738</c:v>
                </c:pt>
                <c:pt idx="984">
                  <c:v>-8.1886803280906815</c:v>
                </c:pt>
                <c:pt idx="985">
                  <c:v>-8.1887092539399706</c:v>
                </c:pt>
                <c:pt idx="986">
                  <c:v>-8.1887381796151288</c:v>
                </c:pt>
                <c:pt idx="987">
                  <c:v>-8.1887671051161668</c:v>
                </c:pt>
                <c:pt idx="988">
                  <c:v>-8.1887960304430827</c:v>
                </c:pt>
                <c:pt idx="989">
                  <c:v>-8.188824955595873</c:v>
                </c:pt>
                <c:pt idx="990">
                  <c:v>-8.1888538805745394</c:v>
                </c:pt>
                <c:pt idx="991">
                  <c:v>-8.1888828053790785</c:v>
                </c:pt>
                <c:pt idx="992">
                  <c:v>-8.1889117300094956</c:v>
                </c:pt>
                <c:pt idx="993">
                  <c:v>-8.1889406544657852</c:v>
                </c:pt>
                <c:pt idx="994">
                  <c:v>-8.1889695787479528</c:v>
                </c:pt>
                <c:pt idx="995">
                  <c:v>-8.1889985028559913</c:v>
                </c:pt>
                <c:pt idx="996">
                  <c:v>-8.1890274267899006</c:v>
                </c:pt>
                <c:pt idx="997">
                  <c:v>-8.1890563505496825</c:v>
                </c:pt>
                <c:pt idx="998">
                  <c:v>-8.1890852741353424</c:v>
                </c:pt>
                <c:pt idx="999">
                  <c:v>-8.1891141975468713</c:v>
                </c:pt>
                <c:pt idx="1000">
                  <c:v>-8.1891431207842693</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Calculs!$J$4:$J$1004</c:f>
              <c:numCache>
                <c:formatCode>0.00</c:formatCode>
                <c:ptCount val="1001"/>
                <c:pt idx="0">
                  <c:v>0</c:v>
                </c:pt>
                <c:pt idx="1">
                  <c:v>7.8068751954264885E-5</c:v>
                </c:pt>
                <c:pt idx="2">
                  <c:v>4.9095286462302E-4</c:v>
                </c:pt>
                <c:pt idx="3">
                  <c:v>1.491499648462318E-3</c:v>
                </c:pt>
                <c:pt idx="4">
                  <c:v>3.2281037998809397E-3</c:v>
                </c:pt>
                <c:pt idx="5">
                  <c:v>5.8492807523010653E-3</c:v>
                </c:pt>
                <c:pt idx="6">
                  <c:v>9.5036849283488649E-3</c:v>
                </c:pt>
                <c:pt idx="7">
                  <c:v>1.4340127864657718E-2</c:v>
                </c:pt>
                <c:pt idx="8">
                  <c:v>2.0507596216029399E-2</c:v>
                </c:pt>
                <c:pt idx="9">
                  <c:v>2.8155269645527378E-2</c:v>
                </c:pt>
                <c:pt idx="10">
                  <c:v>3.7432538606911911E-2</c:v>
                </c:pt>
                <c:pt idx="11">
                  <c:v>4.844633564922908E-2</c:v>
                </c:pt>
                <c:pt idx="12">
                  <c:v>6.1218365000211009E-2</c:v>
                </c:pt>
                <c:pt idx="13">
                  <c:v>7.5727323644137812E-2</c:v>
                </c:pt>
                <c:pt idx="14">
                  <c:v>9.1951214893689209E-2</c:v>
                </c:pt>
                <c:pt idx="15">
                  <c:v>0.10986767309825565</c:v>
                </c:pt>
                <c:pt idx="16">
                  <c:v>0.12945428906740214</c:v>
                </c:pt>
                <c:pt idx="17">
                  <c:v>0.1506886107768757</c:v>
                </c:pt>
                <c:pt idx="18">
                  <c:v>0.17354814407439006</c:v>
                </c:pt>
                <c:pt idx="19">
                  <c:v>0.19801035338509218</c:v>
                </c:pt>
                <c:pt idx="20">
                  <c:v>0.22405266241661514</c:v>
                </c:pt>
                <c:pt idx="21">
                  <c:v>0.25165245486362342</c:v>
                </c:pt>
                <c:pt idx="22">
                  <c:v>0.28078707511175599</c:v>
                </c:pt>
                <c:pt idx="23">
                  <c:v>0.31143382894087418</c:v>
                </c:pt>
                <c:pt idx="24">
                  <c:v>0.34356998422752133</c:v>
                </c:pt>
                <c:pt idx="25">
                  <c:v>0.37717277164650181</c:v>
                </c:pt>
                <c:pt idx="26">
                  <c:v>0.41221938537148817</c:v>
                </c:pt>
                <c:pt idx="27">
                  <c:v>0.44869272071940014</c:v>
                </c:pt>
                <c:pt idx="28">
                  <c:v>0.48658712154688871</c:v>
                </c:pt>
                <c:pt idx="29">
                  <c:v>0.52590265808600734</c:v>
                </c:pt>
                <c:pt idx="30">
                  <c:v>0.56663939467391855</c:v>
                </c:pt>
                <c:pt idx="31">
                  <c:v>0.6087973897453286</c:v>
                </c:pt>
                <c:pt idx="32">
                  <c:v>0.6523766958250371</c:v>
                </c:pt>
                <c:pt idx="33">
                  <c:v>0.6973773595206022</c:v>
                </c:pt>
                <c:pt idx="34">
                  <c:v>0.74388334048300531</c:v>
                </c:pt>
                <c:pt idx="35">
                  <c:v>0.79198137868783935</c:v>
                </c:pt>
                <c:pt idx="36">
                  <c:v>0.84167704391527187</c:v>
                </c:pt>
                <c:pt idx="37">
                  <c:v>0.89297579911410474</c:v>
                </c:pt>
                <c:pt idx="38">
                  <c:v>0.94588296618105772</c:v>
                </c:pt>
                <c:pt idx="39">
                  <c:v>1.0004037328389408</c:v>
                </c:pt>
                <c:pt idx="40">
                  <c:v>1.0565431589862955</c:v>
                </c:pt>
                <c:pt idx="41">
                  <c:v>1.1143061825716356</c:v>
                </c:pt>
                <c:pt idx="42">
                  <c:v>1.173697625038876</c:v>
                </c:pt>
                <c:pt idx="43">
                  <c:v>1.2347221963849404</c:v>
                </c:pt>
                <c:pt idx="44">
                  <c:v>1.2973844998657351</c:v>
                </c:pt>
                <c:pt idx="45">
                  <c:v>1.3616890363825316</c:v>
                </c:pt>
                <c:pt idx="46">
                  <c:v>1.4276402085772157</c:v>
                </c:pt>
                <c:pt idx="47">
                  <c:v>1.4952423246617521</c:v>
                </c:pt>
                <c:pt idx="48">
                  <c:v>1.5644996020044948</c:v>
                </c:pt>
                <c:pt idx="49">
                  <c:v>1.6354161704936148</c:v>
                </c:pt>
                <c:pt idx="50">
                  <c:v>1.7079960756958288</c:v>
                </c:pt>
                <c:pt idx="51">
                  <c:v>1.7822432818267948</c:v>
                </c:pt>
                <c:pt idx="52">
                  <c:v>1.8581616745479266</c:v>
                </c:pt>
                <c:pt idx="53">
                  <c:v>1.9357550636029592</c:v>
                </c:pt>
                <c:pt idx="54">
                  <c:v>2.015027185306336</c:v>
                </c:pt>
                <c:pt idx="55">
                  <c:v>2.0959817048943674</c:v>
                </c:pt>
                <c:pt idx="56">
                  <c:v>2.178622218749116</c:v>
                </c:pt>
                <c:pt idx="57">
                  <c:v>2.2629522565040712</c:v>
                </c:pt>
                <c:pt idx="58">
                  <c:v>2.3489752830398851</c:v>
                </c:pt>
                <c:pt idx="59">
                  <c:v>2.436694700377724</c:v>
                </c:pt>
                <c:pt idx="60">
                  <c:v>2.5261138494771478</c:v>
                </c:pt>
                <c:pt idx="61">
                  <c:v>2.6172360119448665</c:v>
                </c:pt>
                <c:pt idx="62">
                  <c:v>2.7100644116601842</c:v>
                </c:pt>
                <c:pt idx="63">
                  <c:v>2.8046022163224889</c:v>
                </c:pt>
                <c:pt idx="64">
                  <c:v>2.9008525389257134</c:v>
                </c:pt>
                <c:pt idx="65">
                  <c:v>2.9988184391643138</c:v>
                </c:pt>
                <c:pt idx="66">
                  <c:v>3.098502924774956</c:v>
                </c:pt>
                <c:pt idx="67">
                  <c:v>3.1999089528177938</c:v>
                </c:pt>
                <c:pt idx="68">
                  <c:v>3.3030394309009217</c:v>
                </c:pt>
                <c:pt idx="69">
                  <c:v>3.407897218351335</c:v>
                </c:pt>
                <c:pt idx="70">
                  <c:v>3.5144851273354796</c:v>
                </c:pt>
                <c:pt idx="71">
                  <c:v>3.6228059239322579</c:v>
                </c:pt>
                <c:pt idx="72">
                  <c:v>3.7328622572600776</c:v>
                </c:pt>
                <c:pt idx="73">
                  <c:v>3.8446565880950163</c:v>
                </c:pt>
                <c:pt idx="74">
                  <c:v>3.9581912610983387</c:v>
                </c:pt>
                <c:pt idx="75">
                  <c:v>4.0734685774853139</c:v>
                </c:pt>
                <c:pt idx="76">
                  <c:v>4.1904907959219866</c:v>
                </c:pt>
                <c:pt idx="77">
                  <c:v>4.3092601333869451</c:v>
                </c:pt>
                <c:pt idx="78">
                  <c:v>4.4297787659999059</c:v>
                </c:pt>
                <c:pt idx="79">
                  <c:v>4.5520488298188102</c:v>
                </c:pt>
                <c:pt idx="80">
                  <c:v>4.6760724216070404</c:v>
                </c:pt>
                <c:pt idx="81">
                  <c:v>4.8018515995722417</c:v>
                </c:pt>
                <c:pt idx="82">
                  <c:v>4.9293883840781634</c:v>
                </c:pt>
                <c:pt idx="83">
                  <c:v>5.0586847583308279</c:v>
                </c:pt>
                <c:pt idx="84">
                  <c:v>5.1897426690402728</c:v>
                </c:pt>
                <c:pt idx="85">
                  <c:v>5.3225640270590313</c:v>
                </c:pt>
                <c:pt idx="86">
                  <c:v>5.4571507079984451</c:v>
                </c:pt>
                <c:pt idx="87">
                  <c:v>5.5935045528238465</c:v>
                </c:pt>
                <c:pt idx="88">
                  <c:v>5.7316273684295806</c:v>
                </c:pt>
                <c:pt idx="89">
                  <c:v>5.8715209281947871</c:v>
                </c:pt>
                <c:pt idx="90">
                  <c:v>6.0131869725208116</c:v>
                </c:pt>
                <c:pt idx="91">
                  <c:v>6.1566272093510621</c:v>
                </c:pt>
                <c:pt idx="92">
                  <c:v>6.3018433146740911</c:v>
                </c:pt>
                <c:pt idx="93">
                  <c:v>6.4488369330106243</c:v>
                </c:pt>
                <c:pt idx="94">
                  <c:v>6.5976096778852433</c:v>
                </c:pt>
                <c:pt idx="95">
                  <c:v>6.7481631322833682</c:v>
                </c:pt>
                <c:pt idx="96">
                  <c:v>6.9004988490941672</c:v>
                </c:pt>
                <c:pt idx="97">
                  <c:v>7.054618351539979</c:v>
                </c:pt>
                <c:pt idx="98">
                  <c:v>7.2105231335928153</c:v>
                </c:pt>
                <c:pt idx="99">
                  <c:v>7.3682146603784631</c:v>
                </c:pt>
                <c:pt idx="100">
                  <c:v>7.5276943685686994</c:v>
                </c:pt>
                <c:pt idx="101">
                  <c:v>7.6889636667621</c:v>
                </c:pt>
                <c:pt idx="102">
                  <c:v>7.8520239358538824</c:v>
                </c:pt>
                <c:pt idx="103">
                  <c:v>8.0168765293952386</c:v>
                </c:pt>
                <c:pt idx="104">
                  <c:v>8.1835227739425527</c:v>
                </c:pt>
                <c:pt idx="105">
                  <c:v>8.3519639693968983</c:v>
                </c:pt>
                <c:pt idx="106">
                  <c:v>8.5222013893342048</c:v>
                </c:pt>
                <c:pt idx="107">
                  <c:v>8.6942362813264271</c:v>
                </c:pt>
                <c:pt idx="108">
                  <c:v>8.8680698672540696</c:v>
                </c:pt>
                <c:pt idx="109">
                  <c:v>9.043703343610396</c:v>
                </c:pt>
                <c:pt idx="110">
                  <c:v>9.2211378817976204</c:v>
                </c:pt>
                <c:pt idx="111">
                  <c:v>9.4003746284153831</c:v>
                </c:pt>
                <c:pt idx="112">
                  <c:v>9.5814147055417944</c:v>
                </c:pt>
                <c:pt idx="113">
                  <c:v>9.7642592110073068</c:v>
                </c:pt>
                <c:pt idx="114">
                  <c:v>9.9489092186616883</c:v>
                </c:pt>
                <c:pt idx="115">
                  <c:v>10.135365778634327</c:v>
                </c:pt>
                <c:pt idx="116">
                  <c:v>10.323629917588118</c:v>
                </c:pt>
                <c:pt idx="117">
                  <c:v>10.513702638967148</c:v>
                </c:pt>
                <c:pt idx="118">
                  <c:v>10.705584923238398</c:v>
                </c:pt>
                <c:pt idx="119">
                  <c:v>10.899277728127668</c:v>
                </c:pt>
                <c:pt idx="120">
                  <c:v>11.094781988849929</c:v>
                </c:pt>
                <c:pt idx="121">
                  <c:v>11.292098618334286</c:v>
                </c:pt>
                <c:pt idx="122">
                  <c:v>11.491228507443736</c:v>
                </c:pt>
                <c:pt idx="123">
                  <c:v>11.692172525189893</c:v>
                </c:pt>
                <c:pt idx="124">
                  <c:v>11.89493151894286</c:v>
                </c:pt>
                <c:pt idx="125">
                  <c:v>12.099506314636391</c:v>
                </c:pt>
                <c:pt idx="126">
                  <c:v>12.305897716968516</c:v>
                </c:pt>
                <c:pt idx="127">
                  <c:v>12.514106509597759</c:v>
                </c:pt>
                <c:pt idx="128">
                  <c:v>12.724133455335108</c:v>
                </c:pt>
                <c:pt idx="129">
                  <c:v>12.935978940176838</c:v>
                </c:pt>
                <c:pt idx="130">
                  <c:v>13.149642615891278</c:v>
                </c:pt>
                <c:pt idx="131">
                  <c:v>13.365123754472652</c:v>
                </c:pt>
                <c:pt idx="132">
                  <c:v>13.582421604059677</c:v>
                </c:pt>
                <c:pt idx="133">
                  <c:v>13.801535389160628</c:v>
                </c:pt>
                <c:pt idx="134">
                  <c:v>14.022464310874064</c:v>
                </c:pt>
                <c:pt idx="135">
                  <c:v>14.245207547105325</c:v>
                </c:pt>
                <c:pt idx="136">
                  <c:v>14.469764252778976</c:v>
                </c:pt>
                <c:pt idx="137">
                  <c:v>14.696133560047281</c:v>
                </c:pt>
                <c:pt idx="138">
                  <c:v>14.924314578494876</c:v>
                </c:pt>
                <c:pt idx="139">
                  <c:v>15.15430639533972</c:v>
                </c:pt>
                <c:pt idx="140">
                  <c:v>15.386108075630466</c:v>
                </c:pt>
                <c:pt idx="141">
                  <c:v>15.619718662440356</c:v>
                </c:pt>
                <c:pt idx="142">
                  <c:v>15.85513717705774</c:v>
                </c:pt>
                <c:pt idx="143">
                  <c:v>16.092362619173329</c:v>
                </c:pt>
                <c:pt idx="144">
                  <c:v>16.331393967064272</c:v>
                </c:pt>
                <c:pt idx="145">
                  <c:v>16.572230177775165</c:v>
                </c:pt>
                <c:pt idx="146">
                  <c:v>16.814870187296076</c:v>
                </c:pt>
                <c:pt idx="147">
                  <c:v>17.05931291073767</c:v>
                </c:pt>
                <c:pt idx="148">
                  <c:v>17.305557242503529</c:v>
                </c:pt>
                <c:pt idx="149">
                  <c:v>17.553602056459738</c:v>
                </c:pt>
                <c:pt idx="150">
                  <c:v>17.803446206101839</c:v>
                </c:pt>
                <c:pt idx="151">
                  <c:v>18.055088524719189</c:v>
                </c:pt>
                <c:pt idx="152">
                  <c:v>18.308527825556837</c:v>
                </c:pt>
                <c:pt idx="153">
                  <c:v>18.563762901974975</c:v>
                </c:pt>
                <c:pt idx="154">
                  <c:v>18.820792527606027</c:v>
                </c:pt>
                <c:pt idx="155">
                  <c:v>19.079615456509444</c:v>
                </c:pt>
                <c:pt idx="156">
                  <c:v>19.340230423324268</c:v>
                </c:pt>
                <c:pt idx="157">
                  <c:v>19.602636143419549</c:v>
                </c:pt>
                <c:pt idx="158">
                  <c:v>19.866831313042642</c:v>
                </c:pt>
                <c:pt idx="159">
                  <c:v>20.132814609465459</c:v>
                </c:pt>
                <c:pt idx="160">
                  <c:v>20.400584691128735</c:v>
                </c:pt>
                <c:pt idx="161">
                  <c:v>20.670140197784349</c:v>
                </c:pt>
                <c:pt idx="162">
                  <c:v>20.941479750635764</c:v>
                </c:pt>
                <c:pt idx="163">
                  <c:v>21.214601952476645</c:v>
                </c:pt>
                <c:pt idx="164">
                  <c:v>21.489505387827666</c:v>
                </c:pt>
                <c:pt idx="165">
                  <c:v>21.766188623071606</c:v>
                </c:pt>
                <c:pt idx="166">
                  <c:v>22.044650206586734</c:v>
                </c:pt>
                <c:pt idx="167">
                  <c:v>22.324888668878557</c:v>
                </c:pt>
                <c:pt idx="168">
                  <c:v>22.606902522709962</c:v>
                </c:pt>
                <c:pt idx="169">
                  <c:v>22.890690263229793</c:v>
                </c:pt>
                <c:pt idx="170">
                  <c:v>23.176250368099907</c:v>
                </c:pt>
                <c:pt idx="171">
                  <c:v>23.463581297620745</c:v>
                </c:pt>
                <c:pt idx="172">
                  <c:v>23.752681494855459</c:v>
                </c:pt>
                <c:pt idx="173">
                  <c:v>24.04354938575263</c:v>
                </c:pt>
                <c:pt idx="174">
                  <c:v>24.336183379267609</c:v>
                </c:pt>
                <c:pt idx="175">
                  <c:v>24.630581867482523</c:v>
                </c:pt>
                <c:pt idx="176">
                  <c:v>24.926743225724973</c:v>
                </c:pt>
                <c:pt idx="177">
                  <c:v>25.224665812685458</c:v>
                </c:pt>
                <c:pt idx="178">
                  <c:v>25.524347970533562</c:v>
                </c:pt>
                <c:pt idx="179">
                  <c:v>25.825788025032914</c:v>
                </c:pt>
                <c:pt idx="180">
                  <c:v>26.128984285654983</c:v>
                </c:pt>
                <c:pt idx="181">
                  <c:v>26.433935045691715</c:v>
                </c:pt>
                <c:pt idx="182">
                  <c:v>26.74063858236703</c:v>
                </c:pt>
                <c:pt idx="183">
                  <c:v>27.049093156947237</c:v>
                </c:pt>
                <c:pt idx="184">
                  <c:v>27.359297014850362</c:v>
                </c:pt>
                <c:pt idx="185">
                  <c:v>27.671248385754446</c:v>
                </c:pt>
                <c:pt idx="186">
                  <c:v>27.984945483704784</c:v>
                </c:pt>
                <c:pt idx="187">
                  <c:v>28.300386507220217</c:v>
                </c:pt>
                <c:pt idx="188">
                  <c:v>28.61756963939839</c:v>
                </c:pt>
                <c:pt idx="189">
                  <c:v>28.936493048020097</c:v>
                </c:pt>
                <c:pt idx="190">
                  <c:v>29.257154885652682</c:v>
                </c:pt>
                <c:pt idx="191">
                  <c:v>29.579553289752511</c:v>
                </c:pt>
                <c:pt idx="192">
                  <c:v>29.903686382766583</c:v>
                </c:pt>
                <c:pt idx="193">
                  <c:v>30.229552272233249</c:v>
                </c:pt>
                <c:pt idx="194">
                  <c:v>30.557149050882082</c:v>
                </c:pt>
                <c:pt idx="195">
                  <c:v>30.886474796732912</c:v>
                </c:pt>
                <c:pt idx="196">
                  <c:v>31.217527573194069</c:v>
                </c:pt>
                <c:pt idx="197">
                  <c:v>31.550305429159792</c:v>
                </c:pt>
                <c:pt idx="198">
                  <c:v>31.884806399106886</c:v>
                </c:pt>
                <c:pt idx="199">
                  <c:v>32.221028503190603</c:v>
                </c:pt>
                <c:pt idx="200">
                  <c:v>32.558969747339788</c:v>
                </c:pt>
                <c:pt idx="201">
                  <c:v>32.898628123351273</c:v>
                </c:pt>
                <c:pt idx="202">
                  <c:v>33.240001608983583</c:v>
                </c:pt>
                <c:pt idx="203">
                  <c:v>33.583088168049919</c:v>
                </c:pt>
                <c:pt idx="204">
                  <c:v>33.927885750510455</c:v>
                </c:pt>
                <c:pt idx="205">
                  <c:v>34.274392292563988</c:v>
                </c:pt>
                <c:pt idx="206">
                  <c:v>34.622605624586022</c:v>
                </c:pt>
                <c:pt idx="207">
                  <c:v>34.972523378825947</c:v>
                </c:pt>
                <c:pt idx="208">
                  <c:v>35.324143081360248</c:v>
                </c:pt>
                <c:pt idx="209">
                  <c:v>35.677462244289629</c:v>
                </c:pt>
                <c:pt idx="210">
                  <c:v>36.032478365835992</c:v>
                </c:pt>
                <c:pt idx="211">
                  <c:v>36.389188930438685</c:v>
                </c:pt>
                <c:pt idx="212">
                  <c:v>36.747591408850184</c:v>
                </c:pt>
                <c:pt idx="213">
                  <c:v>37.107683258231077</c:v>
                </c:pt>
                <c:pt idx="214">
                  <c:v>37.46946192224447</c:v>
                </c:pt>
                <c:pt idx="215">
                  <c:v>37.832924831149761</c:v>
                </c:pt>
                <c:pt idx="216">
                  <c:v>38.198069401895815</c:v>
                </c:pt>
                <c:pt idx="217">
                  <c:v>38.564893038213576</c:v>
                </c:pt>
                <c:pt idx="218">
                  <c:v>38.933393130708069</c:v>
                </c:pt>
                <c:pt idx="219">
                  <c:v>39.303567056949859</c:v>
                </c:pt>
                <c:pt idx="220">
                  <c:v>39.675412181565946</c:v>
                </c:pt>
                <c:pt idx="221">
                  <c:v>40.048925856330108</c:v>
                </c:pt>
                <c:pt idx="222">
                  <c:v>40.424105420252715</c:v>
                </c:pt>
                <c:pt idx="223">
                  <c:v>40.800948199670017</c:v>
                </c:pt>
                <c:pt idx="224">
                  <c:v>41.179451508332889</c:v>
                </c:pt>
                <c:pt idx="225">
                  <c:v>41.559612647495086</c:v>
                </c:pt>
                <c:pt idx="226">
                  <c:v>41.941428906001008</c:v>
                </c:pt>
                <c:pt idx="227">
                  <c:v>42.324897560372932</c:v>
                </c:pt>
                <c:pt idx="228">
                  <c:v>42.710015874897792</c:v>
                </c:pt>
                <c:pt idx="229">
                  <c:v>43.096781101713468</c:v>
                </c:pt>
                <c:pt idx="230">
                  <c:v>43.485190480894587</c:v>
                </c:pt>
                <c:pt idx="231">
                  <c:v>43.875241240537896</c:v>
                </c:pt>
                <c:pt idx="232">
                  <c:v>44.266930596847146</c:v>
                </c:pt>
                <c:pt idx="233">
                  <c:v>44.660255754217545</c:v>
                </c:pt>
                <c:pt idx="234">
                  <c:v>45.055213905319754</c:v>
                </c:pt>
                <c:pt idx="235">
                  <c:v>45.45180223118345</c:v>
                </c:pt>
                <c:pt idx="236">
                  <c:v>45.850017901280467</c:v>
                </c:pt>
                <c:pt idx="237">
                  <c:v>46.249858073607506</c:v>
                </c:pt>
                <c:pt idx="238">
                  <c:v>46.651319894768427</c:v>
                </c:pt>
                <c:pt idx="239">
                  <c:v>47.054400500056119</c:v>
                </c:pt>
                <c:pt idx="240">
                  <c:v>47.459097013533984</c:v>
                </c:pt>
                <c:pt idx="241">
                  <c:v>47.865406548116994</c:v>
                </c:pt>
                <c:pt idx="242">
                  <c:v>48.273325880103613</c:v>
                </c:pt>
                <c:pt idx="243">
                  <c:v>48.682851123005491</c:v>
                </c:pt>
                <c:pt idx="244">
                  <c:v>49.093978052384671</c:v>
                </c:pt>
                <c:pt idx="245">
                  <c:v>49.506702431405927</c:v>
                </c:pt>
                <c:pt idx="246">
                  <c:v>49.921020010943195</c:v>
                </c:pt>
                <c:pt idx="247">
                  <c:v>50.336926529685392</c:v>
                </c:pt>
                <c:pt idx="248">
                  <c:v>50.754417714241754</c:v>
                </c:pt>
                <c:pt idx="249">
                  <c:v>51.173489279246567</c:v>
                </c:pt>
                <c:pt idx="250">
                  <c:v>51.594136927463417</c:v>
                </c:pt>
                <c:pt idx="251">
                  <c:v>52.016356349888866</c:v>
                </c:pt>
                <c:pt idx="252">
                  <c:v>52.440143225855614</c:v>
                </c:pt>
                <c:pt idx="253">
                  <c:v>52.865493223135168</c:v>
                </c:pt>
                <c:pt idx="254">
                  <c:v>53.292401998039935</c:v>
                </c:pt>
                <c:pt idx="255">
                  <c:v>53.720865195524873</c:v>
                </c:pt>
                <c:pt idx="256">
                  <c:v>54.15087844928857</c:v>
                </c:pt>
                <c:pt idx="257">
                  <c:v>54.582437381873874</c:v>
                </c:pt>
                <c:pt idx="258">
                  <c:v>55.015537604767985</c:v>
                </c:pt>
                <c:pt idx="259">
                  <c:v>55.450174718502069</c:v>
                </c:pt>
                <c:pt idx="260">
                  <c:v>55.886344312750396</c:v>
                </c:pt>
                <c:pt idx="261">
                  <c:v>56.324041966428965</c:v>
                </c:pt>
                <c:pt idx="262">
                  <c:v>56.76326324779366</c:v>
                </c:pt>
                <c:pt idx="263">
                  <c:v>57.20400371453794</c:v>
                </c:pt>
                <c:pt idx="264">
                  <c:v>57.64625891389003</c:v>
                </c:pt>
                <c:pt idx="265">
                  <c:v>58.090024382709657</c:v>
                </c:pt>
                <c:pt idx="266">
                  <c:v>58.535295647584306</c:v>
                </c:pt>
                <c:pt idx="267">
                  <c:v>58.982068224925037</c:v>
                </c:pt>
                <c:pt idx="268">
                  <c:v>59.43033762106181</c:v>
                </c:pt>
                <c:pt idx="269">
                  <c:v>59.880099332338361</c:v>
                </c:pt>
                <c:pt idx="270">
                  <c:v>60.331348845206641</c:v>
                </c:pt>
                <c:pt idx="271">
                  <c:v>60.784081636320771</c:v>
                </c:pt>
                <c:pt idx="272">
                  <c:v>61.238293172630577</c:v>
                </c:pt>
                <c:pt idx="273">
                  <c:v>61.693978911474659</c:v>
                </c:pt>
                <c:pt idx="274">
                  <c:v>62.151134300673029</c:v>
                </c:pt>
                <c:pt idx="275">
                  <c:v>62.609754778619298</c:v>
                </c:pt>
                <c:pt idx="276">
                  <c:v>63.069835774372415</c:v>
                </c:pt>
                <c:pt idx="277">
                  <c:v>63.531372707747998</c:v>
                </c:pt>
                <c:pt idx="278">
                  <c:v>63.994360989409202</c:v>
                </c:pt>
                <c:pt idx="279">
                  <c:v>64.458796020957166</c:v>
                </c:pt>
                <c:pt idx="280">
                  <c:v>64.924673195021043</c:v>
                </c:pt>
                <c:pt idx="281">
                  <c:v>65.391987895347569</c:v>
                </c:pt>
                <c:pt idx="282">
                  <c:v>65.860735496890243</c:v>
                </c:pt>
                <c:pt idx="283">
                  <c:v>66.330911365898061</c:v>
                </c:pt>
                <c:pt idx="284">
                  <c:v>66.802511250824068</c:v>
                </c:pt>
                <c:pt idx="285">
                  <c:v>67.27553167388956</c:v>
                </c:pt>
                <c:pt idx="286">
                  <c:v>67.749969541005655</c:v>
                </c:pt>
                <c:pt idx="287">
                  <c:v>68.225821751024668</c:v>
                </c:pt>
                <c:pt idx="288">
                  <c:v>68.703085195799474</c:v>
                </c:pt>
                <c:pt idx="289">
                  <c:v>69.18175676024255</c:v>
                </c:pt>
                <c:pt idx="290">
                  <c:v>69.661833322384908</c:v>
                </c:pt>
                <c:pt idx="291">
                  <c:v>70.143311753434659</c:v>
                </c:pt>
                <c:pt idx="292">
                  <c:v>70.626188917835478</c:v>
                </c:pt>
                <c:pt idx="293">
                  <c:v>71.110461673324764</c:v>
                </c:pt>
                <c:pt idx="294">
                  <c:v>71.596126870991554</c:v>
                </c:pt>
                <c:pt idx="295">
                  <c:v>72.083181355334304</c:v>
                </c:pt>
                <c:pt idx="296">
                  <c:v>72.571621964318354</c:v>
                </c:pt>
                <c:pt idx="297">
                  <c:v>73.061445529433186</c:v>
                </c:pt>
                <c:pt idx="298">
                  <c:v>73.552648875749526</c:v>
                </c:pt>
                <c:pt idx="299">
                  <c:v>74.045228821976139</c:v>
                </c:pt>
                <c:pt idx="300">
                  <c:v>74.539182180516406</c:v>
                </c:pt>
                <c:pt idx="301">
                  <c:v>75.034505757524769</c:v>
                </c:pt>
                <c:pt idx="302">
                  <c:v>75.531196352962851</c:v>
                </c:pt>
                <c:pt idx="303">
                  <c:v>76.029250760655401</c:v>
                </c:pt>
                <c:pt idx="304">
                  <c:v>76.528665768346016</c:v>
                </c:pt>
                <c:pt idx="305">
                  <c:v>77.029438157752679</c:v>
                </c:pt>
                <c:pt idx="306">
                  <c:v>77.53156470462298</c:v>
                </c:pt>
                <c:pt idx="307">
                  <c:v>78.035042178789226</c:v>
                </c:pt>
                <c:pt idx="308">
                  <c:v>78.539867344223296</c:v>
                </c:pt>
                <c:pt idx="309">
                  <c:v>79.046036959091239</c:v>
                </c:pt>
                <c:pt idx="310">
                  <c:v>79.553547775807715</c:v>
                </c:pt>
                <c:pt idx="311">
                  <c:v>80.06239654109018</c:v>
                </c:pt>
                <c:pt idx="312">
                  <c:v>80.572579996012891</c:v>
                </c:pt>
                <c:pt idx="313">
                  <c:v>81.084094876060661</c:v>
                </c:pt>
                <c:pt idx="314">
                  <c:v>81.596937911182422</c:v>
                </c:pt>
                <c:pt idx="315">
                  <c:v>82.111105825844547</c:v>
                </c:pt>
                <c:pt idx="316">
                  <c:v>82.626595339084005</c:v>
                </c:pt>
                <c:pt idx="317">
                  <c:v>83.143403164561263</c:v>
                </c:pt>
                <c:pt idx="318">
                  <c:v>83.661526010612988</c:v>
                </c:pt>
                <c:pt idx="319">
                  <c:v>84.180960580304543</c:v>
                </c:pt>
                <c:pt idx="320">
                  <c:v>84.701703571482255</c:v>
                </c:pt>
                <c:pt idx="321">
                  <c:v>85.223751676825486</c:v>
                </c:pt>
                <c:pt idx="322">
                  <c:v>85.747101583898498</c:v>
                </c:pt>
                <c:pt idx="323">
                  <c:v>86.271749975202098</c:v>
                </c:pt>
                <c:pt idx="324">
                  <c:v>86.797693528225039</c:v>
                </c:pt>
                <c:pt idx="325">
                  <c:v>87.324928915495278</c:v>
                </c:pt>
                <c:pt idx="326">
                  <c:v>87.853452829123157</c:v>
                </c:pt>
                <c:pt idx="327">
                  <c:v>88.383262005376949</c:v>
                </c:pt>
                <c:pt idx="328">
                  <c:v>88.914353200268607</c:v>
                </c:pt>
                <c:pt idx="329">
                  <c:v>89.446723165105908</c:v>
                </c:pt>
                <c:pt idx="330">
                  <c:v>89.980368646541223</c:v>
                </c:pt>
                <c:pt idx="331">
                  <c:v>90.515286386620133</c:v>
                </c:pt>
                <c:pt idx="332">
                  <c:v>91.051473122829819</c:v>
                </c:pt>
                <c:pt idx="333">
                  <c:v>91.58892558814722</c:v>
                </c:pt>
                <c:pt idx="334">
                  <c:v>92.127640511087066</c:v>
                </c:pt>
                <c:pt idx="335">
                  <c:v>92.667614615749628</c:v>
                </c:pt>
                <c:pt idx="336">
                  <c:v>93.208844621868352</c:v>
                </c:pt>
                <c:pt idx="337">
                  <c:v>93.751327244857222</c:v>
                </c:pt>
                <c:pt idx="338">
                  <c:v>94.295059195857974</c:v>
                </c:pt>
                <c:pt idx="339">
                  <c:v>94.840037181787082</c:v>
                </c:pt>
                <c:pt idx="340">
                  <c:v>95.386257905382607</c:v>
                </c:pt>
                <c:pt idx="341">
                  <c:v>95.933718065250716</c:v>
                </c:pt>
                <c:pt idx="342">
                  <c:v>96.482414355912169</c:v>
                </c:pt>
                <c:pt idx="343">
                  <c:v>97.032343467848492</c:v>
                </c:pt>
                <c:pt idx="344">
                  <c:v>97.583502087547998</c:v>
                </c:pt>
                <c:pt idx="345">
                  <c:v>98.1358868975516</c:v>
                </c:pt>
                <c:pt idx="346">
                  <c:v>98.689494576498419</c:v>
                </c:pt>
                <c:pt idx="347">
                  <c:v>99.244321799171246</c:v>
                </c:pt>
                <c:pt idx="348">
                  <c:v>99.800365236541722</c:v>
                </c:pt>
                <c:pt idx="349">
                  <c:v>100.35762155581538</c:v>
                </c:pt>
                <c:pt idx="350">
                  <c:v>100.91608742047653</c:v>
                </c:pt>
                <c:pt idx="351">
                  <c:v>101.47575949033281</c:v>
                </c:pt>
                <c:pt idx="352">
                  <c:v>102.03663442155967</c:v>
                </c:pt>
                <c:pt idx="353">
                  <c:v>102.59870886674466</c:v>
                </c:pt>
                <c:pt idx="354">
                  <c:v>103.16197947493143</c:v>
                </c:pt>
                <c:pt idx="355">
                  <c:v>103.72644289166357</c:v>
                </c:pt>
                <c:pt idx="356">
                  <c:v>104.29209575902833</c:v>
                </c:pt>
                <c:pt idx="357">
                  <c:v>104.85893471570003</c:v>
                </c:pt>
                <c:pt idx="358">
                  <c:v>105.42695639698336</c:v>
                </c:pt>
                <c:pt idx="359">
                  <c:v>105.99615743485643</c:v>
                </c:pt>
                <c:pt idx="360">
                  <c:v>106.56653445801368</c:v>
                </c:pt>
                <c:pt idx="361">
                  <c:v>107.13808409190855</c:v>
                </c:pt>
                <c:pt idx="362">
                  <c:v>107.71080295879597</c:v>
                </c:pt>
                <c:pt idx="363">
                  <c:v>108.28468767777463</c:v>
                </c:pt>
                <c:pt idx="364">
                  <c:v>108.85973486482912</c:v>
                </c:pt>
                <c:pt idx="365">
                  <c:v>109.43594113287182</c:v>
                </c:pt>
                <c:pt idx="366">
                  <c:v>110.01330372359725</c:v>
                </c:pt>
                <c:pt idx="367">
                  <c:v>110.59182113999995</c:v>
                </c:pt>
                <c:pt idx="368">
                  <c:v>111.17149251501723</c:v>
                </c:pt>
                <c:pt idx="369">
                  <c:v>111.75231697949451</c:v>
                </c:pt>
                <c:pt idx="370">
                  <c:v>112.33429366219931</c:v>
                </c:pt>
                <c:pt idx="371">
                  <c:v>112.91742168983535</c:v>
                </c:pt>
                <c:pt idx="372">
                  <c:v>113.5017001870565</c:v>
                </c:pt>
                <c:pt idx="373">
                  <c:v>114.0871282764808</c:v>
                </c:pt>
                <c:pt idx="374">
                  <c:v>114.67370507870436</c:v>
                </c:pt>
                <c:pt idx="375">
                  <c:v>115.26142971231528</c:v>
                </c:pt>
                <c:pt idx="376">
                  <c:v>115.85030129390755</c:v>
                </c:pt>
                <c:pt idx="377">
                  <c:v>116.44031893809492</c:v>
                </c:pt>
                <c:pt idx="378">
                  <c:v>117.03148175752467</c:v>
                </c:pt>
                <c:pt idx="379">
                  <c:v>117.62378886289149</c:v>
                </c:pt>
                <c:pt idx="380">
                  <c:v>118.21723936295116</c:v>
                </c:pt>
                <c:pt idx="381">
                  <c:v>118.81183167834676</c:v>
                </c:pt>
                <c:pt idx="382">
                  <c:v>119.40756285475918</c:v>
                </c:pt>
                <c:pt idx="383">
                  <c:v>120.0044292487363</c:v>
                </c:pt>
                <c:pt idx="384">
                  <c:v>120.60242721421224</c:v>
                </c:pt>
                <c:pt idx="385">
                  <c:v>121.2015531025496</c:v>
                </c:pt>
                <c:pt idx="386">
                  <c:v>121.80180326258152</c:v>
                </c:pt>
                <c:pt idx="387">
                  <c:v>122.40317404065351</c:v>
                </c:pt>
                <c:pt idx="388">
                  <c:v>123.00566178066511</c:v>
                </c:pt>
                <c:pt idx="389">
                  <c:v>123.60926282411123</c:v>
                </c:pt>
                <c:pt idx="390">
                  <c:v>124.21397351012342</c:v>
                </c:pt>
                <c:pt idx="391">
                  <c:v>124.81979017551082</c:v>
                </c:pt>
                <c:pt idx="392">
                  <c:v>125.42670915480095</c:v>
                </c:pt>
                <c:pt idx="393">
                  <c:v>126.03472678028027</c:v>
                </c:pt>
                <c:pt idx="394">
                  <c:v>126.64383938203451</c:v>
                </c:pt>
                <c:pt idx="395">
                  <c:v>127.25404328798888</c:v>
                </c:pt>
                <c:pt idx="396">
                  <c:v>127.86533482394788</c:v>
                </c:pt>
                <c:pt idx="397">
                  <c:v>128.47771031363513</c:v>
                </c:pt>
                <c:pt idx="398">
                  <c:v>129.09116607873281</c:v>
                </c:pt>
                <c:pt idx="399">
                  <c:v>129.70569843892099</c:v>
                </c:pt>
                <c:pt idx="400">
                  <c:v>130.3213037119167</c:v>
                </c:pt>
                <c:pt idx="401">
                  <c:v>130.93797767056347</c:v>
                </c:pt>
                <c:pt idx="402">
                  <c:v>131.55571499945859</c:v>
                </c:pt>
                <c:pt idx="403">
                  <c:v>132.17450983776669</c:v>
                </c:pt>
                <c:pt idx="404">
                  <c:v>132.79435632250923</c:v>
                </c:pt>
                <c:pt idx="405">
                  <c:v>133.41524858862977</c:v>
                </c:pt>
                <c:pt idx="406">
                  <c:v>134.03718076905884</c:v>
                </c:pt>
                <c:pt idx="407">
                  <c:v>134.66014699477827</c:v>
                </c:pt>
                <c:pt idx="408">
                  <c:v>135.28414139488532</c:v>
                </c:pt>
                <c:pt idx="409">
                  <c:v>135.909158096656</c:v>
                </c:pt>
                <c:pt idx="410">
                  <c:v>136.53519122560823</c:v>
                </c:pt>
                <c:pt idx="411">
                  <c:v>137.16223189712676</c:v>
                </c:pt>
                <c:pt idx="412">
                  <c:v>137.79026520580527</c:v>
                </c:pt>
                <c:pt idx="413">
                  <c:v>138.41927323346113</c:v>
                </c:pt>
                <c:pt idx="414">
                  <c:v>139.04923805955698</c:v>
                </c:pt>
                <c:pt idx="415">
                  <c:v>139.68014176151033</c:v>
                </c:pt>
                <c:pt idx="416">
                  <c:v>140.31196641499966</c:v>
                </c:pt>
                <c:pt idx="417">
                  <c:v>140.94469409426745</c:v>
                </c:pt>
                <c:pt idx="418">
                  <c:v>141.57830687241963</c:v>
                </c:pt>
                <c:pt idx="419">
                  <c:v>142.21278682172183</c:v>
                </c:pt>
                <c:pt idx="420">
                  <c:v>142.84811429833854</c:v>
                </c:pt>
                <c:pt idx="421">
                  <c:v>143.48426622606985</c:v>
                </c:pt>
                <c:pt idx="422">
                  <c:v>144.12121781240506</c:v>
                </c:pt>
                <c:pt idx="423">
                  <c:v>144.75894426567788</c:v>
                </c:pt>
                <c:pt idx="424">
                  <c:v>145.39742079555646</c:v>
                </c:pt>
                <c:pt idx="425">
                  <c:v>146.03662261352747</c:v>
                </c:pt>
                <c:pt idx="426">
                  <c:v>146.67652493337386</c:v>
                </c:pt>
                <c:pt idx="427">
                  <c:v>147.31710297164639</c:v>
                </c:pt>
                <c:pt idx="428">
                  <c:v>147.95833194812906</c:v>
                </c:pt>
                <c:pt idx="429">
                  <c:v>148.60018708629832</c:v>
                </c:pt>
                <c:pt idx="430">
                  <c:v>149.24264361377604</c:v>
                </c:pt>
                <c:pt idx="431">
                  <c:v>149.88567676277637</c:v>
                </c:pt>
                <c:pt idx="432">
                  <c:v>150.5292589969541</c:v>
                </c:pt>
                <c:pt idx="433">
                  <c:v>151.17335723742559</c:v>
                </c:pt>
                <c:pt idx="434">
                  <c:v>151.81793563837221</c:v>
                </c:pt>
                <c:pt idx="435">
                  <c:v>152.46295836367497</c:v>
                </c:pt>
                <c:pt idx="436">
                  <c:v>153.1083895877596</c:v>
                </c:pt>
                <c:pt idx="437">
                  <c:v>153.75419349642863</c:v>
                </c:pt>
                <c:pt idx="438">
                  <c:v>154.40033428768066</c:v>
                </c:pt>
                <c:pt idx="439">
                  <c:v>155.04677617251679</c:v>
                </c:pt>
                <c:pt idx="440">
                  <c:v>155.69348337573402</c:v>
                </c:pt>
                <c:pt idx="441">
                  <c:v>156.34042013670594</c:v>
                </c:pt>
                <c:pt idx="442">
                  <c:v>156.98755239947235</c:v>
                </c:pt>
                <c:pt idx="443">
                  <c:v>157.63484950279621</c:v>
                </c:pt>
                <c:pt idx="444">
                  <c:v>158.28228248984124</c:v>
                </c:pt>
                <c:pt idx="445">
                  <c:v>158.92982241772773</c:v>
                </c:pt>
                <c:pt idx="446">
                  <c:v>159.57744035799436</c:v>
                </c:pt>
                <c:pt idx="447">
                  <c:v>160.22510739705149</c:v>
                </c:pt>
                <c:pt idx="448">
                  <c:v>160.87279463662603</c:v>
                </c:pt>
                <c:pt idx="449">
                  <c:v>161.52047319419779</c:v>
                </c:pt>
                <c:pt idx="450">
                  <c:v>162.16811420342762</c:v>
                </c:pt>
                <c:pt idx="451">
                  <c:v>162.81568881457687</c:v>
                </c:pt>
                <c:pt idx="452">
                  <c:v>163.46316819491864</c:v>
                </c:pt>
                <c:pt idx="453">
                  <c:v>164.11052595625503</c:v>
                </c:pt>
                <c:pt idx="454">
                  <c:v>164.75774058181318</c:v>
                </c:pt>
                <c:pt idx="455">
                  <c:v>165.40479299619182</c:v>
                </c:pt>
                <c:pt idx="456">
                  <c:v>166.05166413579309</c:v>
                </c:pt>
                <c:pt idx="457">
                  <c:v>166.69833494895579</c:v>
                </c:pt>
                <c:pt idx="458">
                  <c:v>167.3447863960848</c:v>
                </c:pt>
                <c:pt idx="459">
                  <c:v>167.99099944977706</c:v>
                </c:pt>
                <c:pt idx="460">
                  <c:v>168.63695509494403</c:v>
                </c:pt>
                <c:pt idx="461">
                  <c:v>169.28263651874266</c:v>
                </c:pt>
                <c:pt idx="462">
                  <c:v>169.92803129973868</c:v>
                </c:pt>
                <c:pt idx="463">
                  <c:v>170.5731292149402</c:v>
                </c:pt>
                <c:pt idx="464">
                  <c:v>171.21792004754101</c:v>
                </c:pt>
                <c:pt idx="465">
                  <c:v>171.86239358692379</c:v>
                </c:pt>
                <c:pt idx="466">
                  <c:v>172.50653778598695</c:v>
                </c:pt>
                <c:pt idx="467">
                  <c:v>173.15033691917151</c:v>
                </c:pt>
                <c:pt idx="468">
                  <c:v>173.79375289353166</c:v>
                </c:pt>
                <c:pt idx="469">
                  <c:v>174.43673170630342</c:v>
                </c:pt>
                <c:pt idx="470">
                  <c:v>175.07924913904003</c:v>
                </c:pt>
                <c:pt idx="471">
                  <c:v>175.7213061375312</c:v>
                </c:pt>
                <c:pt idx="472">
                  <c:v>176.36290364479154</c:v>
                </c:pt>
                <c:pt idx="473">
                  <c:v>177.00404260107177</c:v>
                </c:pt>
                <c:pt idx="474">
                  <c:v>177.64472394386974</c:v>
                </c:pt>
                <c:pt idx="475">
                  <c:v>178.28494860794143</c:v>
                </c:pt>
                <c:pt idx="476">
                  <c:v>178.92471752531205</c:v>
                </c:pt>
                <c:pt idx="477">
                  <c:v>179.56403162528682</c:v>
                </c:pt>
                <c:pt idx="478">
                  <c:v>180.20289183446187</c:v>
                </c:pt>
                <c:pt idx="479">
                  <c:v>180.84129907673508</c:v>
                </c:pt>
                <c:pt idx="480">
                  <c:v>181.4792542733168</c:v>
                </c:pt>
                <c:pt idx="481">
                  <c:v>182.11675834274055</c:v>
                </c:pt>
                <c:pt idx="482">
                  <c:v>182.75381220087368</c:v>
                </c:pt>
                <c:pt idx="483">
                  <c:v>183.39041676092793</c:v>
                </c:pt>
                <c:pt idx="484">
                  <c:v>184.02657293347002</c:v>
                </c:pt>
                <c:pt idx="485">
                  <c:v>184.66228162643205</c:v>
                </c:pt>
                <c:pt idx="486">
                  <c:v>185.29754374512203</c:v>
                </c:pt>
                <c:pt idx="487">
                  <c:v>185.9323601922342</c:v>
                </c:pt>
                <c:pt idx="488">
                  <c:v>186.56673186785937</c:v>
                </c:pt>
                <c:pt idx="489">
                  <c:v>187.20065966949522</c:v>
                </c:pt>
                <c:pt idx="490">
                  <c:v>187.83414449205651</c:v>
                </c:pt>
                <c:pt idx="491">
                  <c:v>188.4671872278852</c:v>
                </c:pt>
                <c:pt idx="492">
                  <c:v>189.09978876676072</c:v>
                </c:pt>
                <c:pt idx="493">
                  <c:v>189.7319499959099</c:v>
                </c:pt>
                <c:pt idx="494">
                  <c:v>190.36367180001707</c:v>
                </c:pt>
                <c:pt idx="495">
                  <c:v>190.99495506123404</c:v>
                </c:pt>
                <c:pt idx="496">
                  <c:v>191.62580065918999</c:v>
                </c:pt>
                <c:pt idx="497">
                  <c:v>192.25620947100134</c:v>
                </c:pt>
                <c:pt idx="498">
                  <c:v>192.88618237128168</c:v>
                </c:pt>
                <c:pt idx="499">
                  <c:v>193.51572023215138</c:v>
                </c:pt>
                <c:pt idx="500">
                  <c:v>194.14482392324751</c:v>
                </c:pt>
                <c:pt idx="501">
                  <c:v>200.41204867404494</c:v>
                </c:pt>
                <c:pt idx="502">
                  <c:v>206.63641560599825</c:v>
                </c:pt>
                <c:pt idx="503">
                  <c:v>212.81877099395328</c:v>
                </c:pt>
                <c:pt idx="504">
                  <c:v>218.959937537184</c:v>
                </c:pt>
                <c:pt idx="505">
                  <c:v>225.06071525300908</c:v>
                </c:pt>
                <c:pt idx="506">
                  <c:v>231.12188232814771</c:v>
                </c:pt>
                <c:pt idx="507">
                  <c:v>237.14419593020742</c:v>
                </c:pt>
                <c:pt idx="508">
                  <c:v>243.12839298153852</c:v>
                </c:pt>
                <c:pt idx="509">
                  <c:v>249.07519089754504</c:v>
                </c:pt>
                <c:pt idx="510">
                  <c:v>254.98528829140653</c:v>
                </c:pt>
                <c:pt idx="511">
                  <c:v>260.85936564704076</c:v>
                </c:pt>
                <c:pt idx="512">
                  <c:v>266.69808596202108</c:v>
                </c:pt>
                <c:pt idx="513">
                  <c:v>272.50209536205506</c:v>
                </c:pt>
                <c:pt idx="514">
                  <c:v>278.27202368853045</c:v>
                </c:pt>
                <c:pt idx="515">
                  <c:v>284.00848506054314</c:v>
                </c:pt>
                <c:pt idx="516">
                  <c:v>289.71207841273377</c:v>
                </c:pt>
                <c:pt idx="517">
                  <c:v>295.38338801018074</c:v>
                </c:pt>
                <c:pt idx="518">
                  <c:v>301.02298394152155</c:v>
                </c:pt>
                <c:pt idx="519">
                  <c:v>306.63142259140579</c:v>
                </c:pt>
                <c:pt idx="520">
                  <c:v>312.209247093317</c:v>
                </c:pt>
                <c:pt idx="521">
                  <c:v>317.75698776374082</c:v>
                </c:pt>
                <c:pt idx="522">
                  <c:v>323.27516251859993</c:v>
                </c:pt>
                <c:pt idx="523">
                  <c:v>328.76427727282328</c:v>
                </c:pt>
                <c:pt idx="524">
                  <c:v>334.224826323868</c:v>
                </c:pt>
                <c:pt idx="525">
                  <c:v>339.65729271996628</c:v>
                </c:pt>
                <c:pt idx="526">
                  <c:v>345.06214861382529</c:v>
                </c:pt>
                <c:pt idx="527">
                  <c:v>350.43985560246932</c:v>
                </c:pt>
                <c:pt idx="528">
                  <c:v>355.79086505387374</c:v>
                </c:pt>
                <c:pt idx="529">
                  <c:v>361.11561842100605</c:v>
                </c:pt>
                <c:pt idx="530">
                  <c:v>366.41454754385518</c:v>
                </c:pt>
                <c:pt idx="531">
                  <c:v>371.68807493999958</c:v>
                </c:pt>
                <c:pt idx="532">
                  <c:v>376.93661408423424</c:v>
                </c:pt>
                <c:pt idx="533">
                  <c:v>382.16056967775046</c:v>
                </c:pt>
                <c:pt idx="534">
                  <c:v>387.36033790733541</c:v>
                </c:pt>
                <c:pt idx="535">
                  <c:v>392.53630669503383</c:v>
                </c:pt>
                <c:pt idx="536">
                  <c:v>397.68885593869283</c:v>
                </c:pt>
                <c:pt idx="537">
                  <c:v>402.81835774378692</c:v>
                </c:pt>
                <c:pt idx="538">
                  <c:v>407.9251766469024</c:v>
                </c:pt>
                <c:pt idx="539">
                  <c:v>413.00966983123897</c:v>
                </c:pt>
                <c:pt idx="540">
                  <c:v>418.07218733446996</c:v>
                </c:pt>
                <c:pt idx="541">
                  <c:v>423.11307224928476</c:v>
                </c:pt>
                <c:pt idx="542">
                  <c:v>428.13266091692122</c:v>
                </c:pt>
                <c:pt idx="543">
                  <c:v>433.13128311398049</c:v>
                </c:pt>
                <c:pt idx="544">
                  <c:v>438.10926223280245</c:v>
                </c:pt>
                <c:pt idx="545">
                  <c:v>443.06691545566667</c:v>
                </c:pt>
                <c:pt idx="546">
                  <c:v>448.00455392307089</c:v>
                </c:pt>
                <c:pt idx="547">
                  <c:v>452.92248289632647</c:v>
                </c:pt>
                <c:pt idx="548">
                  <c:v>457.82100191469976</c:v>
                </c:pt>
                <c:pt idx="549">
                  <c:v>462.70040494731683</c:v>
                </c:pt>
                <c:pt idx="550">
                  <c:v>467.5609805400386</c:v>
                </c:pt>
                <c:pt idx="551">
                  <c:v>472.40301195750499</c:v>
                </c:pt>
                <c:pt idx="552">
                  <c:v>477.22677732053558</c:v>
                </c:pt>
                <c:pt idx="553">
                  <c:v>482.03254973906724</c:v>
                </c:pt>
                <c:pt idx="554">
                  <c:v>486.82059744080016</c:v>
                </c:pt>
                <c:pt idx="555">
                  <c:v>491.59118389571614</c:v>
                </c:pt>
                <c:pt idx="556">
                  <c:v>496.34456793662497</c:v>
                </c:pt>
                <c:pt idx="557">
                  <c:v>501.08100387588894</c:v>
                </c:pt>
                <c:pt idx="558">
                  <c:v>505.80074161846738</c:v>
                </c:pt>
                <c:pt idx="559">
                  <c:v>510.50402677141784</c:v>
                </c:pt>
                <c:pt idx="560">
                  <c:v>515.19110074998378</c:v>
                </c:pt>
                <c:pt idx="561">
                  <c:v>519.86220088039329</c:v>
                </c:pt>
                <c:pt idx="562">
                  <c:v>524.51756049948801</c:v>
                </c:pt>
                <c:pt idx="563">
                  <c:v>529.15740905129564</c:v>
                </c:pt>
                <c:pt idx="564">
                  <c:v>533.78197218065463</c:v>
                </c:pt>
                <c:pt idx="565">
                  <c:v>538.39147182399597</c:v>
                </c:pt>
                <c:pt idx="566">
                  <c:v>542.98612629738022</c:v>
                </c:pt>
                <c:pt idx="567">
                  <c:v>547.56615038188647</c:v>
                </c:pt>
                <c:pt idx="568">
                  <c:v>552.13175540644374</c:v>
                </c:pt>
                <c:pt idx="569">
                  <c:v>556.68314932819158</c:v>
                </c:pt>
                <c:pt idx="570">
                  <c:v>561.22053681045406</c:v>
                </c:pt>
                <c:pt idx="571">
                  <c:v>565.74411929840721</c:v>
                </c:pt>
                <c:pt idx="572">
                  <c:v>570.25409509251563</c:v>
                </c:pt>
                <c:pt idx="573">
                  <c:v>574.75065941981279</c:v>
                </c:pt>
                <c:pt idx="574">
                  <c:v>579.23400450309396</c:v>
                </c:pt>
                <c:pt idx="575">
                  <c:v>583.70431962808948</c:v>
                </c:pt>
                <c:pt idx="576">
                  <c:v>588.16179120868344</c:v>
                </c:pt>
                <c:pt idx="577">
                  <c:v>592.60660285023789</c:v>
                </c:pt>
                <c:pt idx="578">
                  <c:v>597.03893541108323</c:v>
                </c:pt>
                <c:pt idx="579">
                  <c:v>601.4589670622297</c:v>
                </c:pt>
                <c:pt idx="580">
                  <c:v>605.8668733453552</c:v>
                </c:pt>
                <c:pt idx="581">
                  <c:v>610.26282722912083</c:v>
                </c:pt>
                <c:pt idx="582">
                  <c:v>614.64699916386314</c:v>
                </c:pt>
                <c:pt idx="583">
                  <c:v>619.01955713471136</c:v>
                </c:pt>
                <c:pt idx="584">
                  <c:v>623.38066671317438</c:v>
                </c:pt>
                <c:pt idx="585">
                  <c:v>627.7304911072406</c:v>
                </c:pt>
                <c:pt idx="586">
                  <c:v>632.0691912100325</c:v>
                </c:pt>
                <c:pt idx="587">
                  <c:v>636.39692564705535</c:v>
                </c:pt>
                <c:pt idx="588">
                  <c:v>640.71385082207735</c:v>
                </c:pt>
                <c:pt idx="589">
                  <c:v>645.02012096167789</c:v>
                </c:pt>
                <c:pt idx="590">
                  <c:v>649.31588815849761</c:v>
                </c:pt>
                <c:pt idx="591">
                  <c:v>653.60130241322327</c:v>
                </c:pt>
                <c:pt idx="592">
                  <c:v>657.87651167533852</c:v>
                </c:pt>
                <c:pt idx="593">
                  <c:v>662.14166188267029</c:v>
                </c:pt>
                <c:pt idx="594">
                  <c:v>666.39689699975781</c:v>
                </c:pt>
                <c:pt idx="595">
                  <c:v>670.6423590550728</c:v>
                </c:pt>
                <c:pt idx="596">
                  <c:v>674.878188177114</c:v>
                </c:pt>
                <c:pt idx="597">
                  <c:v>679.10452262940078</c:v>
                </c:pt>
                <c:pt idx="598">
                  <c:v>683.32149884438866</c:v>
                </c:pt>
                <c:pt idx="599">
                  <c:v>687.52925145632639</c:v>
                </c:pt>
                <c:pt idx="600">
                  <c:v>691.72791333307612</c:v>
                </c:pt>
                <c:pt idx="601">
                  <c:v>695.91761560691316</c:v>
                </c:pt>
                <c:pt idx="602">
                  <c:v>700.0984877043245</c:v>
                </c:pt>
                <c:pt idx="603">
                  <c:v>704.27065737482019</c:v>
                </c:pt>
                <c:pt idx="604">
                  <c:v>708.43425071877334</c:v>
                </c:pt>
                <c:pt idx="605">
                  <c:v>712.58939221430194</c:v>
                </c:pt>
                <c:pt idx="606">
                  <c:v>716.73620474320444</c:v>
                </c:pt>
                <c:pt idx="607">
                  <c:v>720.87480961595986</c:v>
                </c:pt>
                <c:pt idx="608">
                  <c:v>725.00532659580335</c:v>
                </c:pt>
                <c:pt idx="609">
                  <c:v>729.12787392188363</c:v>
                </c:pt>
                <c:pt idx="610">
                  <c:v>733.24256833151208</c:v>
                </c:pt>
                <c:pt idx="611">
                  <c:v>737.34952508150729</c:v>
                </c:pt>
                <c:pt idx="612">
                  <c:v>741.44885796864173</c:v>
                </c:pt>
                <c:pt idx="613">
                  <c:v>745.54067934919283</c:v>
                </c:pt>
                <c:pt idx="614">
                  <c:v>749.62510015760211</c:v>
                </c:pt>
                <c:pt idx="615">
                  <c:v>753.70222992424215</c:v>
                </c:pt>
                <c:pt idx="616">
                  <c:v>757.77217679229284</c:v>
                </c:pt>
                <c:pt idx="617">
                  <c:v>761.83504753372426</c:v>
                </c:pt>
                <c:pt idx="618">
                  <c:v>765.89094756438476</c:v>
                </c:pt>
                <c:pt idx="619">
                  <c:v>769.93998095818938</c:v>
                </c:pt>
                <c:pt idx="620">
                  <c:v>773.98225046040398</c:v>
                </c:pt>
                <c:pt idx="621">
                  <c:v>778.01785750001898</c:v>
                </c:pt>
                <c:pt idx="622">
                  <c:v>782.04690220120438</c:v>
                </c:pt>
                <c:pt idx="623">
                  <c:v>786.06948339383746</c:v>
                </c:pt>
                <c:pt idx="624">
                  <c:v>790.08569862309253</c:v>
                </c:pt>
                <c:pt idx="625">
                  <c:v>794.09564415808177</c:v>
                </c:pt>
                <c:pt idx="626">
                  <c:v>798.09941499953368</c:v>
                </c:pt>
                <c:pt idx="627">
                  <c:v>802.097104886495</c:v>
                </c:pt>
                <c:pt idx="628">
                  <c:v>806.08880630204158</c:v>
                </c:pt>
                <c:pt idx="629">
                  <c:v>810.07461047797983</c:v>
                </c:pt>
                <c:pt idx="630">
                  <c:v>814.05460739852299</c:v>
                </c:pt>
                <c:pt idx="631">
                  <c:v>818.02888580292165</c:v>
                </c:pt>
                <c:pt idx="632">
                  <c:v>821.9975331870296</c:v>
                </c:pt>
                <c:pt idx="633">
                  <c:v>825.96063580378279</c:v>
                </c:pt>
                <c:pt idx="634">
                  <c:v>829.91827866257074</c:v>
                </c:pt>
                <c:pt idx="635">
                  <c:v>833.87054552747713</c:v>
                </c:pt>
                <c:pt idx="636">
                  <c:v>837.81751891436534</c:v>
                </c:pt>
                <c:pt idx="637">
                  <c:v>841.75928008678682</c:v>
                </c:pt>
                <c:pt idx="638">
                  <c:v>845.69590905068696</c:v>
                </c:pt>
                <c:pt idx="639">
                  <c:v>849.62748454788459</c:v>
                </c:pt>
                <c:pt idx="640">
                  <c:v>853.55408404830109</c:v>
                </c:pt>
                <c:pt idx="641">
                  <c:v>857.47578374091643</c:v>
                </c:pt>
                <c:pt idx="642">
                  <c:v>861.39265852342839</c:v>
                </c:pt>
                <c:pt idx="643">
                  <c:v>865.30478199059564</c:v>
                </c:pt>
                <c:pt idx="644">
                  <c:v>869.21222642124349</c:v>
                </c:pt>
                <c:pt idx="645">
                  <c:v>873.11506276391663</c:v>
                </c:pt>
                <c:pt idx="646">
                  <c:v>877.01336062116468</c:v>
                </c:pt>
                <c:pt idx="647">
                  <c:v>880.90718823244958</c:v>
                </c:pt>
                <c:pt idx="648">
                  <c:v>884.79661245566911</c:v>
                </c:pt>
                <c:pt idx="649">
                  <c:v>888.68169874729551</c:v>
                </c:pt>
                <c:pt idx="650">
                  <c:v>892.56251114113491</c:v>
                </c:pt>
                <c:pt idx="651">
                  <c:v>896.43911222571819</c:v>
                </c:pt>
                <c:pt idx="652">
                  <c:v>900.31156312034477</c:v>
                </c:pt>
                <c:pt idx="653">
                  <c:v>904.17992344980757</c:v>
                </c:pt>
                <c:pt idx="654">
                  <c:v>908.04425131783933</c:v>
                </c:pt>
                <c:pt idx="655">
                  <c:v>911.90460327932954</c:v>
                </c:pt>
                <c:pt idx="656">
                  <c:v>915.76103431137722</c:v>
                </c:pt>
                <c:pt idx="657">
                  <c:v>919.61359778325425</c:v>
                </c:pt>
                <c:pt idx="658">
                  <c:v>923.46234542537297</c:v>
                </c:pt>
                <c:pt idx="659">
                  <c:v>927.30732729736451</c:v>
                </c:pt>
                <c:pt idx="660">
                  <c:v>931.14859175539277</c:v>
                </c:pt>
                <c:pt idx="661">
                  <c:v>934.98618541884673</c:v>
                </c:pt>
                <c:pt idx="662">
                  <c:v>938.82015313657098</c:v>
                </c:pt>
                <c:pt idx="663">
                  <c:v>942.65053795281415</c:v>
                </c:pt>
                <c:pt idx="664">
                  <c:v>946.47738107309294</c:v>
                </c:pt>
                <c:pt idx="665">
                  <c:v>950.30072183018797</c:v>
                </c:pt>
                <c:pt idx="666">
                  <c:v>954.12059765050526</c:v>
                </c:pt>
                <c:pt idx="667">
                  <c:v>957.93704402105368</c:v>
                </c:pt>
                <c:pt idx="668">
                  <c:v>961.7500944573037</c:v>
                </c:pt>
                <c:pt idx="669">
                  <c:v>965.55978047220367</c:v>
                </c:pt>
                <c:pt idx="670">
                  <c:v>969.36613154664178</c:v>
                </c:pt>
                <c:pt idx="671">
                  <c:v>973.1691751016466</c:v>
                </c:pt>
                <c:pt idx="672">
                  <c:v>976.96893647262129</c:v>
                </c:pt>
                <c:pt idx="673">
                  <c:v>980.76543888590629</c:v>
                </c:pt>
                <c:pt idx="674">
                  <c:v>984.55870343795686</c:v>
                </c:pt>
                <c:pt idx="675">
                  <c:v>988.34874907741244</c:v>
                </c:pt>
                <c:pt idx="676">
                  <c:v>992.13559259031592</c:v>
                </c:pt>
                <c:pt idx="677">
                  <c:v>995.91924858872176</c:v>
                </c:pt>
                <c:pt idx="678">
                  <c:v>999.69972950290389</c:v>
                </c:pt>
                <c:pt idx="679">
                  <c:v>1003.4770455773444</c:v>
                </c:pt>
                <c:pt idx="680">
                  <c:v>1007.2512048706483</c:v>
                </c:pt>
                <c:pt idx="681">
                  <c:v>1011.0222132594926</c:v>
                </c:pt>
                <c:pt idx="682">
                  <c:v>1014.7900744466757</c:v>
                </c:pt>
                <c:pt idx="683">
                  <c:v>1018.5547899732929</c:v>
                </c:pt>
                <c:pt idx="684">
                  <c:v>1022.3163592350186</c:v>
                </c:pt>
                <c:pt idx="685">
                  <c:v>1026.0747795024354</c:v>
                </c:pt>
                <c:pt idx="686">
                  <c:v>1029.8300459453078</c:v>
                </c:pt>
                <c:pt idx="687">
                  <c:v>1033.5821516606597</c:v>
                </c:pt>
                <c:pt idx="688">
                  <c:v>1037.3310877044792</c:v>
                </c:pt>
                <c:pt idx="689">
                  <c:v>1041.0768431268425</c:v>
                </c:pt>
                <c:pt idx="690">
                  <c:v>1044.8194050102229</c:v>
                </c:pt>
                <c:pt idx="691">
                  <c:v>1048.558758510723</c:v>
                </c:pt>
                <c:pt idx="692">
                  <c:v>1052.294886901959</c:v>
                </c:pt>
                <c:pt idx="693">
                  <c:v>1056.0277716213059</c:v>
                </c:pt>
                <c:pt idx="694">
                  <c:v>1059.7573923182101</c:v>
                </c:pt>
                <c:pt idx="695">
                  <c:v>1063.4837269042725</c:v>
                </c:pt>
                <c:pt idx="696">
                  <c:v>1067.2067516048032</c:v>
                </c:pt>
                <c:pt idx="697">
                  <c:v>1070.9264410115629</c:v>
                </c:pt>
                <c:pt idx="698">
                  <c:v>1074.6427681364078</c:v>
                </c:pt>
                <c:pt idx="699">
                  <c:v>1078.3557044655718</c:v>
                </c:pt>
                <c:pt idx="700">
                  <c:v>1082.0652200143343</c:v>
                </c:pt>
                <c:pt idx="701">
                  <c:v>1085.7712833818368</c:v>
                </c:pt>
                <c:pt idx="702">
                  <c:v>1089.4738618058327</c:v>
                </c:pt>
                <c:pt idx="703">
                  <c:v>1093.1729212171692</c:v>
                </c:pt>
                <c:pt idx="704">
                  <c:v>1096.8684262938268</c:v>
                </c:pt>
                <c:pt idx="705">
                  <c:v>1100.5603405143531</c:v>
                </c:pt>
                <c:pt idx="706">
                  <c:v>1104.2486262105524</c:v>
                </c:pt>
                <c:pt idx="707">
                  <c:v>1107.9332446193096</c:v>
                </c:pt>
                <c:pt idx="708">
                  <c:v>1111.6141559334435</c:v>
                </c:pt>
                <c:pt idx="709">
                  <c:v>1115.2913193515026</c:v>
                </c:pt>
                <c:pt idx="710">
                  <c:v>1118.9646931264315</c:v>
                </c:pt>
                <c:pt idx="711">
                  <c:v>1122.6342346130505</c:v>
                </c:pt>
                <c:pt idx="712">
                  <c:v>1126.2999003143043</c:v>
                </c:pt>
                <c:pt idx="713">
                  <c:v>1129.9616459262481</c:v>
                </c:pt>
                <c:pt idx="714">
                  <c:v>1133.6194263817472</c:v>
                </c:pt>
                <c:pt idx="715">
                  <c:v>1137.2731958928814</c:v>
                </c:pt>
                <c:pt idx="716">
                  <c:v>1140.9229079920487</c:v>
                </c:pt>
                <c:pt idx="717">
                  <c:v>1144.5685155717715</c:v>
                </c:pt>
                <c:pt idx="718">
                  <c:v>1148.2099709232168</c:v>
                </c:pt>
                <c:pt idx="719">
                  <c:v>1151.8472257734452</c:v>
                </c:pt>
                <c:pt idx="720">
                  <c:v>1155.4802313214084</c:v>
                </c:pt>
                <c:pt idx="721">
                  <c:v>1159.1089382727196</c:v>
                </c:pt>
                <c:pt idx="722">
                  <c:v>1162.7332968732237</c:v>
                </c:pt>
                <c:pt idx="723">
                  <c:v>1166.353256941396</c:v>
                </c:pt>
                <c:pt idx="724">
                  <c:v>1169.9687678996015</c:v>
                </c:pt>
                <c:pt idx="725">
                  <c:v>1173.579778804248</c:v>
                </c:pt>
                <c:pt idx="726">
                  <c:v>1177.1862383748653</c:v>
                </c:pt>
                <c:pt idx="727">
                  <c:v>1180.7880950221465</c:v>
                </c:pt>
                <c:pt idx="728">
                  <c:v>1184.3852968749861</c:v>
                </c:pt>
                <c:pt idx="729">
                  <c:v>1187.9777918065479</c:v>
                </c:pt>
                <c:pt idx="730">
                  <c:v>1191.5655274594005</c:v>
                </c:pt>
                <c:pt idx="731">
                  <c:v>1195.1484512697521</c:v>
                </c:pt>
                <c:pt idx="732">
                  <c:v>1198.7265104908197</c:v>
                </c:pt>
                <c:pt idx="733">
                  <c:v>1202.2996522153658</c:v>
                </c:pt>
                <c:pt idx="734">
                  <c:v>1205.8678233974342</c:v>
                </c:pt>
                <c:pt idx="735">
                  <c:v>1209.4309708733181</c:v>
                </c:pt>
                <c:pt idx="736">
                  <c:v>1212.9890413817886</c:v>
                </c:pt>
                <c:pt idx="737">
                  <c:v>1216.5419815836162</c:v>
                </c:pt>
                <c:pt idx="738">
                  <c:v>1220.0897380804113</c:v>
                </c:pt>
                <c:pt idx="739">
                  <c:v>1223.6322574328128</c:v>
                </c:pt>
                <c:pt idx="740">
                  <c:v>1227.169486178052</c:v>
                </c:pt>
                <c:pt idx="741">
                  <c:v>1230.7013708469153</c:v>
                </c:pt>
                <c:pt idx="742">
                  <c:v>1234.2278579801323</c:v>
                </c:pt>
                <c:pt idx="743">
                  <c:v>1237.7488941442109</c:v>
                </c:pt>
                <c:pt idx="744">
                  <c:v>1241.2644259467443</c:v>
                </c:pt>
                <c:pt idx="745">
                  <c:v>1244.7744000512096</c:v>
                </c:pt>
                <c:pt idx="746">
                  <c:v>1248.2787631912793</c:v>
                </c:pt>
                <c:pt idx="747">
                  <c:v>1251.7774621846645</c:v>
                </c:pt>
                <c:pt idx="748">
                  <c:v>1255.2704439465106</c:v>
                </c:pt>
                <c:pt idx="749">
                  <c:v>1258.7576555023609</c:v>
                </c:pt>
                <c:pt idx="750">
                  <c:v>1262.2390440007077</c:v>
                </c:pt>
                <c:pt idx="751">
                  <c:v>1265.7145567251448</c:v>
                </c:pt>
                <c:pt idx="752">
                  <c:v>1269.1841411061382</c:v>
                </c:pt>
                <c:pt idx="753">
                  <c:v>1272.6477447324301</c:v>
                </c:pt>
                <c:pt idx="754">
                  <c:v>1276.1053153620883</c:v>
                </c:pt>
                <c:pt idx="755">
                  <c:v>1279.5568009332178</c:v>
                </c:pt>
                <c:pt idx="756">
                  <c:v>1283.0021495743433</c:v>
                </c:pt>
                <c:pt idx="757">
                  <c:v>1286.4413096144774</c:v>
                </c:pt>
                <c:pt idx="758">
                  <c:v>1289.8742295928851</c:v>
                </c:pt>
                <c:pt idx="759">
                  <c:v>1293.3008582685557</c:v>
                </c:pt>
                <c:pt idx="760">
                  <c:v>1296.7211446293923</c:v>
                </c:pt>
                <c:pt idx="761">
                  <c:v>1300.1350379011285</c:v>
                </c:pt>
                <c:pt idx="762">
                  <c:v>1303.5424875559831</c:v>
                </c:pt>
                <c:pt idx="763">
                  <c:v>1306.9434433210592</c:v>
                </c:pt>
                <c:pt idx="764">
                  <c:v>1310.3378551864992</c:v>
                </c:pt>
                <c:pt idx="765">
                  <c:v>1313.725673413401</c:v>
                </c:pt>
                <c:pt idx="766">
                  <c:v>1317.1068485415049</c:v>
                </c:pt>
                <c:pt idx="767">
                  <c:v>1320.4813313966583</c:v>
                </c:pt>
                <c:pt idx="768">
                  <c:v>1323.8490730980636</c:v>
                </c:pt>
                <c:pt idx="769">
                  <c:v>1327.2100250653182</c:v>
                </c:pt>
                <c:pt idx="770">
                  <c:v>1330.5641390252511</c:v>
                </c:pt>
                <c:pt idx="771">
                  <c:v>1333.9113670185629</c:v>
                </c:pt>
                <c:pt idx="772">
                  <c:v>1337.2516614062749</c:v>
                </c:pt>
                <c:pt idx="773">
                  <c:v>1340.584974875992</c:v>
                </c:pt>
                <c:pt idx="774">
                  <c:v>1343.9112604479851</c:v>
                </c:pt>
                <c:pt idx="775">
                  <c:v>1347.2304714810991</c:v>
                </c:pt>
                <c:pt idx="776">
                  <c:v>1350.542561678488</c:v>
                </c:pt>
                <c:pt idx="777">
                  <c:v>1353.8474850931852</c:v>
                </c:pt>
                <c:pt idx="778">
                  <c:v>1357.1451961335104</c:v>
                </c:pt>
                <c:pt idx="779">
                  <c:v>1360.4356495683189</c:v>
                </c:pt>
                <c:pt idx="780">
                  <c:v>1363.7188005320972</c:v>
                </c:pt>
                <c:pt idx="781">
                  <c:v>1366.9946045299064</c:v>
                </c:pt>
                <c:pt idx="782">
                  <c:v>1370.2630174421795</c:v>
                </c:pt>
                <c:pt idx="783">
                  <c:v>1373.5239955293755</c:v>
                </c:pt>
                <c:pt idx="784">
                  <c:v>1376.7774954364916</c:v>
                </c:pt>
                <c:pt idx="785">
                  <c:v>1380.0234741974393</c:v>
                </c:pt>
                <c:pt idx="786">
                  <c:v>1383.2618892392852</c:v>
                </c:pt>
                <c:pt idx="787">
                  <c:v>1386.4926983863602</c:v>
                </c:pt>
                <c:pt idx="788">
                  <c:v>1389.7158598642397</c:v>
                </c:pt>
                <c:pt idx="789">
                  <c:v>1392.9313323035983</c:v>
                </c:pt>
                <c:pt idx="790">
                  <c:v>1396.1390747439384</c:v>
                </c:pt>
                <c:pt idx="791">
                  <c:v>1399.3390466371995</c:v>
                </c:pt>
                <c:pt idx="792">
                  <c:v>1402.5312078512477</c:v>
                </c:pt>
                <c:pt idx="793">
                  <c:v>1405.7155186732464</c:v>
                </c:pt>
                <c:pt idx="794">
                  <c:v>1408.8919398129142</c:v>
                </c:pt>
                <c:pt idx="795">
                  <c:v>1412.0604324056685</c:v>
                </c:pt>
                <c:pt idx="796">
                  <c:v>1415.2209580156584</c:v>
                </c:pt>
                <c:pt idx="797">
                  <c:v>1418.3734786386885</c:v>
                </c:pt>
                <c:pt idx="798">
                  <c:v>1421.5179567050352</c:v>
                </c:pt>
                <c:pt idx="799">
                  <c:v>1424.6543550821566</c:v>
                </c:pt>
                <c:pt idx="800">
                  <c:v>1427.7826370773003</c:v>
                </c:pt>
                <c:pt idx="801">
                  <c:v>1430.9027664400064</c:v>
                </c:pt>
                <c:pt idx="802">
                  <c:v>1434.0147073645121</c:v>
                </c:pt>
                <c:pt idx="803">
                  <c:v>1437.1184244920551</c:v>
                </c:pt>
                <c:pt idx="804">
                  <c:v>1440.2138829130799</c:v>
                </c:pt>
                <c:pt idx="805">
                  <c:v>1443.301048169348</c:v>
                </c:pt>
                <c:pt idx="806">
                  <c:v>1446.379886255952</c:v>
                </c:pt>
                <c:pt idx="807">
                  <c:v>1449.4503636232375</c:v>
                </c:pt>
                <c:pt idx="808">
                  <c:v>1452.5124471786316</c:v>
                </c:pt>
                <c:pt idx="809">
                  <c:v>1455.5661042883796</c:v>
                </c:pt>
                <c:pt idx="810">
                  <c:v>1458.6113027791932</c:v>
                </c:pt>
                <c:pt idx="811">
                  <c:v>1461.6480109398094</c:v>
                </c:pt>
                <c:pt idx="812">
                  <c:v>1464.6761975224608</c:v>
                </c:pt>
                <c:pt idx="813">
                  <c:v>1467.6958317442611</c:v>
                </c:pt>
                <c:pt idx="814">
                  <c:v>1470.7068832885041</c:v>
                </c:pt>
                <c:pt idx="815">
                  <c:v>1473.7093223058787</c:v>
                </c:pt>
                <c:pt idx="816">
                  <c:v>1476.7031194156011</c:v>
                </c:pt>
                <c:pt idx="817">
                  <c:v>1479.6882457064639</c:v>
                </c:pt>
                <c:pt idx="818">
                  <c:v>1482.6646727378049</c:v>
                </c:pt>
                <c:pt idx="819">
                  <c:v>1485.6323725403956</c:v>
                </c:pt>
                <c:pt idx="820">
                  <c:v>1488.5913176172498</c:v>
                </c:pt>
                <c:pt idx="821">
                  <c:v>1491.5414809443548</c:v>
                </c:pt>
                <c:pt idx="822">
                  <c:v>1494.4828359713251</c:v>
                </c:pt>
                <c:pt idx="823">
                  <c:v>1497.4153566219793</c:v>
                </c:pt>
                <c:pt idx="824">
                  <c:v>1500.3390172948421</c:v>
                </c:pt>
                <c:pt idx="825">
                  <c:v>1503.2537928635716</c:v>
                </c:pt>
                <c:pt idx="826">
                  <c:v>1506.1596586773128</c:v>
                </c:pt>
                <c:pt idx="827">
                  <c:v>1509.0565905609785</c:v>
                </c:pt>
                <c:pt idx="828">
                  <c:v>1511.9445648154581</c:v>
                </c:pt>
                <c:pt idx="829">
                  <c:v>1514.8235582177551</c:v>
                </c:pt>
                <c:pt idx="830">
                  <c:v>1517.6935480210559</c:v>
                </c:pt>
                <c:pt idx="831">
                  <c:v>1520.5545119547269</c:v>
                </c:pt>
                <c:pt idx="832">
                  <c:v>1523.406428224245</c:v>
                </c:pt>
                <c:pt idx="833">
                  <c:v>1526.2492755110595</c:v>
                </c:pt>
                <c:pt idx="834">
                  <c:v>1529.0830329723874</c:v>
                </c:pt>
                <c:pt idx="835">
                  <c:v>1531.9076802409425</c:v>
                </c:pt>
                <c:pt idx="836">
                  <c:v>1534.7231974245994</c:v>
                </c:pt>
                <c:pt idx="837">
                  <c:v>1537.529565105993</c:v>
                </c:pt>
                <c:pt idx="838">
                  <c:v>1540.3267643420543</c:v>
                </c:pt>
                <c:pt idx="839">
                  <c:v>1543.1147766634831</c:v>
                </c:pt>
                <c:pt idx="840">
                  <c:v>1545.8935840741592</c:v>
                </c:pt>
                <c:pt idx="841">
                  <c:v>1548.6631690504921</c:v>
                </c:pt>
                <c:pt idx="842">
                  <c:v>1551.4235145407094</c:v>
                </c:pt>
                <c:pt idx="843">
                  <c:v>1554.1746039640871</c:v>
                </c:pt>
                <c:pt idx="844">
                  <c:v>1556.9164212101189</c:v>
                </c:pt>
                <c:pt idx="845">
                  <c:v>1559.6489506376297</c:v>
                </c:pt>
                <c:pt idx="846">
                  <c:v>1562.3721770738293</c:v>
                </c:pt>
                <c:pt idx="847">
                  <c:v>1565.0860858133115</c:v>
                </c:pt>
                <c:pt idx="848">
                  <c:v>1567.790662616995</c:v>
                </c:pt>
                <c:pt idx="849">
                  <c:v>1570.4858937110123</c:v>
                </c:pt>
                <c:pt idx="850">
                  <c:v>1573.1717657855411</c:v>
                </c:pt>
                <c:pt idx="851">
                  <c:v>1575.8482659935842</c:v>
                </c:pt>
                <c:pt idx="852">
                  <c:v>1578.5153819496957</c:v>
                </c:pt>
                <c:pt idx="853">
                  <c:v>1581.1731017286554</c:v>
                </c:pt>
                <c:pt idx="854">
                  <c:v>1583.8214138640917</c:v>
                </c:pt>
                <c:pt idx="855">
                  <c:v>1586.4603073470539</c:v>
                </c:pt>
                <c:pt idx="856">
                  <c:v>1589.0897716245352</c:v>
                </c:pt>
                <c:pt idx="857">
                  <c:v>1591.7097965979453</c:v>
                </c:pt>
                <c:pt idx="858">
                  <c:v>1594.3203726215372</c:v>
                </c:pt>
                <c:pt idx="859">
                  <c:v>1596.9214905007832</c:v>
                </c:pt>
                <c:pt idx="860">
                  <c:v>1599.5131414907066</c:v>
                </c:pt>
                <c:pt idx="861">
                  <c:v>1602.095317294167</c:v>
                </c:pt>
                <c:pt idx="862">
                  <c:v>1604.6680100600986</c:v>
                </c:pt>
                <c:pt idx="863">
                  <c:v>1607.2312123817062</c:v>
                </c:pt>
                <c:pt idx="864">
                  <c:v>1609.7849172946158</c:v>
                </c:pt>
                <c:pt idx="865">
                  <c:v>1612.3291182749826</c:v>
                </c:pt>
                <c:pt idx="866">
                  <c:v>1614.8638092375572</c:v>
                </c:pt>
                <c:pt idx="867">
                  <c:v>1617.3889845337094</c:v>
                </c:pt>
                <c:pt idx="868">
                  <c:v>1619.9046389494113</c:v>
                </c:pt>
                <c:pt idx="869">
                  <c:v>1622.4107677031814</c:v>
                </c:pt>
                <c:pt idx="870">
                  <c:v>1624.9073664439873</c:v>
                </c:pt>
                <c:pt idx="871">
                  <c:v>1627.3944312491121</c:v>
                </c:pt>
                <c:pt idx="872">
                  <c:v>1629.8719586219809</c:v>
                </c:pt>
                <c:pt idx="873">
                  <c:v>1632.3399454899516</c:v>
                </c:pt>
                <c:pt idx="874">
                  <c:v>1634.7983892020686</c:v>
                </c:pt>
                <c:pt idx="875">
                  <c:v>1637.2472875267811</c:v>
                </c:pt>
                <c:pt idx="876">
                  <c:v>1639.686638649626</c:v>
                </c:pt>
                <c:pt idx="877">
                  <c:v>1642.1164411708774</c:v>
                </c:pt>
                <c:pt idx="878">
                  <c:v>1644.5366941031618</c:v>
                </c:pt>
                <c:pt idx="879">
                  <c:v>1646.9473968690418</c:v>
                </c:pt>
                <c:pt idx="880">
                  <c:v>1649.3485492985658</c:v>
                </c:pt>
                <c:pt idx="881">
                  <c:v>1651.7401516267882</c:v>
                </c:pt>
                <c:pt idx="882">
                  <c:v>1654.1222044912588</c:v>
                </c:pt>
                <c:pt idx="883">
                  <c:v>1656.494708929481</c:v>
                </c:pt>
                <c:pt idx="884">
                  <c:v>1658.8576663763429</c:v>
                </c:pt>
                <c:pt idx="885">
                  <c:v>1661.2110786615181</c:v>
                </c:pt>
                <c:pt idx="886">
                  <c:v>1663.55494800684</c:v>
                </c:pt>
                <c:pt idx="887">
                  <c:v>1665.8892770236494</c:v>
                </c:pt>
                <c:pt idx="888">
                  <c:v>1668.2140687101141</c:v>
                </c:pt>
                <c:pt idx="889">
                  <c:v>1670.5293264485251</c:v>
                </c:pt>
                <c:pt idx="890">
                  <c:v>1672.8350540025665</c:v>
                </c:pt>
                <c:pt idx="891">
                  <c:v>1675.1312555145614</c:v>
                </c:pt>
                <c:pt idx="892">
                  <c:v>1677.4179355026952</c:v>
                </c:pt>
                <c:pt idx="893">
                  <c:v>1679.6950988582155</c:v>
                </c:pt>
                <c:pt idx="894">
                  <c:v>1681.9627508426099</c:v>
                </c:pt>
                <c:pt idx="895">
                  <c:v>1684.2208970847626</c:v>
                </c:pt>
                <c:pt idx="896">
                  <c:v>1686.4695435780902</c:v>
                </c:pt>
                <c:pt idx="897">
                  <c:v>1688.7086966776578</c:v>
                </c:pt>
                <c:pt idx="898">
                  <c:v>1690.9383630972757</c:v>
                </c:pt>
                <c:pt idx="899">
                  <c:v>1693.1585499065766</c:v>
                </c:pt>
                <c:pt idx="900">
                  <c:v>1695.3692645280767</c:v>
                </c:pt>
                <c:pt idx="901">
                  <c:v>1697.5705147342176</c:v>
                </c:pt>
                <c:pt idx="902">
                  <c:v>1699.7623086443928</c:v>
                </c:pt>
                <c:pt idx="903">
                  <c:v>1701.9446547219572</c:v>
                </c:pt>
                <c:pt idx="904">
                  <c:v>1704.1175617712224</c:v>
                </c:pt>
                <c:pt idx="905">
                  <c:v>1706.2810389344365</c:v>
                </c:pt>
                <c:pt idx="906">
                  <c:v>1708.4350956887506</c:v>
                </c:pt>
                <c:pt idx="907">
                  <c:v>1710.5797418431707</c:v>
                </c:pt>
                <c:pt idx="908">
                  <c:v>1712.7149875354985</c:v>
                </c:pt>
                <c:pt idx="909">
                  <c:v>1714.8408432292588</c:v>
                </c:pt>
                <c:pt idx="910">
                  <c:v>1716.957319710616</c:v>
                </c:pt>
                <c:pt idx="911">
                  <c:v>1719.06442808528</c:v>
                </c:pt>
                <c:pt idx="912">
                  <c:v>1721.162179775401</c:v>
                </c:pt>
                <c:pt idx="913">
                  <c:v>1723.2505865164551</c:v>
                </c:pt>
                <c:pt idx="914">
                  <c:v>1725.3296603541219</c:v>
                </c:pt>
                <c:pt idx="915">
                  <c:v>1727.3994136411518</c:v>
                </c:pt>
                <c:pt idx="916">
                  <c:v>1729.4598590342273</c:v>
                </c:pt>
                <c:pt idx="917">
                  <c:v>1731.5110094908159</c:v>
                </c:pt>
                <c:pt idx="918">
                  <c:v>1733.5528782660169</c:v>
                </c:pt>
                <c:pt idx="919">
                  <c:v>1735.5854789094021</c:v>
                </c:pt>
                <c:pt idx="920">
                  <c:v>1737.6088252618508</c:v>
                </c:pt>
                <c:pt idx="921">
                  <c:v>1739.6229314523803</c:v>
                </c:pt>
                <c:pt idx="922">
                  <c:v>1741.6278118949717</c:v>
                </c:pt>
                <c:pt idx="923">
                  <c:v>1743.6234812853929</c:v>
                </c:pt>
                <c:pt idx="924">
                  <c:v>1745.6099545980164</c:v>
                </c:pt>
                <c:pt idx="925">
                  <c:v>1747.5872470826366</c:v>
                </c:pt>
                <c:pt idx="926">
                  <c:v>1749.5553742612838</c:v>
                </c:pt>
                <c:pt idx="927">
                  <c:v>1751.5143519250366</c:v>
                </c:pt>
                <c:pt idx="928">
                  <c:v>1753.4641961308341</c:v>
                </c:pt>
                <c:pt idx="929">
                  <c:v>1755.4049231982865</c:v>
                </c:pt>
                <c:pt idx="930">
                  <c:v>1757.3365497064863</c:v>
                </c:pt>
                <c:pt idx="931">
                  <c:v>1759.2590924908202</c:v>
                </c:pt>
                <c:pt idx="932">
                  <c:v>1761.172568639781</c:v>
                </c:pt>
                <c:pt idx="933">
                  <c:v>1763.0769954917826</c:v>
                </c:pt>
                <c:pt idx="934">
                  <c:v>1764.9723906319753</c:v>
                </c:pt>
                <c:pt idx="935">
                  <c:v>1766.8587718890649</c:v>
                </c:pt>
                <c:pt idx="936">
                  <c:v>1768.7361573321339</c:v>
                </c:pt>
                <c:pt idx="937">
                  <c:v>1770.6045652674668</c:v>
                </c:pt>
                <c:pt idx="938">
                  <c:v>1772.464014235379</c:v>
                </c:pt>
                <c:pt idx="939">
                  <c:v>1774.3145230070493</c:v>
                </c:pt>
                <c:pt idx="940">
                  <c:v>1776.1561105813587</c:v>
                </c:pt>
                <c:pt idx="941">
                  <c:v>1777.9887961817333</c:v>
                </c:pt>
                <c:pt idx="942">
                  <c:v>1779.8125992529938</c:v>
                </c:pt>
                <c:pt idx="943">
                  <c:v>1781.6275394582099</c:v>
                </c:pt>
                <c:pt idx="944">
                  <c:v>1781.6275394582099</c:v>
                </c:pt>
                <c:pt idx="945">
                  <c:v>1781.6275394582099</c:v>
                </c:pt>
                <c:pt idx="946">
                  <c:v>1781.6275394582099</c:v>
                </c:pt>
                <c:pt idx="947">
                  <c:v>1781.6275394582099</c:v>
                </c:pt>
                <c:pt idx="948">
                  <c:v>1781.6275394582099</c:v>
                </c:pt>
                <c:pt idx="949">
                  <c:v>1781.6275394582099</c:v>
                </c:pt>
                <c:pt idx="950">
                  <c:v>1781.6275394582099</c:v>
                </c:pt>
                <c:pt idx="951">
                  <c:v>1781.6275394582099</c:v>
                </c:pt>
                <c:pt idx="952">
                  <c:v>1781.6275394582099</c:v>
                </c:pt>
                <c:pt idx="953">
                  <c:v>1781.6275394582099</c:v>
                </c:pt>
                <c:pt idx="954">
                  <c:v>1781.6275394582099</c:v>
                </c:pt>
                <c:pt idx="955">
                  <c:v>1781.6275394582099</c:v>
                </c:pt>
                <c:pt idx="956">
                  <c:v>1781.6275394582099</c:v>
                </c:pt>
                <c:pt idx="957">
                  <c:v>1781.6275394582099</c:v>
                </c:pt>
                <c:pt idx="958">
                  <c:v>1781.6275394582099</c:v>
                </c:pt>
                <c:pt idx="959">
                  <c:v>1781.6275394582099</c:v>
                </c:pt>
                <c:pt idx="960">
                  <c:v>1781.6275394582099</c:v>
                </c:pt>
                <c:pt idx="961">
                  <c:v>1781.6275394582099</c:v>
                </c:pt>
                <c:pt idx="962">
                  <c:v>1781.6275394582099</c:v>
                </c:pt>
                <c:pt idx="963">
                  <c:v>1781.6275394582099</c:v>
                </c:pt>
                <c:pt idx="964">
                  <c:v>1781.6275394582099</c:v>
                </c:pt>
                <c:pt idx="965">
                  <c:v>1781.6275394582099</c:v>
                </c:pt>
                <c:pt idx="966">
                  <c:v>1781.6275394582099</c:v>
                </c:pt>
                <c:pt idx="967">
                  <c:v>1781.6275394582099</c:v>
                </c:pt>
                <c:pt idx="968">
                  <c:v>1781.6275394582099</c:v>
                </c:pt>
                <c:pt idx="969">
                  <c:v>1781.6275394582099</c:v>
                </c:pt>
                <c:pt idx="970">
                  <c:v>1781.6275394582099</c:v>
                </c:pt>
                <c:pt idx="971">
                  <c:v>1781.6275394582099</c:v>
                </c:pt>
                <c:pt idx="972">
                  <c:v>1781.6275394582099</c:v>
                </c:pt>
                <c:pt idx="973">
                  <c:v>1781.6275394582099</c:v>
                </c:pt>
                <c:pt idx="974">
                  <c:v>1781.6275394582099</c:v>
                </c:pt>
                <c:pt idx="975">
                  <c:v>1781.6275394582099</c:v>
                </c:pt>
                <c:pt idx="976">
                  <c:v>1781.6275394582099</c:v>
                </c:pt>
                <c:pt idx="977">
                  <c:v>1781.6275394582099</c:v>
                </c:pt>
                <c:pt idx="978">
                  <c:v>1781.6275394582099</c:v>
                </c:pt>
                <c:pt idx="979">
                  <c:v>1781.6275394582099</c:v>
                </c:pt>
                <c:pt idx="980">
                  <c:v>1781.6275394582099</c:v>
                </c:pt>
                <c:pt idx="981">
                  <c:v>1781.6275394582099</c:v>
                </c:pt>
                <c:pt idx="982">
                  <c:v>1781.6275394582099</c:v>
                </c:pt>
                <c:pt idx="983">
                  <c:v>1781.6275394582099</c:v>
                </c:pt>
                <c:pt idx="984">
                  <c:v>1781.6275394582099</c:v>
                </c:pt>
                <c:pt idx="985">
                  <c:v>1781.6275394582099</c:v>
                </c:pt>
                <c:pt idx="986">
                  <c:v>1781.6275394582099</c:v>
                </c:pt>
                <c:pt idx="987">
                  <c:v>1781.6275394582099</c:v>
                </c:pt>
                <c:pt idx="988">
                  <c:v>1781.6275394582099</c:v>
                </c:pt>
                <c:pt idx="989">
                  <c:v>1781.6275394582099</c:v>
                </c:pt>
                <c:pt idx="990">
                  <c:v>1781.6275394582099</c:v>
                </c:pt>
                <c:pt idx="991">
                  <c:v>1781.6275394582099</c:v>
                </c:pt>
                <c:pt idx="992">
                  <c:v>1781.6275394582099</c:v>
                </c:pt>
                <c:pt idx="993">
                  <c:v>1781.6275394582099</c:v>
                </c:pt>
                <c:pt idx="994">
                  <c:v>1781.6275394582099</c:v>
                </c:pt>
                <c:pt idx="995">
                  <c:v>1781.6275394582099</c:v>
                </c:pt>
                <c:pt idx="996">
                  <c:v>1781.6275394582099</c:v>
                </c:pt>
                <c:pt idx="997">
                  <c:v>1781.6275394582099</c:v>
                </c:pt>
                <c:pt idx="998">
                  <c:v>1781.6275394582099</c:v>
                </c:pt>
                <c:pt idx="999">
                  <c:v>1781.6275394582099</c:v>
                </c:pt>
                <c:pt idx="1000">
                  <c:v>1781.6275394582099</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2.7845659544072018E-3</c:v>
                </c:pt>
                <c:pt idx="3">
                  <c:v>8.4593505963715364E-3</c:v>
                </c:pt>
                <c:pt idx="4">
                  <c:v>1.8308779793569256E-2</c:v>
                </c:pt>
                <c:pt idx="5">
                  <c:v>3.3175168455384901E-2</c:v>
                </c:pt>
                <c:pt idx="6">
                  <c:v>5.3901619778218599E-2</c:v>
                </c:pt>
                <c:pt idx="7">
                  <c:v>8.1332128041796667E-2</c:v>
                </c:pt>
                <c:pt idx="8">
                  <c:v>0.11631168072130696</c:v>
                </c:pt>
                <c:pt idx="9">
                  <c:v>0.15968635995264513</c:v>
                </c:pt>
                <c:pt idx="10">
                  <c:v>0.21230344338712537</c:v>
                </c:pt>
                <c:pt idx="11">
                  <c:v>0.27476940591987731</c:v>
                </c:pt>
                <c:pt idx="12">
                  <c:v>0.34720734449957558</c:v>
                </c:pt>
                <c:pt idx="13">
                  <c:v>0.42949643770820339</c:v>
                </c:pt>
                <c:pt idx="14">
                  <c:v>0.52151192992652595</c:v>
                </c:pt>
                <c:pt idx="15">
                  <c:v>0.62312697293823316</c:v>
                </c:pt>
                <c:pt idx="16">
                  <c:v>0.73421447159011854</c:v>
                </c:pt>
                <c:pt idx="17">
                  <c:v>0.85464708779615783</c:v>
                </c:pt>
                <c:pt idx="18">
                  <c:v>0.98429724454032486</c:v>
                </c:pt>
                <c:pt idx="19">
                  <c:v>1.123037129877603</c:v>
                </c:pt>
                <c:pt idx="20">
                  <c:v>1.2707387009326527</c:v>
                </c:pt>
                <c:pt idx="21">
                  <c:v>1.4272736878955994</c:v>
                </c:pt>
                <c:pt idx="22">
                  <c:v>1.5925135980144078</c:v>
                </c:pt>
                <c:pt idx="23">
                  <c:v>1.7663297195833143</c:v>
                </c:pt>
                <c:pt idx="24">
                  <c:v>1.9485931259267879</c:v>
                </c:pt>
                <c:pt idx="25">
                  <c:v>2.1391746793785003</c:v>
                </c:pt>
                <c:pt idx="26">
                  <c:v>2.3379450352547813</c:v>
                </c:pt>
                <c:pt idx="27">
                  <c:v>2.5448071832765953</c:v>
                </c:pt>
                <c:pt idx="28">
                  <c:v>2.7597290443013827</c:v>
                </c:pt>
                <c:pt idx="29">
                  <c:v>2.9827110166974058</c:v>
                </c:pt>
                <c:pt idx="30">
                  <c:v>3.2137534654013309</c:v>
                </c:pt>
                <c:pt idx="31">
                  <c:v>3.4528567218753219</c:v>
                </c:pt>
                <c:pt idx="32">
                  <c:v>3.700021084064788</c:v>
                </c:pt>
                <c:pt idx="33">
                  <c:v>3.9552468163567855</c:v>
                </c:pt>
                <c:pt idx="34">
                  <c:v>4.218519352360846</c:v>
                </c:pt>
                <c:pt idx="35">
                  <c:v>4.4898235998630618</c:v>
                </c:pt>
                <c:pt idx="36">
                  <c:v>4.7691587417827161</c:v>
                </c:pt>
                <c:pt idx="37">
                  <c:v>5.0565239417513519</c:v>
                </c:pt>
                <c:pt idx="38">
                  <c:v>5.3519183503553309</c:v>
                </c:pt>
                <c:pt idx="39">
                  <c:v>5.6553411041094757</c:v>
                </c:pt>
                <c:pt idx="40">
                  <c:v>5.9667913245042534</c:v>
                </c:pt>
                <c:pt idx="41">
                  <c:v>6.2862681171193984</c:v>
                </c:pt>
                <c:pt idx="42">
                  <c:v>6.6137705707977217</c:v>
                </c:pt>
                <c:pt idx="43">
                  <c:v>6.9492977568735981</c:v>
                </c:pt>
                <c:pt idx="44">
                  <c:v>7.2928487284512347</c:v>
                </c:pt>
                <c:pt idx="45">
                  <c:v>7.6444225197283959</c:v>
                </c:pt>
                <c:pt idx="46">
                  <c:v>8.0040181453617123</c:v>
                </c:pt>
                <c:pt idx="47">
                  <c:v>8.3716345998701254</c:v>
                </c:pt>
                <c:pt idx="48">
                  <c:v>8.7472708570733744</c:v>
                </c:pt>
                <c:pt idx="49">
                  <c:v>9.1309258695627555</c:v>
                </c:pt>
                <c:pt idx="50">
                  <c:v>9.5225985682016585</c:v>
                </c:pt>
                <c:pt idx="51">
                  <c:v>9.9222878616536168</c:v>
                </c:pt>
                <c:pt idx="52">
                  <c:v>10.329992635935845</c:v>
                </c:pt>
                <c:pt idx="53">
                  <c:v>10.745711753996426</c:v>
                </c:pt>
                <c:pt idx="54">
                  <c:v>11.169444055313457</c:v>
                </c:pt>
                <c:pt idx="55">
                  <c:v>11.601188355514649</c:v>
                </c:pt>
                <c:pt idx="56">
                  <c:v>12.040943446015984</c:v>
                </c:pt>
                <c:pt idx="57">
                  <c:v>12.488708093678165</c:v>
                </c:pt>
                <c:pt idx="58">
                  <c:v>12.944481040479712</c:v>
                </c:pt>
                <c:pt idx="59">
                  <c:v>13.408261003205627</c:v>
                </c:pt>
                <c:pt idx="60">
                  <c:v>13.880046673150677</c:v>
                </c:pt>
                <c:pt idx="61">
                  <c:v>14.359836715836373</c:v>
                </c:pt>
                <c:pt idx="62">
                  <c:v>14.84762977074087</c:v>
                </c:pt>
                <c:pt idx="63">
                  <c:v>15.343424451040976</c:v>
                </c:pt>
                <c:pt idx="64">
                  <c:v>15.847219343365623</c:v>
                </c:pt>
                <c:pt idx="65">
                  <c:v>16.359013007560115</c:v>
                </c:pt>
                <c:pt idx="66">
                  <c:v>16.878803976460581</c:v>
                </c:pt>
                <c:pt idx="67">
                  <c:v>17.406590755678081</c:v>
                </c:pt>
                <c:pt idx="68">
                  <c:v>17.942371823391827</c:v>
                </c:pt>
                <c:pt idx="69">
                  <c:v>18.486145630151078</c:v>
                </c:pt>
                <c:pt idx="70">
                  <c:v>19.037910598685251</c:v>
                </c:pt>
                <c:pt idx="71">
                  <c:v>19.597665123721825</c:v>
                </c:pt>
                <c:pt idx="72">
                  <c:v>20.165407200578734</c:v>
                </c:pt>
                <c:pt idx="73">
                  <c:v>20.741134053257095</c:v>
                </c:pt>
                <c:pt idx="74">
                  <c:v>21.324842504800834</c:v>
                </c:pt>
                <c:pt idx="75">
                  <c:v>21.916529348176418</c:v>
                </c:pt>
                <c:pt idx="76">
                  <c:v>22.516191346138527</c:v>
                </c:pt>
                <c:pt idx="77">
                  <c:v>23.123825231101812</c:v>
                </c:pt>
                <c:pt idx="78">
                  <c:v>23.739427705018453</c:v>
                </c:pt>
                <c:pt idx="79">
                  <c:v>24.362995439261287</c:v>
                </c:pt>
                <c:pt idx="80">
                  <c:v>24.994525074512246</c:v>
                </c:pt>
                <c:pt idx="81">
                  <c:v>25.634013220655934</c:v>
                </c:pt>
                <c:pt idx="82">
                  <c:v>26.281456456678065</c:v>
                </c:pt>
                <c:pt idx="83">
                  <c:v>26.936851330568633</c:v>
                </c:pt>
                <c:pt idx="84">
                  <c:v>27.600194359229597</c:v>
                </c:pt>
                <c:pt idx="85">
                  <c:v>28.271482028386917</c:v>
                </c:pt>
                <c:pt idx="86">
                  <c:v>28.950710792506783</c:v>
                </c:pt>
                <c:pt idx="87">
                  <c:v>29.637877074715874</c:v>
                </c:pt>
                <c:pt idx="88">
                  <c:v>30.332977266725514</c:v>
                </c:pt>
                <c:pt idx="89">
                  <c:v>31.036007728759575</c:v>
                </c:pt>
                <c:pt idx="90">
                  <c:v>31.746964789486011</c:v>
                </c:pt>
                <c:pt idx="91">
                  <c:v>32.465844745951891</c:v>
                </c:pt>
                <c:pt idx="92">
                  <c:v>33.192643863521809</c:v>
                </c:pt>
                <c:pt idx="93">
                  <c:v>33.927358375819601</c:v>
                </c:pt>
                <c:pt idx="94">
                  <c:v>34.669984484673201</c:v>
                </c:pt>
                <c:pt idx="95">
                  <c:v>35.42051836006258</c:v>
                </c:pt>
                <c:pt idx="96">
                  <c:v>36.178956140070682</c:v>
                </c:pt>
                <c:pt idx="97">
                  <c:v>36.945293930837224</c:v>
                </c:pt>
                <c:pt idx="98">
                  <c:v>37.719527806515316</c:v>
                </c:pt>
                <c:pt idx="99">
                  <c:v>38.501653809230831</c:v>
                </c:pt>
                <c:pt idx="100">
                  <c:v>39.29166794904436</c:v>
                </c:pt>
                <c:pt idx="101">
                  <c:v>40.089566203915808</c:v>
                </c:pt>
                <c:pt idx="102">
                  <c:v>40.895344519671461</c:v>
                </c:pt>
                <c:pt idx="103">
                  <c:v>41.708998809973508</c:v>
                </c:pt>
                <c:pt idx="104">
                  <c:v>42.53052495629192</c:v>
                </c:pt>
                <c:pt idx="105">
                  <c:v>43.359918807878664</c:v>
                </c:pt>
                <c:pt idx="106">
                  <c:v>44.197176181744176</c:v>
                </c:pt>
                <c:pt idx="107">
                  <c:v>45.042292862636025</c:v>
                </c:pt>
                <c:pt idx="108">
                  <c:v>45.895264603019726</c:v>
                </c:pt>
                <c:pt idx="109">
                  <c:v>46.756087123061668</c:v>
                </c:pt>
                <c:pt idx="110">
                  <c:v>47.624756110614101</c:v>
                </c:pt>
                <c:pt idx="111">
                  <c:v>48.501267221202077</c:v>
                </c:pt>
                <c:pt idx="112">
                  <c:v>49.385616078012433</c:v>
                </c:pt>
                <c:pt idx="113">
                  <c:v>50.277798271884606</c:v>
                </c:pt>
                <c:pt idx="114">
                  <c:v>51.177809361303403</c:v>
                </c:pt>
                <c:pt idx="115">
                  <c:v>52.085644872393559</c:v>
                </c:pt>
                <c:pt idx="116">
                  <c:v>53.001300298916128</c:v>
                </c:pt>
                <c:pt idx="117">
                  <c:v>53.924771102266611</c:v>
                </c:pt>
                <c:pt idx="118">
                  <c:v>54.856052711474845</c:v>
                </c:pt>
                <c:pt idx="119">
                  <c:v>55.795140523206562</c:v>
                </c:pt>
                <c:pt idx="120">
                  <c:v>56.742029901766642</c:v>
                </c:pt>
                <c:pt idx="121">
                  <c:v>57.69671617910398</c:v>
                </c:pt>
                <c:pt idx="122">
                  <c:v>58.659194654817959</c:v>
                </c:pt>
                <c:pt idx="123">
                  <c:v>59.629460596166517</c:v>
                </c:pt>
                <c:pt idx="124">
                  <c:v>60.607509238075735</c:v>
                </c:pt>
                <c:pt idx="125">
                  <c:v>61.593335783150991</c:v>
                </c:pt>
                <c:pt idx="126">
                  <c:v>62.586935401689566</c:v>
                </c:pt>
                <c:pt idx="127">
                  <c:v>63.588303231694752</c:v>
                </c:pt>
                <c:pt idx="128">
                  <c:v>64.597434378891379</c:v>
                </c:pt>
                <c:pt idx="129">
                  <c:v>65.614322206324459</c:v>
                </c:pt>
                <c:pt idx="130">
                  <c:v>66.6389566219529</c:v>
                </c:pt>
                <c:pt idx="131">
                  <c:v>67.6713257865418</c:v>
                </c:pt>
                <c:pt idx="132">
                  <c:v>68.711417823606411</c:v>
                </c:pt>
                <c:pt idx="133">
                  <c:v>69.759220819523094</c:v>
                </c:pt>
                <c:pt idx="134">
                  <c:v>70.814722823641787</c:v>
                </c:pt>
                <c:pt idx="135">
                  <c:v>71.877911848400004</c:v>
                </c:pt>
                <c:pt idx="136">
                  <c:v>72.948775869438293</c:v>
                </c:pt>
                <c:pt idx="137">
                  <c:v>74.027302825717143</c:v>
                </c:pt>
                <c:pt idx="138">
                  <c:v>75.11348061963534</c:v>
                </c:pt>
                <c:pt idx="139">
                  <c:v>76.207297117149679</c:v>
                </c:pt>
                <c:pt idx="140">
                  <c:v>77.308740147896117</c:v>
                </c:pt>
                <c:pt idx="141">
                  <c:v>78.417797505312208</c:v>
                </c:pt>
                <c:pt idx="142">
                  <c:v>79.534456946760912</c:v>
                </c:pt>
                <c:pt idx="143">
                  <c:v>80.658706193655632</c:v>
                </c:pt>
                <c:pt idx="144">
                  <c:v>81.790532931586625</c:v>
                </c:pt>
                <c:pt idx="145">
                  <c:v>82.929924810448597</c:v>
                </c:pt>
                <c:pt idx="146">
                  <c:v>84.076869444569553</c:v>
                </c:pt>
                <c:pt idx="147">
                  <c:v>85.231354412840872</c:v>
                </c:pt>
                <c:pt idx="148">
                  <c:v>86.393367258848542</c:v>
                </c:pt>
                <c:pt idx="149">
                  <c:v>87.562895491005563</c:v>
                </c:pt>
                <c:pt idx="150">
                  <c:v>88.739926582685527</c:v>
                </c:pt>
                <c:pt idx="151">
                  <c:v>89.924447972357328</c:v>
                </c:pt>
                <c:pt idx="152">
                  <c:v>91.11644706372094</c:v>
                </c:pt>
                <c:pt idx="153">
                  <c:v>92.315911225844332</c:v>
                </c:pt>
                <c:pt idx="154">
                  <c:v>93.522827793301417</c:v>
                </c:pt>
                <c:pt idx="155">
                  <c:v>94.737184066311073</c:v>
                </c:pt>
                <c:pt idx="156">
                  <c:v>95.958967310877185</c:v>
                </c:pt>
                <c:pt idx="157">
                  <c:v>97.188164758929744</c:v>
                </c:pt>
                <c:pt idx="158">
                  <c:v>98.42476360846689</c:v>
                </c:pt>
                <c:pt idx="159">
                  <c:v>99.668751023697993</c:v>
                </c:pt>
                <c:pt idx="160">
                  <c:v>100.92011413518762</c:v>
                </c:pt>
                <c:pt idx="161">
                  <c:v>102.17884004000057</c:v>
                </c:pt>
                <c:pt idx="162">
                  <c:v>103.44491580184771</c:v>
                </c:pt>
                <c:pt idx="163">
                  <c:v>104.71832845123288</c:v>
                </c:pt>
                <c:pt idx="164">
                  <c:v>105.99906498560051</c:v>
                </c:pt>
                <c:pt idx="165">
                  <c:v>107.28711236948429</c:v>
                </c:pt>
                <c:pt idx="166">
                  <c:v>108.58245753465664</c:v>
                </c:pt>
                <c:pt idx="167">
                  <c:v>109.88508738027905</c:v>
                </c:pt>
                <c:pt idx="168">
                  <c:v>111.19498877305323</c:v>
                </c:pt>
                <c:pt idx="169">
                  <c:v>112.51214854737312</c:v>
                </c:pt>
                <c:pt idx="170">
                  <c:v>113.83655350547772</c:v>
                </c:pt>
                <c:pt idx="171">
                  <c:v>115.16819041760469</c:v>
                </c:pt>
                <c:pt idx="172">
                  <c:v>116.50704602214472</c:v>
                </c:pt>
                <c:pt idx="173">
                  <c:v>117.85310702579675</c:v>
                </c:pt>
                <c:pt idx="174">
                  <c:v>119.20636010372382</c:v>
                </c:pt>
                <c:pt idx="175">
                  <c:v>120.56679189970981</c:v>
                </c:pt>
                <c:pt idx="176">
                  <c:v>121.93438902631677</c:v>
                </c:pt>
                <c:pt idx="177">
                  <c:v>123.30913806504303</c:v>
                </c:pt>
                <c:pt idx="178">
                  <c:v>124.69102556648205</c:v>
                </c:pt>
                <c:pt idx="179">
                  <c:v>126.08003805048193</c:v>
                </c:pt>
                <c:pt idx="180">
                  <c:v>127.47616200630551</c:v>
                </c:pt>
                <c:pt idx="181">
                  <c:v>128.87938389279128</c:v>
                </c:pt>
                <c:pt idx="182">
                  <c:v>130.28969013851489</c:v>
                </c:pt>
                <c:pt idx="183">
                  <c:v>131.70706714195117</c:v>
                </c:pt>
                <c:pt idx="184">
                  <c:v>133.13150127163706</c:v>
                </c:pt>
                <c:pt idx="185">
                  <c:v>134.56297886633487</c:v>
                </c:pt>
                <c:pt idx="186">
                  <c:v>136.00148623519627</c:v>
                </c:pt>
                <c:pt idx="187">
                  <c:v>137.44700965792691</c:v>
                </c:pt>
                <c:pt idx="188">
                  <c:v>138.89953538495152</c:v>
                </c:pt>
                <c:pt idx="189">
                  <c:v>140.35904963757969</c:v>
                </c:pt>
                <c:pt idx="190">
                  <c:v>141.82553860817205</c:v>
                </c:pt>
                <c:pt idx="191">
                  <c:v>143.29898846030721</c:v>
                </c:pt>
                <c:pt idx="192">
                  <c:v>144.77938532894902</c:v>
                </c:pt>
                <c:pt idx="193">
                  <c:v>146.26671532061451</c:v>
                </c:pt>
                <c:pt idx="194">
                  <c:v>147.76096451354221</c:v>
                </c:pt>
                <c:pt idx="195">
                  <c:v>149.26211895786111</c:v>
                </c:pt>
                <c:pt idx="196">
                  <c:v>150.77016467575996</c:v>
                </c:pt>
                <c:pt idx="197">
                  <c:v>152.28508766165723</c:v>
                </c:pt>
                <c:pt idx="198">
                  <c:v>153.80687388237129</c:v>
                </c:pt>
                <c:pt idx="199">
                  <c:v>155.33550927729132</c:v>
                </c:pt>
                <c:pt idx="200">
                  <c:v>156.87097975854849</c:v>
                </c:pt>
                <c:pt idx="201">
                  <c:v>158.41327121118752</c:v>
                </c:pt>
                <c:pt idx="202">
                  <c:v>159.96236949333897</c:v>
                </c:pt>
                <c:pt idx="203">
                  <c:v>161.51826043639153</c:v>
                </c:pt>
                <c:pt idx="204">
                  <c:v>163.08092984516503</c:v>
                </c:pt>
                <c:pt idx="205">
                  <c:v>164.65036349808375</c:v>
                </c:pt>
                <c:pt idx="206">
                  <c:v>166.22654673009143</c:v>
                </c:pt>
                <c:pt idx="207">
                  <c:v>167.80946401525509</c:v>
                </c:pt>
                <c:pt idx="208">
                  <c:v>169.39909938391676</c:v>
                </c:pt>
                <c:pt idx="209">
                  <c:v>170.99543684016896</c:v>
                </c:pt>
                <c:pt idx="210">
                  <c:v>172.59846036205343</c:v>
                </c:pt>
                <c:pt idx="211">
                  <c:v>174.20815390176011</c:v>
                </c:pt>
                <c:pt idx="212">
                  <c:v>175.8245013858263</c:v>
                </c:pt>
                <c:pt idx="213">
                  <c:v>177.44748671533623</c:v>
                </c:pt>
                <c:pt idx="214">
                  <c:v>179.07709376612075</c:v>
                </c:pt>
                <c:pt idx="215">
                  <c:v>180.71330638895742</c:v>
                </c:pt>
                <c:pt idx="216">
                  <c:v>182.35610840977063</c:v>
                </c:pt>
                <c:pt idx="217">
                  <c:v>184.0054836298321</c:v>
                </c:pt>
                <c:pt idx="218">
                  <c:v>185.66141582596154</c:v>
                </c:pt>
                <c:pt idx="219">
                  <c:v>187.32388875072752</c:v>
                </c:pt>
                <c:pt idx="220">
                  <c:v>188.99288613264844</c:v>
                </c:pt>
                <c:pt idx="221">
                  <c:v>190.66839167639387</c:v>
                </c:pt>
                <c:pt idx="222">
                  <c:v>192.35038906298584</c:v>
                </c:pt>
                <c:pt idx="223">
                  <c:v>194.03886195000044</c:v>
                </c:pt>
                <c:pt idx="224">
                  <c:v>195.73379397176953</c:v>
                </c:pt>
                <c:pt idx="225">
                  <c:v>197.43516873958254</c:v>
                </c:pt>
                <c:pt idx="226">
                  <c:v>199.14296984188843</c:v>
                </c:pt>
                <c:pt idx="227">
                  <c:v>200.8571808444978</c:v>
                </c:pt>
                <c:pt idx="228">
                  <c:v>202.57778529078507</c:v>
                </c:pt>
                <c:pt idx="229">
                  <c:v>204.30476670189068</c:v>
                </c:pt>
                <c:pt idx="230">
                  <c:v>206.03810857692358</c:v>
                </c:pt>
                <c:pt idx="231">
                  <c:v>207.77779439316356</c:v>
                </c:pt>
                <c:pt idx="232">
                  <c:v>209.52380760626389</c:v>
                </c:pt>
                <c:pt idx="233">
                  <c:v>211.27613165045375</c:v>
                </c:pt>
                <c:pt idx="234">
                  <c:v>213.03474993874093</c:v>
                </c:pt>
                <c:pt idx="235">
                  <c:v>214.79964586311445</c:v>
                </c:pt>
                <c:pt idx="236">
                  <c:v>216.57080279474729</c:v>
                </c:pt>
                <c:pt idx="237">
                  <c:v>218.34820408419901</c:v>
                </c:pt>
                <c:pt idx="238">
                  <c:v>220.13183306161855</c:v>
                </c:pt>
                <c:pt idx="239">
                  <c:v>221.92167303694686</c:v>
                </c:pt>
                <c:pt idx="240">
                  <c:v>223.71770730011966</c:v>
                </c:pt>
                <c:pt idx="241">
                  <c:v>225.51991912127011</c:v>
                </c:pt>
                <c:pt idx="242">
                  <c:v>227.32829030733063</c:v>
                </c:pt>
                <c:pt idx="243">
                  <c:v>229.14279975786525</c:v>
                </c:pt>
                <c:pt idx="244">
                  <c:v>230.96342490847178</c:v>
                </c:pt>
                <c:pt idx="245">
                  <c:v>232.79014317499545</c:v>
                </c:pt>
                <c:pt idx="246">
                  <c:v>234.62293195381585</c:v>
                </c:pt>
                <c:pt idx="247">
                  <c:v>236.46176862213321</c:v>
                </c:pt>
                <c:pt idx="248">
                  <c:v>238.30663053825452</c:v>
                </c:pt>
                <c:pt idx="249">
                  <c:v>240.15749504187909</c:v>
                </c:pt>
                <c:pt idx="250">
                  <c:v>242.01433945438376</c:v>
                </c:pt>
                <c:pt idx="251">
                  <c:v>243.87714107910764</c:v>
                </c:pt>
                <c:pt idx="252">
                  <c:v>245.74587720163638</c:v>
                </c:pt>
                <c:pt idx="253">
                  <c:v>247.62052509008603</c:v>
                </c:pt>
                <c:pt idx="254">
                  <c:v>249.50106199538644</c:v>
                </c:pt>
                <c:pt idx="255">
                  <c:v>251.38746515156404</c:v>
                </c:pt>
                <c:pt idx="256">
                  <c:v>253.27971177602427</c:v>
                </c:pt>
                <c:pt idx="257">
                  <c:v>255.17777906983341</c:v>
                </c:pt>
                <c:pt idx="258">
                  <c:v>257.08164421799995</c:v>
                </c:pt>
                <c:pt idx="259">
                  <c:v>258.99128438975544</c:v>
                </c:pt>
                <c:pt idx="260">
                  <c:v>260.90667673883456</c:v>
                </c:pt>
                <c:pt idx="261">
                  <c:v>262.82779840375508</c:v>
                </c:pt>
                <c:pt idx="262">
                  <c:v>264.75462650809681</c:v>
                </c:pt>
                <c:pt idx="263">
                  <c:v>266.68713816078008</c:v>
                </c:pt>
                <c:pt idx="264">
                  <c:v>268.62531045634393</c:v>
                </c:pt>
                <c:pt idx="265">
                  <c:v>270.56912047522331</c:v>
                </c:pt>
                <c:pt idx="266">
                  <c:v>272.51854528402589</c:v>
                </c:pt>
                <c:pt idx="267">
                  <c:v>274.47356193580799</c:v>
                </c:pt>
                <c:pt idx="268">
                  <c:v>276.43414747035035</c:v>
                </c:pt>
                <c:pt idx="269">
                  <c:v>278.40027891443276</c:v>
                </c:pt>
                <c:pt idx="270">
                  <c:v>280.37193328210822</c:v>
                </c:pt>
                <c:pt idx="271">
                  <c:v>282.34908757497658</c:v>
                </c:pt>
                <c:pt idx="272">
                  <c:v>284.33171878245724</c:v>
                </c:pt>
                <c:pt idx="273">
                  <c:v>286.31980388206148</c:v>
                </c:pt>
                <c:pt idx="274">
                  <c:v>288.31331983966356</c:v>
                </c:pt>
                <c:pt idx="275">
                  <c:v>290.31224360977188</c:v>
                </c:pt>
                <c:pt idx="276">
                  <c:v>292.31655213579864</c:v>
                </c:pt>
                <c:pt idx="277">
                  <c:v>294.32622235032937</c:v>
                </c:pt>
                <c:pt idx="278">
                  <c:v>296.34123117539133</c:v>
                </c:pt>
                <c:pt idx="279">
                  <c:v>298.3615555227214</c:v>
                </c:pt>
                <c:pt idx="280">
                  <c:v>300.38717229403306</c:v>
                </c:pt>
                <c:pt idx="281">
                  <c:v>302.41805838128278</c:v>
                </c:pt>
                <c:pt idx="282">
                  <c:v>304.45419066693535</c:v>
                </c:pt>
                <c:pt idx="283">
                  <c:v>306.49554602422887</c:v>
                </c:pt>
                <c:pt idx="284">
                  <c:v>308.54210301385024</c:v>
                </c:pt>
                <c:pt idx="285">
                  <c:v>310.59384358102369</c:v>
                </c:pt>
                <c:pt idx="286">
                  <c:v>312.65075135896842</c:v>
                </c:pt>
                <c:pt idx="287">
                  <c:v>314.7128099718978</c:v>
                </c:pt>
                <c:pt idx="288">
                  <c:v>316.78000303519138</c:v>
                </c:pt>
                <c:pt idx="289">
                  <c:v>318.85231415556683</c:v>
                </c:pt>
                <c:pt idx="290">
                  <c:v>320.92972693125131</c:v>
                </c:pt>
                <c:pt idx="291">
                  <c:v>323.01222495215245</c:v>
                </c:pt>
                <c:pt idx="292">
                  <c:v>325.0997918000291</c:v>
                </c:pt>
                <c:pt idx="293">
                  <c:v>327.19241104866165</c:v>
                </c:pt>
                <c:pt idx="294">
                  <c:v>329.29006626402179</c:v>
                </c:pt>
                <c:pt idx="295">
                  <c:v>331.39274100444197</c:v>
                </c:pt>
                <c:pt idx="296">
                  <c:v>333.50041882078466</c:v>
                </c:pt>
                <c:pt idx="297">
                  <c:v>335.61308325661076</c:v>
                </c:pt>
                <c:pt idx="298">
                  <c:v>337.73071784834804</c:v>
                </c:pt>
                <c:pt idx="299">
                  <c:v>339.85330612545874</c:v>
                </c:pt>
                <c:pt idx="300">
                  <c:v>341.9808316106072</c:v>
                </c:pt>
                <c:pt idx="301">
                  <c:v>344.11327781982664</c:v>
                </c:pt>
                <c:pt idx="302">
                  <c:v>346.25062826268572</c:v>
                </c:pt>
                <c:pt idx="303">
                  <c:v>348.39286644245476</c:v>
                </c:pt>
                <c:pt idx="304">
                  <c:v>350.53997585627116</c:v>
                </c:pt>
                <c:pt idx="305">
                  <c:v>352.69193999530478</c:v>
                </c:pt>
                <c:pt idx="306">
                  <c:v>354.84874234492253</c:v>
                </c:pt>
                <c:pt idx="307">
                  <c:v>357.01036638485277</c:v>
                </c:pt>
                <c:pt idx="308">
                  <c:v>359.17679558934907</c:v>
                </c:pt>
                <c:pt idx="309">
                  <c:v>361.34801342735346</c:v>
                </c:pt>
                <c:pt idx="310">
                  <c:v>363.52400336265953</c:v>
                </c:pt>
                <c:pt idx="311">
                  <c:v>365.70474885407464</c:v>
                </c:pt>
                <c:pt idx="312">
                  <c:v>367.89023335558193</c:v>
                </c:pt>
                <c:pt idx="313">
                  <c:v>370.08044031650172</c:v>
                </c:pt>
                <c:pt idx="314">
                  <c:v>372.27535318165246</c:v>
                </c:pt>
                <c:pt idx="315">
                  <c:v>374.47495539151123</c:v>
                </c:pt>
                <c:pt idx="316">
                  <c:v>376.67923038237365</c:v>
                </c:pt>
                <c:pt idx="317">
                  <c:v>378.88816158651338</c:v>
                </c:pt>
                <c:pt idx="318">
                  <c:v>381.10173243234107</c:v>
                </c:pt>
                <c:pt idx="319">
                  <c:v>383.31992634456276</c:v>
                </c:pt>
                <c:pt idx="320">
                  <c:v>385.54272674433793</c:v>
                </c:pt>
                <c:pt idx="321">
                  <c:v>387.77011704943675</c:v>
                </c:pt>
                <c:pt idx="322">
                  <c:v>390.00208067439718</c:v>
                </c:pt>
                <c:pt idx="323">
                  <c:v>392.23860103068125</c:v>
                </c:pt>
                <c:pt idx="324">
                  <c:v>394.47966152683085</c:v>
                </c:pt>
                <c:pt idx="325">
                  <c:v>396.72524556862317</c:v>
                </c:pt>
                <c:pt idx="326">
                  <c:v>398.97533666351887</c:v>
                </c:pt>
                <c:pt idx="327">
                  <c:v>401.22991852511279</c:v>
                </c:pt>
                <c:pt idx="328">
                  <c:v>403.48897496892909</c:v>
                </c:pt>
                <c:pt idx="329">
                  <c:v>405.75248980821107</c:v>
                </c:pt>
                <c:pt idx="330">
                  <c:v>408.02044685406952</c:v>
                </c:pt>
                <c:pt idx="331">
                  <c:v>410.29282991563008</c:v>
                </c:pt>
                <c:pt idx="332">
                  <c:v>412.56962280018047</c:v>
                </c:pt>
                <c:pt idx="333">
                  <c:v>414.85080931331697</c:v>
                </c:pt>
                <c:pt idx="334">
                  <c:v>417.13637325909048</c:v>
                </c:pt>
                <c:pt idx="335">
                  <c:v>419.4262984401521</c:v>
                </c:pt>
                <c:pt idx="336">
                  <c:v>421.7205686578979</c:v>
                </c:pt>
                <c:pt idx="337">
                  <c:v>424.01916771261352</c:v>
                </c:pt>
                <c:pt idx="338">
                  <c:v>426.32207940361792</c:v>
                </c:pt>
                <c:pt idx="339">
                  <c:v>428.62928752940667</c:v>
                </c:pt>
                <c:pt idx="340">
                  <c:v>430.94077588779481</c:v>
                </c:pt>
                <c:pt idx="341">
                  <c:v>433.25652827605904</c:v>
                </c:pt>
                <c:pt idx="342">
                  <c:v>435.57652849107939</c:v>
                </c:pt>
                <c:pt idx="343">
                  <c:v>437.90076032948019</c:v>
                </c:pt>
                <c:pt idx="344">
                  <c:v>440.22920758777087</c:v>
                </c:pt>
                <c:pt idx="345">
                  <c:v>442.56185406248568</c:v>
                </c:pt>
                <c:pt idx="346">
                  <c:v>444.89868355032331</c:v>
                </c:pt>
                <c:pt idx="347">
                  <c:v>447.23967984828556</c:v>
                </c:pt>
                <c:pt idx="348">
                  <c:v>449.58482675381572</c:v>
                </c:pt>
                <c:pt idx="349">
                  <c:v>451.9341080649362</c:v>
                </c:pt>
                <c:pt idx="350">
                  <c:v>454.28750758038581</c:v>
                </c:pt>
                <c:pt idx="351">
                  <c:v>456.64500909975607</c:v>
                </c:pt>
                <c:pt idx="352">
                  <c:v>459.00659642362729</c:v>
                </c:pt>
                <c:pt idx="353">
                  <c:v>461.37225335370408</c:v>
                </c:pt>
                <c:pt idx="354">
                  <c:v>463.74196369294992</c:v>
                </c:pt>
                <c:pt idx="355">
                  <c:v>466.11571124572151</c:v>
                </c:pt>
                <c:pt idx="356">
                  <c:v>468.49347981790237</c:v>
                </c:pt>
                <c:pt idx="357">
                  <c:v>470.87525321703583</c:v>
                </c:pt>
                <c:pt idx="358">
                  <c:v>473.26101525245753</c:v>
                </c:pt>
                <c:pt idx="359">
                  <c:v>475.65074973542721</c:v>
                </c:pt>
                <c:pt idx="360">
                  <c:v>478.04444047926006</c:v>
                </c:pt>
                <c:pt idx="361">
                  <c:v>480.44207129945715</c:v>
                </c:pt>
                <c:pt idx="362">
                  <c:v>482.84362601383572</c:v>
                </c:pt>
                <c:pt idx="363">
                  <c:v>485.24908844265843</c:v>
                </c:pt>
                <c:pt idx="364">
                  <c:v>487.65844240876231</c:v>
                </c:pt>
                <c:pt idx="365">
                  <c:v>490.07167173768704</c:v>
                </c:pt>
                <c:pt idx="366">
                  <c:v>492.48876290338194</c:v>
                </c:pt>
                <c:pt idx="367">
                  <c:v>494.90970767347557</c:v>
                </c:pt>
                <c:pt idx="368">
                  <c:v>497.33450046127984</c:v>
                </c:pt>
                <c:pt idx="369">
                  <c:v>499.76313567818926</c:v>
                </c:pt>
                <c:pt idx="370">
                  <c:v>502.19560773372291</c:v>
                </c:pt>
                <c:pt idx="371">
                  <c:v>504.63191103556687</c:v>
                </c:pt>
                <c:pt idx="372">
                  <c:v>507.07203998961597</c:v>
                </c:pt>
                <c:pt idx="373">
                  <c:v>509.51598900001613</c:v>
                </c:pt>
                <c:pt idx="374">
                  <c:v>511.96375246920593</c:v>
                </c:pt>
                <c:pt idx="375">
                  <c:v>514.41532479795865</c:v>
                </c:pt>
                <c:pt idx="376">
                  <c:v>516.8707003854239</c:v>
                </c:pt>
                <c:pt idx="377">
                  <c:v>519.32987362916924</c:v>
                </c:pt>
                <c:pt idx="378">
                  <c:v>521.79283892522187</c:v>
                </c:pt>
                <c:pt idx="379">
                  <c:v>524.25959066811004</c:v>
                </c:pt>
                <c:pt idx="380">
                  <c:v>526.73012325090428</c:v>
                </c:pt>
                <c:pt idx="381">
                  <c:v>529.20442820922835</c:v>
                </c:pt>
                <c:pt idx="382">
                  <c:v>531.68249136584927</c:v>
                </c:pt>
                <c:pt idx="383">
                  <c:v>534.16429568971125</c:v>
                </c:pt>
                <c:pt idx="384">
                  <c:v>536.64982415443387</c:v>
                </c:pt>
                <c:pt idx="385">
                  <c:v>539.1390597384418</c:v>
                </c:pt>
                <c:pt idx="386">
                  <c:v>541.63198542509326</c:v>
                </c:pt>
                <c:pt idx="387">
                  <c:v>544.12858420280884</c:v>
                </c:pt>
                <c:pt idx="388">
                  <c:v>546.62883906519846</c:v>
                </c:pt>
                <c:pt idx="389">
                  <c:v>549.13273301118852</c:v>
                </c:pt>
                <c:pt idx="390">
                  <c:v>551.64024904514793</c:v>
                </c:pt>
                <c:pt idx="391">
                  <c:v>554.15137017701329</c:v>
                </c:pt>
                <c:pt idx="392">
                  <c:v>556.6660794224141</c:v>
                </c:pt>
                <c:pt idx="393">
                  <c:v>559.18435980279617</c:v>
                </c:pt>
                <c:pt idx="394">
                  <c:v>561.70619434554544</c:v>
                </c:pt>
                <c:pt idx="395">
                  <c:v>564.23156608411011</c:v>
                </c:pt>
                <c:pt idx="396">
                  <c:v>566.76045805812305</c:v>
                </c:pt>
                <c:pt idx="397">
                  <c:v>569.29285331352241</c:v>
                </c:pt>
                <c:pt idx="398">
                  <c:v>571.82873490267264</c:v>
                </c:pt>
                <c:pt idx="399">
                  <c:v>574.36808588448366</c:v>
                </c:pt>
                <c:pt idx="400">
                  <c:v>576.91088932453056</c:v>
                </c:pt>
                <c:pt idx="401">
                  <c:v>579.45712605291089</c:v>
                </c:pt>
                <c:pt idx="402">
                  <c:v>582.00677242278118</c:v>
                </c:pt>
                <c:pt idx="403">
                  <c:v>584.55980255545762</c:v>
                </c:pt>
                <c:pt idx="404">
                  <c:v>587.11619058488304</c:v>
                </c:pt>
                <c:pt idx="405">
                  <c:v>589.67591065783279</c:v>
                </c:pt>
                <c:pt idx="406">
                  <c:v>592.23893693412015</c:v>
                </c:pt>
                <c:pt idx="407">
                  <c:v>594.80524358679941</c:v>
                </c:pt>
                <c:pt idx="408">
                  <c:v>597.37480480236786</c:v>
                </c:pt>
                <c:pt idx="409">
                  <c:v>599.94759478096614</c:v>
                </c:pt>
                <c:pt idx="410">
                  <c:v>602.52358773657704</c:v>
                </c:pt>
                <c:pt idx="411">
                  <c:v>605.10274552049555</c:v>
                </c:pt>
                <c:pt idx="412">
                  <c:v>607.68500524951355</c:v>
                </c:pt>
                <c:pt idx="413">
                  <c:v>610.27029169960781</c:v>
                </c:pt>
                <c:pt idx="414">
                  <c:v>612.85852969537007</c:v>
                </c:pt>
                <c:pt idx="415">
                  <c:v>615.4496441111113</c:v>
                </c:pt>
                <c:pt idx="416">
                  <c:v>618.04355987195424</c:v>
                </c:pt>
                <c:pt idx="417">
                  <c:v>620.64020195491401</c:v>
                </c:pt>
                <c:pt idx="418">
                  <c:v>623.23949538996806</c:v>
                </c:pt>
                <c:pt idx="419">
                  <c:v>625.84136526111365</c:v>
                </c:pt>
                <c:pt idx="420">
                  <c:v>628.44572967361057</c:v>
                </c:pt>
                <c:pt idx="421">
                  <c:v>631.05249272505648</c:v>
                </c:pt>
                <c:pt idx="422">
                  <c:v>633.66155155165336</c:v>
                </c:pt>
                <c:pt idx="423">
                  <c:v>636.27280337102673</c:v>
                </c:pt>
                <c:pt idx="424">
                  <c:v>638.88614548403586</c:v>
                </c:pt>
                <c:pt idx="425">
                  <c:v>641.50147527656304</c:v>
                </c:pt>
                <c:pt idx="426">
                  <c:v>644.1186902212811</c:v>
                </c:pt>
                <c:pt idx="427">
                  <c:v>646.737687879399</c:v>
                </c:pt>
                <c:pt idx="428">
                  <c:v>649.35836590238591</c:v>
                </c:pt>
                <c:pt idx="429">
                  <c:v>651.98062203367408</c:v>
                </c:pt>
                <c:pt idx="430">
                  <c:v>654.60435411033916</c:v>
                </c:pt>
                <c:pt idx="431">
                  <c:v>657.22946006475968</c:v>
                </c:pt>
                <c:pt idx="432">
                  <c:v>659.85582660551006</c:v>
                </c:pt>
                <c:pt idx="433">
                  <c:v>662.48331790755469</c:v>
                </c:pt>
                <c:pt idx="434">
                  <c:v>665.11178695792421</c:v>
                </c:pt>
                <c:pt idx="435">
                  <c:v>667.74108689289812</c:v>
                </c:pt>
                <c:pt idx="436">
                  <c:v>670.37107100124763</c:v>
                </c:pt>
                <c:pt idx="437">
                  <c:v>673.00159272743349</c:v>
                </c:pt>
                <c:pt idx="438">
                  <c:v>675.63250567475916</c:v>
                </c:pt>
                <c:pt idx="439">
                  <c:v>678.26366360847874</c:v>
                </c:pt>
                <c:pt idx="440">
                  <c:v>680.8949204588597</c:v>
                </c:pt>
                <c:pt idx="441">
                  <c:v>683.52613032420129</c:v>
                </c:pt>
                <c:pt idx="442">
                  <c:v>686.15715434330707</c:v>
                </c:pt>
                <c:pt idx="443">
                  <c:v>688.78786756015222</c:v>
                </c:pt>
                <c:pt idx="444">
                  <c:v>691.41815203994781</c:v>
                </c:pt>
                <c:pt idx="445">
                  <c:v>694.04788999241009</c:v>
                </c:pt>
                <c:pt idx="446">
                  <c:v>696.676963773539</c:v>
                </c:pt>
                <c:pt idx="447">
                  <c:v>699.30525588736828</c:v>
                </c:pt>
                <c:pt idx="448">
                  <c:v>701.93264898768564</c:v>
                </c:pt>
                <c:pt idx="449">
                  <c:v>704.55902587972446</c:v>
                </c:pt>
                <c:pt idx="450">
                  <c:v>707.18426952182608</c:v>
                </c:pt>
                <c:pt idx="451">
                  <c:v>709.80826302707339</c:v>
                </c:pt>
                <c:pt idx="452">
                  <c:v>712.43088966489552</c:v>
                </c:pt>
                <c:pt idx="453">
                  <c:v>715.05204269187482</c:v>
                </c:pt>
                <c:pt idx="454">
                  <c:v>717.67163516900791</c:v>
                </c:pt>
                <c:pt idx="455">
                  <c:v>720.28959010581866</c:v>
                </c:pt>
                <c:pt idx="456">
                  <c:v>722.90583061748271</c:v>
                </c:pt>
                <c:pt idx="457">
                  <c:v>725.52027992534272</c:v>
                </c:pt>
                <c:pt idx="458">
                  <c:v>728.13286135741203</c:v>
                </c:pt>
                <c:pt idx="459">
                  <c:v>730.74349834886618</c:v>
                </c:pt>
                <c:pt idx="460">
                  <c:v>733.3521144425232</c:v>
                </c:pt>
                <c:pt idx="461">
                  <c:v>735.95864213094785</c:v>
                </c:pt>
                <c:pt idx="462">
                  <c:v>738.56303168547481</c:v>
                </c:pt>
                <c:pt idx="463">
                  <c:v>741.16524228851983</c:v>
                </c:pt>
                <c:pt idx="464">
                  <c:v>743.76523317874307</c:v>
                </c:pt>
                <c:pt idx="465">
                  <c:v>746.36296365106364</c:v>
                </c:pt>
                <c:pt idx="466">
                  <c:v>748.95838563065604</c:v>
                </c:pt>
                <c:pt idx="467">
                  <c:v>751.55143625819051</c:v>
                </c:pt>
                <c:pt idx="468">
                  <c:v>754.14196264693157</c:v>
                </c:pt>
                <c:pt idx="469">
                  <c:v>756.72974795122957</c:v>
                </c:pt>
                <c:pt idx="470">
                  <c:v>759.31469534733401</c:v>
                </c:pt>
                <c:pt idx="471">
                  <c:v>761.89680934474256</c:v>
                </c:pt>
                <c:pt idx="472">
                  <c:v>764.47609443940758</c:v>
                </c:pt>
                <c:pt idx="473">
                  <c:v>767.05255511379016</c:v>
                </c:pt>
                <c:pt idx="474">
                  <c:v>769.62619583691412</c:v>
                </c:pt>
                <c:pt idx="475">
                  <c:v>772.19702106441946</c:v>
                </c:pt>
                <c:pt idx="476">
                  <c:v>774.76503523861561</c:v>
                </c:pt>
                <c:pt idx="477">
                  <c:v>777.33024278853429</c:v>
                </c:pt>
                <c:pt idx="478">
                  <c:v>779.8926481299826</c:v>
                </c:pt>
                <c:pt idx="479">
                  <c:v>782.4522556655952</c:v>
                </c:pt>
                <c:pt idx="480">
                  <c:v>785.00906978488661</c:v>
                </c:pt>
                <c:pt idx="481">
                  <c:v>787.56309486430325</c:v>
                </c:pt>
                <c:pt idx="482">
                  <c:v>790.1143352672749</c:v>
                </c:pt>
                <c:pt idx="483">
                  <c:v>792.66279534426644</c:v>
                </c:pt>
                <c:pt idx="484">
                  <c:v>795.20847943282865</c:v>
                </c:pt>
                <c:pt idx="485">
                  <c:v>797.75139185764954</c:v>
                </c:pt>
                <c:pt idx="486">
                  <c:v>800.29153693060471</c:v>
                </c:pt>
                <c:pt idx="487">
                  <c:v>802.82891895080775</c:v>
                </c:pt>
                <c:pt idx="488">
                  <c:v>805.36354220466069</c:v>
                </c:pt>
                <c:pt idx="489">
                  <c:v>807.89541096590358</c:v>
                </c:pt>
                <c:pt idx="490">
                  <c:v>810.42452949566439</c:v>
                </c:pt>
                <c:pt idx="491">
                  <c:v>812.95090204250835</c:v>
                </c:pt>
                <c:pt idx="492">
                  <c:v>815.47453284248695</c:v>
                </c:pt>
                <c:pt idx="493">
                  <c:v>817.99542611918707</c:v>
                </c:pt>
                <c:pt idx="494">
                  <c:v>820.51358608377973</c:v>
                </c:pt>
                <c:pt idx="495">
                  <c:v>823.02901693506828</c:v>
                </c:pt>
                <c:pt idx="496">
                  <c:v>825.54172285953689</c:v>
                </c:pt>
                <c:pt idx="497">
                  <c:v>828.05170803139822</c:v>
                </c:pt>
                <c:pt idx="498">
                  <c:v>830.55897661264146</c:v>
                </c:pt>
                <c:pt idx="499">
                  <c:v>833.06353275307947</c:v>
                </c:pt>
                <c:pt idx="500">
                  <c:v>835.56538059039633</c:v>
                </c:pt>
                <c:pt idx="501">
                  <c:v>860.43522189042312</c:v>
                </c:pt>
                <c:pt idx="502">
                  <c:v>885.03689094425658</c:v>
                </c:pt>
                <c:pt idx="503">
                  <c:v>909.37440815763625</c:v>
                </c:pt>
                <c:pt idx="504">
                  <c:v>933.45167885957494</c:v>
                </c:pt>
                <c:pt idx="505">
                  <c:v>957.27249763668078</c:v>
                </c:pt>
                <c:pt idx="506">
                  <c:v>980.84055246235175</c:v>
                </c:pt>
                <c:pt idx="507">
                  <c:v>1004.1594286324548</c:v>
                </c:pt>
                <c:pt idx="508">
                  <c:v>1027.2326125183347</c:v>
                </c:pt>
                <c:pt idx="509">
                  <c:v>1050.0634951472948</c:v>
                </c:pt>
                <c:pt idx="510">
                  <c:v>1072.6553756200344</c:v>
                </c:pt>
                <c:pt idx="511">
                  <c:v>1095.0114643739241</c:v>
                </c:pt>
                <c:pt idx="512">
                  <c:v>1117.1348863004371</c:v>
                </c:pt>
                <c:pt idx="513">
                  <c:v>1139.0286837245312</c:v>
                </c:pt>
                <c:pt idx="514">
                  <c:v>1160.6958192532966</c:v>
                </c:pt>
                <c:pt idx="515">
                  <c:v>1182.1391785007268</c:v>
                </c:pt>
                <c:pt idx="516">
                  <c:v>1203.3615726950597</c:v>
                </c:pt>
                <c:pt idx="517">
                  <c:v>1224.3657411747402</c:v>
                </c:pt>
                <c:pt idx="518">
                  <c:v>1245.1543537786922</c:v>
                </c:pt>
                <c:pt idx="519">
                  <c:v>1265.7300131362585</c:v>
                </c:pt>
                <c:pt idx="520">
                  <c:v>1286.0952568618386</c:v>
                </c:pt>
                <c:pt idx="521">
                  <c:v>1306.2525596589719</c:v>
                </c:pt>
                <c:pt idx="522">
                  <c:v>1326.2043353383326</c:v>
                </c:pt>
                <c:pt idx="523">
                  <c:v>1345.9529387538482</c:v>
                </c:pt>
                <c:pt idx="524">
                  <c:v>1365.5006676609137</c:v>
                </c:pt>
                <c:pt idx="525">
                  <c:v>1384.8497645004484</c:v>
                </c:pt>
                <c:pt idx="526">
                  <c:v>1404.0024181123351</c:v>
                </c:pt>
                <c:pt idx="527">
                  <c:v>1422.9607653815804</c:v>
                </c:pt>
                <c:pt idx="528">
                  <c:v>1441.726892820355</c:v>
                </c:pt>
                <c:pt idx="529">
                  <c:v>1460.3028380888993</c:v>
                </c:pt>
                <c:pt idx="530">
                  <c:v>1478.6905914581155</c:v>
                </c:pt>
                <c:pt idx="531">
                  <c:v>1496.8920972165186</c:v>
                </c:pt>
                <c:pt idx="532">
                  <c:v>1514.9092550240757</c:v>
                </c:pt>
                <c:pt idx="533">
                  <c:v>1532.7439212153265</c:v>
                </c:pt>
                <c:pt idx="534">
                  <c:v>1550.3979100540553</c:v>
                </c:pt>
                <c:pt idx="535">
                  <c:v>1567.8729949416654</c:v>
                </c:pt>
                <c:pt idx="536">
                  <c:v>1585.1709095812948</c:v>
                </c:pt>
                <c:pt idx="537">
                  <c:v>1602.2933490996086</c:v>
                </c:pt>
                <c:pt idx="538">
                  <c:v>1619.2419711281032</c:v>
                </c:pt>
                <c:pt idx="539">
                  <c:v>1636.0183968456674</c:v>
                </c:pt>
                <c:pt idx="540">
                  <c:v>1652.6242119840554</c:v>
                </c:pt>
                <c:pt idx="541">
                  <c:v>1669.0609677978437</c:v>
                </c:pt>
                <c:pt idx="542">
                  <c:v>1685.3301820003703</c:v>
                </c:pt>
                <c:pt idx="543">
                  <c:v>1701.4333396670756</c:v>
                </c:pt>
                <c:pt idx="544">
                  <c:v>1717.371894107599</c:v>
                </c:pt>
                <c:pt idx="545">
                  <c:v>1733.1472677079191</c:v>
                </c:pt>
                <c:pt idx="546">
                  <c:v>1748.7608527437606</c:v>
                </c:pt>
                <c:pt idx="547">
                  <c:v>1764.2140121664372</c:v>
                </c:pt>
                <c:pt idx="548">
                  <c:v>1779.5080803622413</c:v>
                </c:pt>
                <c:pt idx="549">
                  <c:v>1794.6443638864387</c:v>
                </c:pt>
                <c:pt idx="550">
                  <c:v>1809.6241421728791</c:v>
                </c:pt>
                <c:pt idx="551">
                  <c:v>1824.4486682201859</c:v>
                </c:pt>
                <c:pt idx="552">
                  <c:v>1839.1191692554421</c:v>
                </c:pt>
                <c:pt idx="553">
                  <c:v>1853.63684737625</c:v>
                </c:pt>
                <c:pt idx="554">
                  <c:v>1868.0028801720005</c:v>
                </c:pt>
                <c:pt idx="555">
                  <c:v>1882.2184213251514</c:v>
                </c:pt>
                <c:pt idx="556">
                  <c:v>1896.2846011932772</c:v>
                </c:pt>
                <c:pt idx="557">
                  <c:v>1910.202527372619</c:v>
                </c:pt>
                <c:pt idx="558">
                  <c:v>1923.9732852438324</c:v>
                </c:pt>
                <c:pt idx="559">
                  <c:v>1937.5979385005971</c:v>
                </c:pt>
                <c:pt idx="560">
                  <c:v>1951.077529661728</c:v>
                </c:pt>
                <c:pt idx="561">
                  <c:v>1964.4130805673933</c:v>
                </c:pt>
                <c:pt idx="562">
                  <c:v>1977.6055928600265</c:v>
                </c:pt>
                <c:pt idx="563">
                  <c:v>1990.6560484504871</c:v>
                </c:pt>
                <c:pt idx="564">
                  <c:v>2003.5654099700055</c:v>
                </c:pt>
                <c:pt idx="565">
                  <c:v>2016.3346212084234</c:v>
                </c:pt>
                <c:pt idx="566">
                  <c:v>2028.96460753922</c:v>
                </c:pt>
                <c:pt idx="567">
                  <c:v>2041.4562763317922</c:v>
                </c:pt>
                <c:pt idx="568">
                  <c:v>2053.8105173514418</c:v>
                </c:pt>
                <c:pt idx="569">
                  <c:v>2066.0282031474967</c:v>
                </c:pt>
                <c:pt idx="570">
                  <c:v>2078.1101894299854</c:v>
                </c:pt>
                <c:pt idx="571">
                  <c:v>2090.0573154352555</c:v>
                </c:pt>
                <c:pt idx="572">
                  <c:v>2101.8704042809236</c:v>
                </c:pt>
                <c:pt idx="573">
                  <c:v>2113.5502633105161</c:v>
                </c:pt>
                <c:pt idx="574">
                  <c:v>2125.0976844281563</c:v>
                </c:pt>
                <c:pt idx="575">
                  <c:v>2136.5134444236328</c:v>
                </c:pt>
                <c:pt idx="576">
                  <c:v>2147.7983052881732</c:v>
                </c:pt>
                <c:pt idx="577">
                  <c:v>2158.9530145212339</c:v>
                </c:pt>
                <c:pt idx="578">
                  <c:v>2169.9783054286049</c:v>
                </c:pt>
                <c:pt idx="579">
                  <c:v>2180.8748974121195</c:v>
                </c:pt>
                <c:pt idx="580">
                  <c:v>2191.6434962512399</c:v>
                </c:pt>
                <c:pt idx="581">
                  <c:v>2202.2847943767902</c:v>
                </c:pt>
                <c:pt idx="582">
                  <c:v>2212.7994711370884</c:v>
                </c:pt>
                <c:pt idx="583">
                  <c:v>2223.188193056726</c:v>
                </c:pt>
                <c:pt idx="584">
                  <c:v>2233.4516140882324</c:v>
                </c:pt>
                <c:pt idx="585">
                  <c:v>2243.5903758568484</c:v>
                </c:pt>
                <c:pt idx="586">
                  <c:v>2253.6051078986329</c:v>
                </c:pt>
                <c:pt idx="587">
                  <c:v>2263.4964278921152</c:v>
                </c:pt>
                <c:pt idx="588">
                  <c:v>2273.2649418836904</c:v>
                </c:pt>
                <c:pt idx="589">
                  <c:v>2282.9112445069636</c:v>
                </c:pt>
                <c:pt idx="590">
                  <c:v>2292.4359191962258</c:v>
                </c:pt>
                <c:pt idx="591">
                  <c:v>2301.8395383942475</c:v>
                </c:pt>
                <c:pt idx="592">
                  <c:v>2311.1226637545683</c:v>
                </c:pt>
                <c:pt idx="593">
                  <c:v>2320.2858463384487</c:v>
                </c:pt>
                <c:pt idx="594">
                  <c:v>2329.3296268066538</c:v>
                </c:pt>
                <c:pt idx="595">
                  <c:v>2338.2545356062255</c:v>
                </c:pt>
                <c:pt idx="596">
                  <c:v>2347.0610931523975</c:v>
                </c:pt>
                <c:pt idx="597">
                  <c:v>2355.7498100058015</c:v>
                </c:pt>
                <c:pt idx="598">
                  <c:v>2364.3211870451128</c:v>
                </c:pt>
                <c:pt idx="599">
                  <c:v>2372.7757156352682</c:v>
                </c:pt>
                <c:pt idx="600">
                  <c:v>2381.1138777913957</c:v>
                </c:pt>
                <c:pt idx="601">
                  <c:v>2389.3361463385872</c:v>
                </c:pt>
                <c:pt idx="602">
                  <c:v>2397.4429850676411</c:v>
                </c:pt>
                <c:pt idx="603">
                  <c:v>2405.4348488868936</c:v>
                </c:pt>
                <c:pt idx="604">
                  <c:v>2413.3121839702658</c:v>
                </c:pt>
                <c:pt idx="605">
                  <c:v>2421.0754279016373</c:v>
                </c:pt>
                <c:pt idx="606">
                  <c:v>2428.7250098156633</c:v>
                </c:pt>
                <c:pt idx="607">
                  <c:v>2436.2613505351419</c:v>
                </c:pt>
                <c:pt idx="608">
                  <c:v>2443.6848627050417</c:v>
                </c:pt>
                <c:pt idx="609">
                  <c:v>2450.9959509232949</c:v>
                </c:pt>
                <c:pt idx="610">
                  <c:v>2458.195011868454</c:v>
                </c:pt>
                <c:pt idx="611">
                  <c:v>2465.2824344243181</c:v>
                </c:pt>
                <c:pt idx="612">
                  <c:v>2472.2585998016234</c:v>
                </c:pt>
                <c:pt idx="613">
                  <c:v>2479.1238816568925</c:v>
                </c:pt>
                <c:pt idx="614">
                  <c:v>2485.8786462085413</c:v>
                </c:pt>
                <c:pt idx="615">
                  <c:v>2492.5232523503314</c:v>
                </c:pt>
                <c:pt idx="616">
                  <c:v>2499.0580517622634</c:v>
                </c:pt>
                <c:pt idx="617">
                  <c:v>2505.4833890189975</c:v>
                </c:pt>
                <c:pt idx="618">
                  <c:v>2511.7996016958946</c:v>
                </c:pt>
                <c:pt idx="619">
                  <c:v>2518.0070204727608</c:v>
                </c:pt>
                <c:pt idx="620">
                  <c:v>2524.1059692353883</c:v>
                </c:pt>
                <c:pt idx="621">
                  <c:v>2530.0967651749756</c:v>
                </c:pt>
                <c:pt idx="622">
                  <c:v>2535.9797188855159</c:v>
                </c:pt>
                <c:pt idx="623">
                  <c:v>2541.7551344592407</c:v>
                </c:pt>
                <c:pt idx="624">
                  <c:v>2547.4233095802037</c:v>
                </c:pt>
                <c:pt idx="625">
                  <c:v>2552.9845356160922</c:v>
                </c:pt>
                <c:pt idx="626">
                  <c:v>2558.4390977083576</c:v>
                </c:pt>
                <c:pt idx="627">
                  <c:v>2563.7872748607474</c:v>
                </c:pt>
                <c:pt idx="628">
                  <c:v>2569.0293400263336</c:v>
                </c:pt>
                <c:pt idx="629">
                  <c:v>2574.1655601931261</c:v>
                </c:pt>
                <c:pt idx="630">
                  <c:v>2579.1961964683646</c:v>
                </c:pt>
                <c:pt idx="631">
                  <c:v>2584.1215041615801</c:v>
                </c:pt>
                <c:pt idx="632">
                  <c:v>2588.9417328665281</c:v>
                </c:pt>
                <c:pt idx="633">
                  <c:v>2593.657126542088</c:v>
                </c:pt>
                <c:pt idx="634">
                  <c:v>2598.2679235922301</c:v>
                </c:pt>
                <c:pt idx="635">
                  <c:v>2602.7743569451577</c:v>
                </c:pt>
                <c:pt idx="636">
                  <c:v>2607.1766541317288</c:v>
                </c:pt>
                <c:pt idx="637">
                  <c:v>2611.4750373632696</c:v>
                </c:pt>
                <c:pt idx="638">
                  <c:v>2615.6697236088962</c:v>
                </c:pt>
                <c:pt idx="639">
                  <c:v>2619.7609246724619</c:v>
                </c:pt>
                <c:pt idx="640">
                  <c:v>2623.7488472692539</c:v>
                </c:pt>
                <c:pt idx="641">
                  <c:v>2627.6336931025694</c:v>
                </c:pt>
                <c:pt idx="642">
                  <c:v>2631.4156589403015</c:v>
                </c:pt>
                <c:pt idx="643">
                  <c:v>2635.0949366916775</c:v>
                </c:pt>
                <c:pt idx="644">
                  <c:v>2638.6717134842897</c:v>
                </c:pt>
                <c:pt idx="645">
                  <c:v>2642.1461717415709</c:v>
                </c:pt>
                <c:pt idx="646">
                  <c:v>2645.5184892608681</c:v>
                </c:pt>
                <c:pt idx="647">
                  <c:v>2648.7888392922782</c:v>
                </c:pt>
                <c:pt idx="648">
                  <c:v>2651.9573906184096</c:v>
                </c:pt>
                <c:pt idx="649">
                  <c:v>2655.0243076352431</c:v>
                </c:pt>
                <c:pt idx="650">
                  <c:v>2657.9897504342725</c:v>
                </c:pt>
                <c:pt idx="651">
                  <c:v>2660.8538748861042</c:v>
                </c:pt>
                <c:pt idx="652">
                  <c:v>2663.6168327257055</c:v>
                </c:pt>
                <c:pt idx="653">
                  <c:v>2666.2787716394932</c:v>
                </c:pt>
                <c:pt idx="654">
                  <c:v>2668.8398353544571</c:v>
                </c:pt>
                <c:pt idx="655">
                  <c:v>2671.3001637295133</c:v>
                </c:pt>
                <c:pt idx="656">
                  <c:v>2673.6598928492863</c:v>
                </c:pt>
                <c:pt idx="657">
                  <c:v>2675.9191551205172</c:v>
                </c:pt>
                <c:pt idx="658">
                  <c:v>2678.0780793712884</c:v>
                </c:pt>
                <c:pt idx="659">
                  <c:v>2680.1367909532573</c:v>
                </c:pt>
                <c:pt idx="660">
                  <c:v>2682.0954118470786</c:v>
                </c:pt>
                <c:pt idx="661">
                  <c:v>2683.9540607711888</c:v>
                </c:pt>
                <c:pt idx="662">
                  <c:v>2685.712853294111</c:v>
                </c:pt>
                <c:pt idx="663">
                  <c:v>2687.3719019504256</c:v>
                </c:pt>
                <c:pt idx="664">
                  <c:v>2688.9313163605293</c:v>
                </c:pt>
                <c:pt idx="665">
                  <c:v>2690.3912033542838</c:v>
                </c:pt>
                <c:pt idx="666">
                  <c:v>2691.7516670986306</c:v>
                </c:pt>
                <c:pt idx="667">
                  <c:v>2693.0128092292161</c:v>
                </c:pt>
                <c:pt idx="668">
                  <c:v>2694.1747289860391</c:v>
                </c:pt>
                <c:pt idx="669">
                  <c:v>2695.2375233530906</c:v>
                </c:pt>
                <c:pt idx="670">
                  <c:v>2696.2012872019259</c:v>
                </c:pt>
                <c:pt idx="671">
                  <c:v>2697.0661134390543</c:v>
                </c:pt>
                <c:pt idx="672">
                  <c:v>2697.8320931569942</c:v>
                </c:pt>
                <c:pt idx="673">
                  <c:v>2698.499315788792</c:v>
                </c:pt>
                <c:pt idx="674">
                  <c:v>2699.0678692657575</c:v>
                </c:pt>
                <c:pt idx="675">
                  <c:v>2699.537840178119</c:v>
                </c:pt>
                <c:pt idx="676">
                  <c:v>2699.9093139382608</c:v>
                </c:pt>
                <c:pt idx="677">
                  <c:v>2700.1823749461578</c:v>
                </c:pt>
                <c:pt idx="678">
                  <c:v>2700.3571067565831</c:v>
                </c:pt>
                <c:pt idx="679">
                  <c:v>2700.4335922476339</c:v>
                </c:pt>
                <c:pt idx="680">
                  <c:v>2700.4119137900852</c:v>
                </c:pt>
                <c:pt idx="681">
                  <c:v>2700.2921534170632</c:v>
                </c:pt>
                <c:pt idx="682">
                  <c:v>2700.074392993507</c:v>
                </c:pt>
                <c:pt idx="683">
                  <c:v>2699.7587143848855</c:v>
                </c:pt>
                <c:pt idx="684">
                  <c:v>2699.3451996246336</c:v>
                </c:pt>
                <c:pt idx="685">
                  <c:v>2698.833931079771</c:v>
                </c:pt>
                <c:pt idx="686">
                  <c:v>2698.2249916141932</c:v>
                </c:pt>
                <c:pt idx="687">
                  <c:v>2697.5184647491346</c:v>
                </c:pt>
                <c:pt idx="688">
                  <c:v>2696.7144348203387</c:v>
                </c:pt>
                <c:pt idx="689">
                  <c:v>2695.8129871315009</c:v>
                </c:pt>
                <c:pt idx="690">
                  <c:v>2694.8142081035871</c:v>
                </c:pt>
                <c:pt idx="691">
                  <c:v>2693.7181854196765</c:v>
                </c:pt>
                <c:pt idx="692">
                  <c:v>2692.525008165017</c:v>
                </c:pt>
                <c:pt idx="693">
                  <c:v>2691.2347669620358</c:v>
                </c:pt>
                <c:pt idx="694">
                  <c:v>2689.8475541000839</c:v>
                </c:pt>
                <c:pt idx="695">
                  <c:v>2688.363463659754</c:v>
                </c:pt>
                <c:pt idx="696">
                  <c:v>2686.782591631641</c:v>
                </c:pt>
                <c:pt idx="697">
                  <c:v>2685.105036029473</c:v>
                </c:pt>
                <c:pt idx="698">
                  <c:v>2683.3308969975724</c:v>
                </c:pt>
                <c:pt idx="699">
                  <c:v>2681.4602769126445</c:v>
                </c:pt>
                <c:pt idx="700">
                  <c:v>2679.4932804799323</c:v>
                </c:pt>
                <c:pt idx="701">
                  <c:v>2677.4300148237985</c:v>
                </c:pt>
                <c:pt idx="702">
                  <c:v>2675.2705895728318</c:v>
                </c:pt>
                <c:pt idx="703">
                  <c:v>2673.015116939589</c:v>
                </c:pt>
                <c:pt idx="704">
                  <c:v>2670.6637117951072</c:v>
                </c:pt>
                <c:pt idx="705">
                  <c:v>2668.2164917383434</c:v>
                </c:pt>
                <c:pt idx="706">
                  <c:v>2665.6735771606982</c:v>
                </c:pt>
                <c:pt idx="707">
                  <c:v>2663.0350913058019</c:v>
                </c:pt>
                <c:pt idx="708">
                  <c:v>2660.3011603247405</c:v>
                </c:pt>
                <c:pt idx="709">
                  <c:v>2657.47191332691</c:v>
                </c:pt>
                <c:pt idx="710">
                  <c:v>2654.5474824266817</c:v>
                </c:pt>
                <c:pt idx="711">
                  <c:v>2651.528002786069</c:v>
                </c:pt>
                <c:pt idx="712">
                  <c:v>2648.4136126535791</c:v>
                </c:pt>
                <c:pt idx="713">
                  <c:v>2645.2044533994349</c:v>
                </c:pt>
                <c:pt idx="714">
                  <c:v>2641.9006695473449</c:v>
                </c:pt>
                <c:pt idx="715">
                  <c:v>2638.5024088029941</c:v>
                </c:pt>
                <c:pt idx="716">
                  <c:v>2635.0098220794266</c:v>
                </c:pt>
                <c:pt idx="717">
                  <c:v>2631.4230635194826</c:v>
                </c:pt>
                <c:pt idx="718">
                  <c:v>2627.7422905154408</c:v>
                </c:pt>
                <c:pt idx="719">
                  <c:v>2623.9676637260231</c:v>
                </c:pt>
                <c:pt idx="720">
                  <c:v>2620.0993470908975</c:v>
                </c:pt>
                <c:pt idx="721">
                  <c:v>2616.1375078428159</c:v>
                </c:pt>
                <c:pt idx="722">
                  <c:v>2612.0823165175193</c:v>
                </c:pt>
                <c:pt idx="723">
                  <c:v>2607.9339469615234</c:v>
                </c:pt>
                <c:pt idx="724">
                  <c:v>2603.6925763379077</c:v>
                </c:pt>
                <c:pt idx="725">
                  <c:v>2599.3583851302124</c:v>
                </c:pt>
                <c:pt idx="726">
                  <c:v>2594.9315571445441</c:v>
                </c:pt>
                <c:pt idx="727">
                  <c:v>2590.4122795099893</c:v>
                </c:pt>
                <c:pt idx="728">
                  <c:v>2585.8007426774225</c:v>
                </c:pt>
                <c:pt idx="729">
                  <c:v>2581.0971404167985</c:v>
                </c:pt>
                <c:pt idx="730">
                  <c:v>2576.3016698130014</c:v>
                </c:pt>
                <c:pt idx="731">
                  <c:v>2571.4145312603314</c:v>
                </c:pt>
                <c:pt idx="732">
                  <c:v>2566.4359284556972</c:v>
                </c:pt>
                <c:pt idx="733">
                  <c:v>2561.3660683905764</c:v>
                </c:pt>
                <c:pt idx="734">
                  <c:v>2556.2051613418103</c:v>
                </c:pt>
                <c:pt idx="735">
                  <c:v>2550.9534208612872</c:v>
                </c:pt>
                <c:pt idx="736">
                  <c:v>2545.6110637645711</c:v>
                </c:pt>
                <c:pt idx="737">
                  <c:v>2540.178310118521</c:v>
                </c:pt>
                <c:pt idx="738">
                  <c:v>2534.6553832279569</c:v>
                </c:pt>
                <c:pt idx="739">
                  <c:v>2529.0425096214067</c:v>
                </c:pt>
                <c:pt idx="740">
                  <c:v>2523.3399190359846</c:v>
                </c:pt>
                <c:pt idx="741">
                  <c:v>2517.5478444014348</c:v>
                </c:pt>
                <c:pt idx="742">
                  <c:v>2511.6665218233802</c:v>
                </c:pt>
                <c:pt idx="743">
                  <c:v>2505.6961905658077</c:v>
                </c:pt>
                <c:pt idx="744">
                  <c:v>2499.6370930328267</c:v>
                </c:pt>
                <c:pt idx="745">
                  <c:v>2493.4894747497269</c:v>
                </c:pt>
                <c:pt idx="746">
                  <c:v>2487.2535843433684</c:v>
                </c:pt>
                <c:pt idx="747">
                  <c:v>2480.9296735219282</c:v>
                </c:pt>
                <c:pt idx="748">
                  <c:v>2474.5179970540307</c:v>
                </c:pt>
                <c:pt idx="749">
                  <c:v>2468.0188127472857</c:v>
                </c:pt>
                <c:pt idx="750">
                  <c:v>2461.4323814262575</c:v>
                </c:pt>
                <c:pt idx="751">
                  <c:v>2454.7589669098847</c:v>
                </c:pt>
                <c:pt idx="752">
                  <c:v>2447.998835988376</c:v>
                </c:pt>
                <c:pt idx="753">
                  <c:v>2441.1522583995957</c:v>
                </c:pt>
                <c:pt idx="754">
                  <c:v>2434.2195068049618</c:v>
                </c:pt>
                <c:pt idx="755">
                  <c:v>2427.2008567648736</c:v>
                </c:pt>
                <c:pt idx="756">
                  <c:v>2420.0965867136847</c:v>
                </c:pt>
                <c:pt idx="757">
                  <c:v>2412.9069779342376</c:v>
                </c:pt>
                <c:pt idx="758">
                  <c:v>2405.632314531977</c:v>
                </c:pt>
                <c:pt idx="759">
                  <c:v>2398.2728834086556</c:v>
                </c:pt>
                <c:pt idx="760">
                  <c:v>2390.8289742356442</c:v>
                </c:pt>
                <c:pt idx="761">
                  <c:v>2383.3008794268649</c:v>
                </c:pt>
                <c:pt idx="762">
                  <c:v>2375.6888941113552</c:v>
                </c:pt>
                <c:pt idx="763">
                  <c:v>2367.9933161054796</c:v>
                </c:pt>
                <c:pt idx="764">
                  <c:v>2360.2144458847984</c:v>
                </c:pt>
                <c:pt idx="765">
                  <c:v>2352.3525865556057</c:v>
                </c:pt>
                <c:pt idx="766">
                  <c:v>2344.4080438261503</c:v>
                </c:pt>
                <c:pt idx="767">
                  <c:v>2336.3811259775462</c:v>
                </c:pt>
                <c:pt idx="768">
                  <c:v>2328.2721438343874</c:v>
                </c:pt>
                <c:pt idx="769">
                  <c:v>2320.081410735077</c:v>
                </c:pt>
                <c:pt idx="770">
                  <c:v>2311.8092425018754</c:v>
                </c:pt>
                <c:pt idx="771">
                  <c:v>2303.4559574106861</c:v>
                </c:pt>
                <c:pt idx="772">
                  <c:v>2295.0218761605806</c:v>
                </c:pt>
                <c:pt idx="773">
                  <c:v>2286.5073218430762</c:v>
                </c:pt>
                <c:pt idx="774">
                  <c:v>2277.9126199111756</c:v>
                </c:pt>
                <c:pt idx="775">
                  <c:v>2269.2380981481742</c:v>
                </c:pt>
                <c:pt idx="776">
                  <c:v>2260.4840866362479</c:v>
                </c:pt>
                <c:pt idx="777">
                  <c:v>2251.6509177248263</c:v>
                </c:pt>
                <c:pt idx="778">
                  <c:v>2242.7389259987626</c:v>
                </c:pt>
                <c:pt idx="779">
                  <c:v>2233.7484482463055</c:v>
                </c:pt>
                <c:pt idx="780">
                  <c:v>2224.6798234268854</c:v>
                </c:pt>
                <c:pt idx="781">
                  <c:v>2215.5333926387157</c:v>
                </c:pt>
                <c:pt idx="782">
                  <c:v>2206.3094990862269</c:v>
                </c:pt>
                <c:pt idx="783">
                  <c:v>2197.0084880473314</c:v>
                </c:pt>
                <c:pt idx="784">
                  <c:v>2187.6307068405335</c:v>
                </c:pt>
                <c:pt idx="785">
                  <c:v>2178.1765047918884</c:v>
                </c:pt>
                <c:pt idx="786">
                  <c:v>2168.6462332018191</c:v>
                </c:pt>
                <c:pt idx="787">
                  <c:v>2159.0402453117981</c:v>
                </c:pt>
                <c:pt idx="788">
                  <c:v>2149.3588962709014</c:v>
                </c:pt>
                <c:pt idx="789">
                  <c:v>2139.6025431022413</c:v>
                </c:pt>
                <c:pt idx="790">
                  <c:v>2129.7715446692846</c:v>
                </c:pt>
                <c:pt idx="791">
                  <c:v>2119.866261642067</c:v>
                </c:pt>
                <c:pt idx="792">
                  <c:v>2109.8870564633025</c:v>
                </c:pt>
                <c:pt idx="793">
                  <c:v>2099.8342933144049</c:v>
                </c:pt>
                <c:pt idx="794">
                  <c:v>2089.7083380814192</c:v>
                </c:pt>
                <c:pt idx="795">
                  <c:v>2079.5095583208749</c:v>
                </c:pt>
                <c:pt idx="796">
                  <c:v>2069.238323225567</c:v>
                </c:pt>
                <c:pt idx="797">
                  <c:v>2058.8950035902676</c:v>
                </c:pt>
                <c:pt idx="798">
                  <c:v>2048.4799717773808</c:v>
                </c:pt>
                <c:pt idx="799">
                  <c:v>2037.9936016825429</c:v>
                </c:pt>
                <c:pt idx="800">
                  <c:v>2027.4362687001744</c:v>
                </c:pt>
                <c:pt idx="801">
                  <c:v>2016.8083496889924</c:v>
                </c:pt>
                <c:pt idx="802">
                  <c:v>2006.1102229374883</c:v>
                </c:pt>
                <c:pt idx="803">
                  <c:v>1995.3422681293771</c:v>
                </c:pt>
                <c:pt idx="804">
                  <c:v>1984.5048663090251</c:v>
                </c:pt>
                <c:pt idx="805">
                  <c:v>1973.5983998468614</c:v>
                </c:pt>
                <c:pt idx="806">
                  <c:v>1962.6232524047784</c:v>
                </c:pt>
                <c:pt idx="807">
                  <c:v>1951.5798089015314</c:v>
                </c:pt>
                <c:pt idx="808">
                  <c:v>1940.4684554781375</c:v>
                </c:pt>
                <c:pt idx="809">
                  <c:v>1929.2895794632843</c:v>
                </c:pt>
                <c:pt idx="810">
                  <c:v>1918.0435693387528</c:v>
                </c:pt>
                <c:pt idx="811">
                  <c:v>1906.7308147048586</c:v>
                </c:pt>
                <c:pt idx="812">
                  <c:v>1895.3517062459209</c:v>
                </c:pt>
                <c:pt idx="813">
                  <c:v>1883.9066356957617</c:v>
                </c:pt>
                <c:pt idx="814">
                  <c:v>1872.3959958032426</c:v>
                </c:pt>
                <c:pt idx="815">
                  <c:v>1860.8201802978444</c:v>
                </c:pt>
                <c:pt idx="816">
                  <c:v>1849.1795838552948</c:v>
                </c:pt>
                <c:pt idx="817">
                  <c:v>1837.4746020632508</c:v>
                </c:pt>
                <c:pt idx="818">
                  <c:v>1825.7056313870403</c:v>
                </c:pt>
                <c:pt idx="819">
                  <c:v>1813.8730691354679</c:v>
                </c:pt>
                <c:pt idx="820">
                  <c:v>1801.9773134266925</c:v>
                </c:pt>
                <c:pt idx="821">
                  <c:v>1790.0187631541794</c:v>
                </c:pt>
                <c:pt idx="822">
                  <c:v>1777.9978179527341</c:v>
                </c:pt>
                <c:pt idx="823">
                  <c:v>1765.9148781646222</c:v>
                </c:pt>
                <c:pt idx="824">
                  <c:v>1753.7703448057807</c:v>
                </c:pt>
                <c:pt idx="825">
                  <c:v>1741.5646195321256</c:v>
                </c:pt>
                <c:pt idx="826">
                  <c:v>1729.2981046059617</c:v>
                </c:pt>
                <c:pt idx="827">
                  <c:v>1716.9712028624995</c:v>
                </c:pt>
                <c:pt idx="828">
                  <c:v>1704.5843176764822</c:v>
                </c:pt>
                <c:pt idx="829">
                  <c:v>1692.1378529289314</c:v>
                </c:pt>
                <c:pt idx="830">
                  <c:v>1679.6322129740126</c:v>
                </c:pt>
                <c:pt idx="831">
                  <c:v>1667.067802606028</c:v>
                </c:pt>
                <c:pt idx="832">
                  <c:v>1654.4450270265397</c:v>
                </c:pt>
                <c:pt idx="833">
                  <c:v>1641.7642918116294</c:v>
                </c:pt>
                <c:pt idx="834">
                  <c:v>1629.0260028792977</c:v>
                </c:pt>
                <c:pt idx="835">
                  <c:v>1616.2305664570092</c:v>
                </c:pt>
                <c:pt idx="836">
                  <c:v>1603.3783890493855</c:v>
                </c:pt>
                <c:pt idx="837">
                  <c:v>1590.4698774060546</c:v>
                </c:pt>
                <c:pt idx="838">
                  <c:v>1577.5054384896557</c:v>
                </c:pt>
                <c:pt idx="839">
                  <c:v>1564.4854794440091</c:v>
                </c:pt>
                <c:pt idx="840">
                  <c:v>1551.4104075624516</c:v>
                </c:pt>
                <c:pt idx="841">
                  <c:v>1538.2806302563433</c:v>
                </c:pt>
                <c:pt idx="842">
                  <c:v>1525.0965550237499</c:v>
                </c:pt>
                <c:pt idx="843">
                  <c:v>1511.8585894183038</c:v>
                </c:pt>
                <c:pt idx="844">
                  <c:v>1498.567141018249</c:v>
                </c:pt>
                <c:pt idx="845">
                  <c:v>1485.2226173956726</c:v>
                </c:pt>
                <c:pt idx="846">
                  <c:v>1471.8254260859287</c:v>
                </c:pt>
                <c:pt idx="847">
                  <c:v>1458.3759745572552</c:v>
                </c:pt>
                <c:pt idx="848">
                  <c:v>1444.8746701805908</c:v>
                </c:pt>
                <c:pt idx="849">
                  <c:v>1431.3219201995944</c:v>
                </c:pt>
                <c:pt idx="850">
                  <c:v>1417.7181317008692</c:v>
                </c:pt>
                <c:pt idx="851">
                  <c:v>1404.0637115843974</c:v>
                </c:pt>
                <c:pt idx="852">
                  <c:v>1390.3590665341871</c:v>
                </c:pt>
                <c:pt idx="853">
                  <c:v>1376.6046029891359</c:v>
                </c:pt>
                <c:pt idx="854">
                  <c:v>1362.8007271141134</c:v>
                </c:pt>
                <c:pt idx="855">
                  <c:v>1348.9478447712686</c:v>
                </c:pt>
                <c:pt idx="856">
                  <c:v>1335.0463614915604</c:v>
                </c:pt>
                <c:pt idx="857">
                  <c:v>1321.0966824465195</c:v>
                </c:pt>
                <c:pt idx="858">
                  <c:v>1307.0992124202414</c:v>
                </c:pt>
                <c:pt idx="859">
                  <c:v>1293.0543557816156</c:v>
                </c:pt>
                <c:pt idx="860">
                  <c:v>1278.9625164567913</c:v>
                </c:pt>
                <c:pt idx="861">
                  <c:v>1264.8240979018854</c:v>
                </c:pt>
                <c:pt idx="862">
                  <c:v>1250.6395030759331</c:v>
                </c:pt>
                <c:pt idx="863">
                  <c:v>1236.4091344140861</c:v>
                </c:pt>
                <c:pt idx="864">
                  <c:v>1222.1333938010575</c:v>
                </c:pt>
                <c:pt idx="865">
                  <c:v>1207.8126825448203</c:v>
                </c:pt>
                <c:pt idx="866">
                  <c:v>1193.4474013505587</c:v>
                </c:pt>
                <c:pt idx="867">
                  <c:v>1179.0379502948756</c:v>
                </c:pt>
                <c:pt idx="868">
                  <c:v>1164.584728800259</c:v>
                </c:pt>
                <c:pt idx="869">
                  <c:v>1150.0881356098089</c:v>
                </c:pt>
                <c:pt idx="870">
                  <c:v>1135.5485687622272</c:v>
                </c:pt>
                <c:pt idx="871">
                  <c:v>1120.9664255670725</c:v>
                </c:pt>
                <c:pt idx="872">
                  <c:v>1106.3421025802825</c:v>
                </c:pt>
                <c:pt idx="873">
                  <c:v>1091.6759955799641</c:v>
                </c:pt>
                <c:pt idx="874">
                  <c:v>1076.9684995424557</c:v>
                </c:pt>
                <c:pt idx="875">
                  <c:v>1062.2200086186608</c:v>
                </c:pt>
                <c:pt idx="876">
                  <c:v>1047.4309161106571</c:v>
                </c:pt>
                <c:pt idx="877">
                  <c:v>1032.6016144485809</c:v>
                </c:pt>
                <c:pt idx="878">
                  <c:v>1017.7324951677889</c:v>
                </c:pt>
                <c:pt idx="879">
                  <c:v>1002.823948886299</c:v>
                </c:pt>
                <c:pt idx="880">
                  <c:v>987.87636528251198</c:v>
                </c:pt>
                <c:pt idx="881">
                  <c:v>972.89013307321432</c:v>
                </c:pt>
                <c:pt idx="882">
                  <c:v>957.86563999186455</c:v>
                </c:pt>
                <c:pt idx="883">
                  <c:v>942.80327276716332</c:v>
                </c:pt>
                <c:pt idx="884">
                  <c:v>927.70341710190951</c:v>
                </c:pt>
                <c:pt idx="885">
                  <c:v>912.56645765214182</c:v>
                </c:pt>
                <c:pt idx="886">
                  <c:v>897.39277800656873</c:v>
                </c:pt>
                <c:pt idx="887">
                  <c:v>882.18276066628584</c:v>
                </c:pt>
                <c:pt idx="888">
                  <c:v>866.93678702478326</c:v>
                </c:pt>
                <c:pt idx="889">
                  <c:v>851.65523734824205</c:v>
                </c:pt>
                <c:pt idx="890">
                  <c:v>836.3384907561217</c:v>
                </c:pt>
                <c:pt idx="891">
                  <c:v>820.98692520203917</c:v>
                </c:pt>
                <c:pt idx="892">
                  <c:v>805.60091745493901</c:v>
                </c:pt>
                <c:pt idx="893">
                  <c:v>790.18084308055631</c:v>
                </c:pt>
                <c:pt idx="894">
                  <c:v>774.72707642317221</c:v>
                </c:pt>
                <c:pt idx="895">
                  <c:v>759.23999058766253</c:v>
                </c:pt>
                <c:pt idx="896">
                  <c:v>743.71995742183981</c:v>
                </c:pt>
                <c:pt idx="897">
                  <c:v>728.16734749908892</c:v>
                </c:pt>
                <c:pt idx="898">
                  <c:v>712.58253010129613</c:v>
                </c:pt>
                <c:pt idx="899">
                  <c:v>696.96587320207277</c:v>
                </c:pt>
                <c:pt idx="900">
                  <c:v>681.31774345027191</c:v>
                </c:pt>
                <c:pt idx="901">
                  <c:v>665.63850615379965</c:v>
                </c:pt>
                <c:pt idx="902">
                  <c:v>649.92852526371951</c:v>
                </c:pt>
                <c:pt idx="903">
                  <c:v>634.18816335865085</c:v>
                </c:pt>
                <c:pt idx="904">
                  <c:v>618.41778162946071</c:v>
                </c:pt>
                <c:pt idx="905">
                  <c:v>602.61773986424805</c:v>
                </c:pt>
                <c:pt idx="906">
                  <c:v>586.78839643362164</c:v>
                </c:pt>
                <c:pt idx="907">
                  <c:v>570.93010827626961</c:v>
                </c:pt>
                <c:pt idx="908">
                  <c:v>555.04323088482101</c:v>
                </c:pt>
                <c:pt idx="909">
                  <c:v>539.12811829199927</c:v>
                </c:pt>
                <c:pt idx="910">
                  <c:v>523.1851230570652</c:v>
                </c:pt>
                <c:pt idx="911">
                  <c:v>507.21459625255142</c:v>
                </c:pt>
                <c:pt idx="912">
                  <c:v>491.2168874512854</c:v>
                </c:pt>
                <c:pt idx="913">
                  <c:v>475.1923447137014</c:v>
                </c:pt>
                <c:pt idx="914">
                  <c:v>459.14131457544033</c:v>
                </c:pt>
                <c:pt idx="915">
                  <c:v>443.06414203523644</c:v>
                </c:pt>
                <c:pt idx="916">
                  <c:v>426.96117054309047</c:v>
                </c:pt>
                <c:pt idx="917">
                  <c:v>410.83274198872743</c:v>
                </c:pt>
                <c:pt idx="918">
                  <c:v>394.67919669033893</c:v>
                </c:pt>
                <c:pt idx="919">
                  <c:v>378.50087338360828</c:v>
                </c:pt>
                <c:pt idx="920">
                  <c:v>362.29810921101785</c:v>
                </c:pt>
                <c:pt idx="921">
                  <c:v>346.0712397114367</c:v>
                </c:pt>
                <c:pt idx="922">
                  <c:v>329.82059880998827</c:v>
                </c:pt>
                <c:pt idx="923">
                  <c:v>313.54651880819614</c:v>
                </c:pt>
                <c:pt idx="924">
                  <c:v>297.24933037440678</c:v>
                </c:pt>
                <c:pt idx="925">
                  <c:v>280.92936253448801</c:v>
                </c:pt>
                <c:pt idx="926">
                  <c:v>264.58694266280162</c:v>
                </c:pt>
                <c:pt idx="927">
                  <c:v>248.22239647344895</c:v>
                </c:pt>
                <c:pt idx="928">
                  <c:v>231.8360480117878</c:v>
                </c:pt>
                <c:pt idx="929">
                  <c:v>215.42821964621891</c:v>
                </c:pt>
                <c:pt idx="930">
                  <c:v>198.99923206024107</c:v>
                </c:pt>
                <c:pt idx="931">
                  <c:v>182.54940424477255</c:v>
                </c:pt>
                <c:pt idx="932">
                  <c:v>166.07905349073775</c:v>
                </c:pt>
                <c:pt idx="933">
                  <c:v>149.58849538191711</c:v>
                </c:pt>
                <c:pt idx="934">
                  <c:v>133.07804378805864</c:v>
                </c:pt>
                <c:pt idx="935">
                  <c:v>116.5480108582493</c:v>
                </c:pt>
                <c:pt idx="936">
                  <c:v>99.998707014544564</c:v>
                </c:pt>
                <c:pt idx="937">
                  <c:v>83.430440945854102</c:v>
                </c:pt>
                <c:pt idx="938">
                  <c:v>66.843519602081969</c:v>
                </c:pt>
                <c:pt idx="939">
                  <c:v>50.238248188519286</c:v>
                </c:pt>
                <c:pt idx="940">
                  <c:v>33.614930160487539</c:v>
                </c:pt>
                <c:pt idx="941">
                  <c:v>16.973867218230524</c:v>
                </c:pt>
                <c:pt idx="942">
                  <c:v>0.31535930205298612</c:v>
                </c:pt>
                <c:pt idx="943">
                  <c:v>-16.360295412296061</c:v>
                </c:pt>
                <c:pt idx="944">
                  <c:v>-16.376979574437723</c:v>
                </c:pt>
                <c:pt idx="945">
                  <c:v>-16.393663753281871</c:v>
                </c:pt>
                <c:pt idx="946">
                  <c:v>-16.41034794882821</c:v>
                </c:pt>
                <c:pt idx="947">
                  <c:v>-16.427032161076447</c:v>
                </c:pt>
                <c:pt idx="948">
                  <c:v>-16.443716390026289</c:v>
                </c:pt>
                <c:pt idx="949">
                  <c:v>-16.460400635677441</c:v>
                </c:pt>
                <c:pt idx="950">
                  <c:v>-16.477084898029609</c:v>
                </c:pt>
                <c:pt idx="951">
                  <c:v>-16.493769177082505</c:v>
                </c:pt>
                <c:pt idx="952">
                  <c:v>-16.510453472835831</c:v>
                </c:pt>
                <c:pt idx="953">
                  <c:v>-16.527137785289295</c:v>
                </c:pt>
                <c:pt idx="954">
                  <c:v>-16.543822114442605</c:v>
                </c:pt>
                <c:pt idx="955">
                  <c:v>-16.560506460295468</c:v>
                </c:pt>
                <c:pt idx="956">
                  <c:v>-16.577190822847587</c:v>
                </c:pt>
                <c:pt idx="957">
                  <c:v>-16.593875202098673</c:v>
                </c:pt>
                <c:pt idx="958">
                  <c:v>-16.610559598048432</c:v>
                </c:pt>
                <c:pt idx="959">
                  <c:v>-16.627244010696572</c:v>
                </c:pt>
                <c:pt idx="960">
                  <c:v>-16.643928440042796</c:v>
                </c:pt>
                <c:pt idx="961">
                  <c:v>-16.660612886086813</c:v>
                </c:pt>
                <c:pt idx="962">
                  <c:v>-16.677297348828329</c:v>
                </c:pt>
                <c:pt idx="963">
                  <c:v>-16.693981828267052</c:v>
                </c:pt>
                <c:pt idx="964">
                  <c:v>-16.710666324402691</c:v>
                </c:pt>
                <c:pt idx="965">
                  <c:v>-16.727350837234948</c:v>
                </c:pt>
                <c:pt idx="966">
                  <c:v>-16.744035366763534</c:v>
                </c:pt>
                <c:pt idx="967">
                  <c:v>-16.760719912988151</c:v>
                </c:pt>
                <c:pt idx="968">
                  <c:v>-16.777404475908511</c:v>
                </c:pt>
                <c:pt idx="969">
                  <c:v>-16.794089055524317</c:v>
                </c:pt>
                <c:pt idx="970">
                  <c:v>-16.81077365183528</c:v>
                </c:pt>
                <c:pt idx="971">
                  <c:v>-16.827458264841102</c:v>
                </c:pt>
                <c:pt idx="972">
                  <c:v>-16.844142894541491</c:v>
                </c:pt>
                <c:pt idx="973">
                  <c:v>-16.860827540936157</c:v>
                </c:pt>
                <c:pt idx="974">
                  <c:v>-16.877512204024804</c:v>
                </c:pt>
                <c:pt idx="975">
                  <c:v>-16.89419688380714</c:v>
                </c:pt>
                <c:pt idx="976">
                  <c:v>-16.910881580282872</c:v>
                </c:pt>
                <c:pt idx="977">
                  <c:v>-16.927566293451704</c:v>
                </c:pt>
                <c:pt idx="978">
                  <c:v>-16.944251023313349</c:v>
                </c:pt>
                <c:pt idx="979">
                  <c:v>-16.960935769867508</c:v>
                </c:pt>
                <c:pt idx="980">
                  <c:v>-16.977620533113889</c:v>
                </c:pt>
                <c:pt idx="981">
                  <c:v>-16.994305313052202</c:v>
                </c:pt>
                <c:pt idx="982">
                  <c:v>-17.010990109682151</c:v>
                </c:pt>
                <c:pt idx="983">
                  <c:v>-17.027674923003442</c:v>
                </c:pt>
                <c:pt idx="984">
                  <c:v>-17.044359753015783</c:v>
                </c:pt>
                <c:pt idx="985">
                  <c:v>-17.061044599718883</c:v>
                </c:pt>
                <c:pt idx="986">
                  <c:v>-17.077729463112448</c:v>
                </c:pt>
                <c:pt idx="987">
                  <c:v>-17.094414343196181</c:v>
                </c:pt>
                <c:pt idx="988">
                  <c:v>-17.111099239969793</c:v>
                </c:pt>
                <c:pt idx="989">
                  <c:v>-17.127784153432987</c:v>
                </c:pt>
                <c:pt idx="990">
                  <c:v>-17.144469083585474</c:v>
                </c:pt>
                <c:pt idx="991">
                  <c:v>-17.16115403042696</c:v>
                </c:pt>
                <c:pt idx="992">
                  <c:v>-17.177838993957153</c:v>
                </c:pt>
                <c:pt idx="993">
                  <c:v>-17.194523974175755</c:v>
                </c:pt>
                <c:pt idx="994">
                  <c:v>-17.211208971082478</c:v>
                </c:pt>
                <c:pt idx="995">
                  <c:v>-17.227893984677024</c:v>
                </c:pt>
                <c:pt idx="996">
                  <c:v>-17.244579014959104</c:v>
                </c:pt>
                <c:pt idx="997">
                  <c:v>-17.261264061928426</c:v>
                </c:pt>
                <c:pt idx="998">
                  <c:v>-17.277949125584691</c:v>
                </c:pt>
                <c:pt idx="999">
                  <c:v>-17.294634205927611</c:v>
                </c:pt>
                <c:pt idx="1000">
                  <c:v>-17.311319302956893</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755"/>
</file>

<file path=xl/ctrlProps/ctrlProp12.xml><?xml version="1.0" encoding="utf-8"?>
<formControlPr xmlns="http://schemas.microsoft.com/office/spreadsheetml/2009/9/main" objectType="Spin" dx="15" fmlaLink="$C$11" inc="100" max="30000" noThreeD="1" page="10" val="8000"/>
</file>

<file path=xl/ctrlProps/ctrlProp13.xml><?xml version="1.0" encoding="utf-8"?>
<formControlPr xmlns="http://schemas.microsoft.com/office/spreadsheetml/2009/9/main" objectType="Spin" dx="15" fmlaLink="$C$11" inc="100" max="30000" noThreeD="1" page="10" val="8000"/>
</file>

<file path=xl/ctrlProps/ctrlProp14.xml><?xml version="1.0" encoding="utf-8"?>
<formControlPr xmlns="http://schemas.microsoft.com/office/spreadsheetml/2009/9/main" objectType="Spin" dx="15" fmlaLink="Stabilito!C11" inc="100" max="30000" noThreeD="1" page="10" val="8000"/>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1000"/>
</file>

<file path=xl/ctrlProps/ctrlProp18.xml><?xml version="1.0" encoding="utf-8"?>
<formControlPr xmlns="http://schemas.microsoft.com/office/spreadsheetml/2009/9/main" objectType="Spin" dx="15" fmlaLink="$B$53" inc="5" max="30000" noThreeD="1" page="10" val="100"/>
</file>

<file path=xl/ctrlProps/ctrlProp19.xml><?xml version="1.0" encoding="utf-8"?>
<formControlPr xmlns="http://schemas.microsoft.com/office/spreadsheetml/2009/9/main" objectType="Spin" dx="15" fmlaLink="Stabilito!C11" inc="100" max="30000" noThreeD="1" page="10" val="8000"/>
</file>

<file path=xl/ctrlProps/ctrlProp2.xml><?xml version="1.0" encoding="utf-8"?>
<formControlPr xmlns="http://schemas.microsoft.com/office/spreadsheetml/2009/9/main" objectType="Spin" dx="15" fmlaLink="$C$11" inc="100" max="30000" noThreeD="1" page="10" val="8000"/>
</file>

<file path=xl/ctrlProps/ctrlProp20.xml><?xml version="1.0" encoding="utf-8"?>
<formControlPr xmlns="http://schemas.microsoft.com/office/spreadsheetml/2009/9/main" objectType="Spin" dx="15" fmlaLink="Stabilito!C11" inc="100" max="30000" noThreeD="1" page="10" val="8000"/>
</file>

<file path=xl/ctrlProps/ctrlProp3.xml><?xml version="1.0" encoding="utf-8"?>
<formControlPr xmlns="http://schemas.microsoft.com/office/spreadsheetml/2009/9/main" objectType="Spin" dx="15" fmlaLink="$C$12" inc="50" max="30000" noThreeD="1" page="10" val="110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50"/>
</file>

<file path=xl/ctrlProps/ctrlProp6.xml><?xml version="1.0" encoding="utf-8"?>
<formControlPr xmlns="http://schemas.microsoft.com/office/spreadsheetml/2009/9/main" objectType="Spin" dx="15" fmlaLink="$C$28" inc="10" max="30000" noThreeD="1" page="10" val="12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6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4" zoomScaleNormal="100" zoomScaleSheetLayoutView="100" workbookViewId="0">
      <selection activeCell="T23" sqref="T23"/>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63" t="s">
        <v>54</v>
      </c>
      <c r="D2" s="663"/>
      <c r="E2" s="114"/>
      <c r="F2" s="37"/>
      <c r="G2" s="37"/>
      <c r="H2" s="37"/>
      <c r="I2" s="37"/>
      <c r="J2" s="34"/>
      <c r="K2" s="34"/>
      <c r="L2" s="180" t="str">
        <f>"Language/Langue"</f>
        <v>Language/Langue</v>
      </c>
      <c r="M2" s="688" t="s">
        <v>1</v>
      </c>
      <c r="N2" s="688"/>
      <c r="O2" s="688"/>
      <c r="P2" s="689"/>
      <c r="Q2" s="38"/>
      <c r="R2" s="34"/>
    </row>
    <row r="3" spans="1:20" ht="12.75" customHeight="1" x14ac:dyDescent="0.25">
      <c r="A3" s="36"/>
      <c r="B3" s="34"/>
      <c r="C3" s="663"/>
      <c r="D3" s="663"/>
      <c r="E3" s="114"/>
      <c r="F3" s="37"/>
      <c r="G3" s="37"/>
      <c r="H3" s="37"/>
      <c r="I3" s="37"/>
      <c r="J3" s="34"/>
      <c r="K3" s="34"/>
      <c r="L3" s="696"/>
      <c r="M3" s="696"/>
      <c r="N3" s="214"/>
      <c r="O3" s="34"/>
      <c r="P3" s="34"/>
      <c r="Q3" s="38"/>
      <c r="R3" s="34"/>
    </row>
    <row r="4" spans="1:20" ht="12.75" customHeight="1" x14ac:dyDescent="0.25">
      <c r="A4" s="36"/>
      <c r="B4" s="34"/>
      <c r="C4" s="664" t="str">
        <f>IF(Lang="Français","Stabilité de fusée à ailerons",IF(Lang="English","Stability for rocket with fins",""))</f>
        <v>Stabilité de fusée à ailerons</v>
      </c>
      <c r="D4" s="664"/>
      <c r="E4" s="114"/>
      <c r="F4" s="37"/>
      <c r="G4" s="37"/>
      <c r="H4" s="37"/>
      <c r="I4" s="37"/>
      <c r="J4" s="34"/>
      <c r="K4" s="34"/>
      <c r="L4" s="45"/>
      <c r="M4" s="688" t="s">
        <v>552</v>
      </c>
      <c r="N4" s="688"/>
      <c r="O4" s="688"/>
      <c r="P4" s="689"/>
      <c r="Q4" s="38"/>
      <c r="R4" s="34"/>
    </row>
    <row r="5" spans="1:20" ht="12.75" customHeight="1" x14ac:dyDescent="0.3">
      <c r="A5" s="36"/>
      <c r="B5" s="39"/>
      <c r="C5" s="645"/>
      <c r="D5" s="645"/>
      <c r="E5" s="114"/>
      <c r="F5" s="37"/>
      <c r="G5" s="37"/>
      <c r="H5" s="37"/>
      <c r="I5" s="37"/>
      <c r="J5" s="34"/>
      <c r="K5" s="34"/>
      <c r="L5" s="45"/>
      <c r="M5" s="670" t="s">
        <v>157</v>
      </c>
      <c r="N5" s="671"/>
      <c r="O5" s="699" t="s">
        <v>158</v>
      </c>
      <c r="P5" s="699"/>
      <c r="Q5" s="40"/>
      <c r="R5" s="34"/>
    </row>
    <row r="6" spans="1:20" ht="12.75" customHeight="1" thickBot="1" x14ac:dyDescent="0.3">
      <c r="A6" s="36"/>
      <c r="B6" s="111"/>
      <c r="C6" s="658" t="str">
        <f>IF(Lang="Français","Remplir les cases jaunes",IF(Lang="English","Fill-in yellow cells only",""))</f>
        <v>Remplir les cases jaunes</v>
      </c>
      <c r="D6" s="658"/>
      <c r="E6" s="114"/>
      <c r="F6" s="37"/>
      <c r="G6" s="37"/>
      <c r="H6" s="37"/>
      <c r="I6" s="37"/>
      <c r="J6" s="34"/>
      <c r="K6" s="34"/>
      <c r="L6" s="172" t="str">
        <f>IF(Lang="Français","Longueur      'L'",IF(Lang="English","Length      'L'",""))</f>
        <v>Longueur      'L'</v>
      </c>
      <c r="M6" s="659">
        <v>50</v>
      </c>
      <c r="N6" s="660"/>
      <c r="O6" s="680">
        <v>50</v>
      </c>
      <c r="P6" s="680"/>
      <c r="Q6" s="40"/>
      <c r="R6" s="34"/>
    </row>
    <row r="7" spans="1:20" ht="12.75" customHeight="1" thickTop="1" thickBot="1" x14ac:dyDescent="0.3">
      <c r="A7" s="36"/>
      <c r="B7" s="42"/>
      <c r="C7" s="666" t="str">
        <f>IF(Lang="Français","Fusée",IF(Lang="English","Rocket",""))</f>
        <v>Fusée</v>
      </c>
      <c r="D7" s="667"/>
      <c r="E7" s="114"/>
      <c r="F7" s="37"/>
      <c r="G7" s="37"/>
      <c r="H7" s="37"/>
      <c r="I7" s="37"/>
      <c r="J7" s="34"/>
      <c r="K7" s="34"/>
      <c r="L7" s="172" t="str">
        <f>IF(Lang="Français","Diamètre     'D1'",IF(Lang="English","Diameter 'D1'",""))</f>
        <v>Diamètre     'D1'</v>
      </c>
      <c r="M7" s="659">
        <f>D_og</f>
        <v>100</v>
      </c>
      <c r="N7" s="660"/>
      <c r="O7" s="680">
        <f>D2j</f>
        <v>80</v>
      </c>
      <c r="P7" s="680"/>
      <c r="Q7" s="40"/>
      <c r="R7" s="34"/>
    </row>
    <row r="8" spans="1:20" ht="12.75" customHeight="1" thickTop="1" x14ac:dyDescent="0.25">
      <c r="A8" s="36"/>
      <c r="B8" s="171" t="str">
        <f>IF(Lang="Français","Nom",IF(Lang="English","Name",""))</f>
        <v>Nom</v>
      </c>
      <c r="C8" s="661" t="s">
        <v>557</v>
      </c>
      <c r="D8" s="661"/>
      <c r="E8" s="115"/>
      <c r="F8" s="37"/>
      <c r="G8" s="37"/>
      <c r="H8" s="37"/>
      <c r="I8" s="37"/>
      <c r="J8" s="34"/>
      <c r="K8" s="44"/>
      <c r="L8" s="172" t="str">
        <f>IF(Lang="Français","Diamètre     'D2'",IF(Lang="English","Diameter 'D2'",""))</f>
        <v>Diamètre     'D2'</v>
      </c>
      <c r="M8" s="659">
        <v>80</v>
      </c>
      <c r="N8" s="660"/>
      <c r="O8" s="680">
        <f>D_og</f>
        <v>100</v>
      </c>
      <c r="P8" s="680"/>
      <c r="Q8" s="40"/>
      <c r="R8" s="34"/>
    </row>
    <row r="9" spans="1:20" ht="12.75" customHeight="1" x14ac:dyDescent="0.25">
      <c r="A9" s="36"/>
      <c r="B9" s="171" t="s">
        <v>4</v>
      </c>
      <c r="C9" s="662" t="s">
        <v>558</v>
      </c>
      <c r="D9" s="662"/>
      <c r="E9" s="115"/>
      <c r="F9" s="37"/>
      <c r="G9" s="37"/>
      <c r="H9" s="37"/>
      <c r="I9" s="37"/>
      <c r="J9" s="34"/>
      <c r="K9" s="44"/>
      <c r="L9" s="172" t="str">
        <f>IF(Lang="Français","Implantation 'x'",IF(Lang="English","Basement 'x'",""))</f>
        <v>Implantation 'x'</v>
      </c>
      <c r="M9" s="659">
        <v>300</v>
      </c>
      <c r="N9" s="660"/>
      <c r="O9" s="680">
        <v>500</v>
      </c>
      <c r="P9" s="680"/>
      <c r="Q9" s="40"/>
      <c r="R9" s="34"/>
    </row>
    <row r="10" spans="1:20" ht="12.75" customHeight="1" x14ac:dyDescent="0.25">
      <c r="A10" s="36"/>
      <c r="B10" s="172" t="s">
        <v>55</v>
      </c>
      <c r="C10" s="668" t="s">
        <v>559</v>
      </c>
      <c r="D10" s="66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8000</v>
      </c>
      <c r="D11" s="47" t="s">
        <v>425</v>
      </c>
      <c r="E11" s="116"/>
      <c r="F11" s="37"/>
      <c r="G11" s="37"/>
      <c r="H11" s="37"/>
      <c r="I11" s="37"/>
      <c r="J11" s="34"/>
      <c r="K11" s="45"/>
      <c r="L11" s="136"/>
      <c r="M11" s="262" t="str">
        <f>IF(Lang="Français","Propu plein",IF(Lang="English","Loaded Motor",""))</f>
        <v>Propu plein</v>
      </c>
      <c r="N11" s="697" t="str">
        <f>IF(Lang="Français","Propu vide",IF(Lang="English","Empty Motor",""))</f>
        <v>Propu vide</v>
      </c>
      <c r="O11" s="698"/>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1100</v>
      </c>
      <c r="D12" s="47" t="s">
        <v>425</v>
      </c>
      <c r="E12" s="114"/>
      <c r="F12" s="37"/>
      <c r="G12" s="37"/>
      <c r="H12" s="37"/>
      <c r="I12" s="37"/>
      <c r="J12" s="34"/>
      <c r="K12" s="34"/>
      <c r="L12" s="137" t="str">
        <f>IF(Lang="Français","Masse propu",IF(Lang="English","Motor Mass",""))</f>
        <v>Masse propu</v>
      </c>
      <c r="M12" s="138">
        <f ca="1">MpropuPlein</f>
        <v>3.5110000000000001</v>
      </c>
      <c r="N12" s="692">
        <f ca="1">MpropuVide</f>
        <v>1.6379999999999999</v>
      </c>
      <c r="O12" s="693"/>
      <c r="P12" s="139" t="s">
        <v>14</v>
      </c>
      <c r="Q12" s="40"/>
      <c r="R12" s="34"/>
      <c r="S12" s="447" t="str">
        <f>IF(Lang="Français","Haut",IF(Lang="English","Top",""))</f>
        <v>Haut</v>
      </c>
      <c r="T12" s="448">
        <f ca="1">XpropuRef-Long_propu</f>
        <v>1269</v>
      </c>
    </row>
    <row r="13" spans="1:20" ht="12.75" customHeight="1" x14ac:dyDescent="0.25">
      <c r="A13" s="36"/>
      <c r="B13" s="172" t="str">
        <f>IF(Lang="Français","Longueur totale",IF(Lang="English","Total length",""))</f>
        <v>Longueur totale</v>
      </c>
      <c r="C13" s="659">
        <v>1755</v>
      </c>
      <c r="D13" s="660"/>
      <c r="E13" s="114"/>
      <c r="F13" s="37"/>
      <c r="G13" s="37"/>
      <c r="H13" s="37"/>
      <c r="I13" s="37"/>
      <c r="J13" s="34"/>
      <c r="K13" s="34"/>
      <c r="L13" s="137" t="str">
        <f>IF(Lang="Français","CdM propu",IF(Lang="English","Motor CoM",""))</f>
        <v>CdM propu</v>
      </c>
      <c r="M13" s="140">
        <f ca="1">XpropuPlein</f>
        <v>243</v>
      </c>
      <c r="N13" s="690">
        <f ca="1">XpropuVide</f>
        <v>243</v>
      </c>
      <c r="O13" s="691"/>
      <c r="P13" s="139" t="s">
        <v>14</v>
      </c>
      <c r="Q13" s="40"/>
      <c r="R13" s="34"/>
      <c r="S13" s="447" t="str">
        <f>IF(Lang="Français","Longueur",IF(Lang="English","Length",""))</f>
        <v>Longueur</v>
      </c>
      <c r="T13" s="448">
        <f ca="1">Long_propu</f>
        <v>486</v>
      </c>
    </row>
    <row r="14" spans="1:20" ht="12.75" customHeight="1" x14ac:dyDescent="0.25">
      <c r="A14" s="36"/>
      <c r="B14" s="172" t="str">
        <f>IF(Lang="Français","Diamètre Réf.",IF(Lang="English","Ref. Diameter",""))</f>
        <v>Diamètre Réf.</v>
      </c>
      <c r="C14" s="659">
        <f>D_og</f>
        <v>100</v>
      </c>
      <c r="D14" s="660"/>
      <c r="E14" s="114"/>
      <c r="F14" s="37"/>
      <c r="G14" s="37"/>
      <c r="H14" s="37"/>
      <c r="I14" s="37"/>
      <c r="J14" s="34"/>
      <c r="K14" s="34"/>
      <c r="L14" s="137" t="str">
        <f>IF(Lang="Français","Masse fusée",IF(Lang="English","Rocket Mass",""))</f>
        <v>Masse fusée</v>
      </c>
      <c r="M14" s="141">
        <f ca="1">MasseSans+MpropuPlein</f>
        <v>11.510999999999999</v>
      </c>
      <c r="N14" s="672">
        <f ca="1">MasseSans+MpropuVide</f>
        <v>9.6379999999999999</v>
      </c>
      <c r="O14" s="673"/>
      <c r="P14" s="138">
        <f>IF(OR(D11="sans propu",D11="without motor"),C11/1000,IF(OR(D11="avec propu vide",D11="with empty motor"),C11/1000-MpropuVide,IF(OR(D11="avec propu plein",D11="with loaded motor"),C11/1000-MpropuPlein,"Erreur")))</f>
        <v>8</v>
      </c>
      <c r="Q14" s="40"/>
      <c r="R14" s="34"/>
      <c r="S14" s="447" t="str">
        <f>IF(Lang="Français","Bas",IF(Lang="English","Base",""))</f>
        <v>Bas</v>
      </c>
      <c r="T14" s="448">
        <f>XpropuRef</f>
        <v>1755</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1225.6651898184348</v>
      </c>
      <c r="N15" s="674">
        <f ca="1">(XcgSans*MasseSans+(XpropuRef-Long_propu+XpropuVide)*MpropuVide)/MasseVide</f>
        <v>1170.0203361693295</v>
      </c>
      <c r="O15" s="675"/>
      <c r="P15" s="142">
        <f>IF(OR(D12="sans propu",D12="without motor"),C12,IF(OR(D12="avec propu vide",D12="with empty motor"),(C12*MasseVide-(XpropuRef-Long_propu+XpropuVide)*MpropuVide)/MasseSans,IF(OR(D12="avec propu plein",D12="with loaded motor"),(C12*MassePlein-(XpropuRef-Long_propu+XpropuPlein)*MpropuPlein)/MasseSans,"Erreur")))</f>
        <v>1100</v>
      </c>
      <c r="Q15" s="40"/>
      <c r="R15" s="34"/>
    </row>
    <row r="16" spans="1:20" ht="12.75" customHeight="1" thickTop="1" thickBot="1" x14ac:dyDescent="0.3">
      <c r="A16" s="36"/>
      <c r="B16" s="34"/>
      <c r="C16" s="647" t="str">
        <f>IF(Lang="Français","Propulseur",IF(Lang="English","Motor",""))</f>
        <v>Propulseur</v>
      </c>
      <c r="D16" s="648"/>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49" t="s">
        <v>555</v>
      </c>
      <c r="D17" s="650"/>
      <c r="E17" s="114"/>
      <c r="F17" s="37"/>
      <c r="G17" s="37"/>
      <c r="H17" s="37"/>
      <c r="I17" s="37"/>
      <c r="J17" s="34"/>
      <c r="K17" s="34"/>
      <c r="L17" s="143"/>
      <c r="M17" s="676" t="s">
        <v>56</v>
      </c>
      <c r="N17" s="677"/>
      <c r="O17" s="700" t="s">
        <v>66</v>
      </c>
      <c r="P17" s="700"/>
      <c r="Q17" s="40"/>
      <c r="R17" s="34"/>
      <c r="S17" s="447" t="str">
        <f>IF(Lang="Français","Haut","Top")</f>
        <v>Haut</v>
      </c>
      <c r="T17" s="448">
        <f>X_ail-m_ail</f>
        <v>1505</v>
      </c>
    </row>
    <row r="18" spans="1:20" ht="12.75" customHeight="1" x14ac:dyDescent="0.25">
      <c r="A18" s="36"/>
      <c r="B18" s="172" t="str">
        <f>IF(Lang="Français","Position du bas",IF(Lang="English","Basement",""))</f>
        <v>Position du bas</v>
      </c>
      <c r="C18" s="680">
        <f>Long_tot</f>
        <v>1755</v>
      </c>
      <c r="D18" s="680"/>
      <c r="F18" s="37"/>
      <c r="G18" s="37"/>
      <c r="H18" s="37"/>
      <c r="I18" s="37"/>
      <c r="J18" s="34"/>
      <c r="K18" s="50"/>
      <c r="L18" s="137" t="str">
        <f>IF(Lang="Français","Coiffe",IF(Lang="English","Nose Cone",""))</f>
        <v>Coiffe</v>
      </c>
      <c r="M18" s="652">
        <f>IF(LEFT(Forme_ogive,5)="Parab",1/2*Long_ogive,IF(LEFT(Forme_ogive,4)="Ogiv",7/15*Long_ogive,IF(LEFT(Forme_ogive,3)="Con",2/3*Long_ogive)))</f>
        <v>116.66666666666667</v>
      </c>
      <c r="N18" s="653"/>
      <c r="O18" s="651">
        <f>2*POWER(D_og/D_ref, 2)</f>
        <v>2</v>
      </c>
      <c r="P18" s="651"/>
      <c r="Q18" s="40"/>
      <c r="R18" s="34"/>
      <c r="S18" s="447" t="str">
        <f>IF(Lang="Français","Emplanture","Root edge")</f>
        <v>Emplanture</v>
      </c>
      <c r="T18" s="448">
        <f>m_ail</f>
        <v>250</v>
      </c>
    </row>
    <row r="19" spans="1:20" ht="12.75" customHeight="1" thickBot="1" x14ac:dyDescent="0.3">
      <c r="A19" s="36"/>
      <c r="B19" s="493" t="str">
        <f>IF(Propu="Cariacou","Cariacou :"," ")</f>
        <v xml:space="preserve"> </v>
      </c>
      <c r="C19" s="681" t="str">
        <f>IF(Propu="Pandora (Pro24-6G)",IF(Lang="Français","C'Space Seulement",IF(Lang="English","C'Space only","")),"")</f>
        <v/>
      </c>
      <c r="D19" s="681"/>
      <c r="E19" s="114"/>
      <c r="F19" s="37"/>
      <c r="G19" s="37"/>
      <c r="H19" s="37"/>
      <c r="I19" s="37"/>
      <c r="J19" s="34"/>
      <c r="K19" s="34"/>
      <c r="L19" s="137" t="str">
        <f>IF(Lang="Français","Ailerons",IF(Lang="English","Fins",""))</f>
        <v>Ailerons</v>
      </c>
      <c r="M19" s="652">
        <f>(XCpa*Cnail-0.5*XCpi*Cni)/Cnai</f>
        <v>1641.4414414414414</v>
      </c>
      <c r="N19" s="653"/>
      <c r="O19" s="654">
        <f>Cnail-Cni/2</f>
        <v>20.203078547045632</v>
      </c>
      <c r="P19" s="655"/>
      <c r="Q19" s="40"/>
      <c r="R19" s="34"/>
      <c r="S19" s="447" t="str">
        <f>IF(Lang="Français","Bas","Base")</f>
        <v>Bas</v>
      </c>
      <c r="T19" s="448">
        <f>X_ail</f>
        <v>1755</v>
      </c>
    </row>
    <row r="20" spans="1:20" ht="12.75" customHeight="1" thickTop="1" thickBot="1" x14ac:dyDescent="0.3">
      <c r="A20" s="36"/>
      <c r="B20" s="51"/>
      <c r="C20" s="656" t="str">
        <f>IF(Lang="Français","Coiffe",IF(Lang="English","Nose Cone",""))</f>
        <v>Coiffe</v>
      </c>
      <c r="D20" s="657"/>
      <c r="E20" s="114"/>
      <c r="F20" s="37"/>
      <c r="G20" s="37"/>
      <c r="H20" s="37"/>
      <c r="I20" s="37"/>
      <c r="J20" s="34"/>
      <c r="K20" s="34"/>
      <c r="L20" s="137" t="str">
        <f>IF(Lang="Français","Ail bas entier",IF(Lang="English","Total Lower Fins",""))</f>
        <v>Ail bas entier</v>
      </c>
      <c r="M20" s="652">
        <f>X_ail-m_ail+p_ail*(m_ail+2*n_ail)/(3*(m_ail+n_ail))+(m_ail+n_ail-m_ail*n_ail/(m_ail+n_ail))/6</f>
        <v>1641.4414414414414</v>
      </c>
      <c r="N20" s="653"/>
      <c r="O20" s="651">
        <f>4*Q_ail*POWER((E_ail/D_ref),2)*(1+D_ail/(2*E_ail+D_ail))/(1+SQRT(1+POWER(2*f_ail/(m_ail+n_ail),2)))</f>
        <v>20.203078547045632</v>
      </c>
      <c r="P20" s="651"/>
      <c r="Q20" s="40"/>
      <c r="R20" s="34"/>
    </row>
    <row r="21" spans="1:20" ht="12.75" customHeight="1" thickTop="1" x14ac:dyDescent="0.25">
      <c r="A21" s="36"/>
      <c r="B21" s="172" t="str">
        <f>IF(Lang="Français","Forme",IF(Lang="English","Shape",""))</f>
        <v>Forme</v>
      </c>
      <c r="C21" s="682" t="s">
        <v>550</v>
      </c>
      <c r="D21" s="683"/>
      <c r="E21" s="114"/>
      <c r="F21" s="37"/>
      <c r="G21" s="37"/>
      <c r="H21" s="37"/>
      <c r="I21" s="37"/>
      <c r="J21" s="34"/>
      <c r="K21" s="34"/>
      <c r="L21" s="137" t="str">
        <f>IF(Lang="Français","Ailerons haut",IF(Lang="English","Upper Fins",""))</f>
        <v>Ailerons haut</v>
      </c>
      <c r="M21" s="652">
        <f>IF(LEFT(Type_masquage,1)="M",0, X_can-m_can+p_can*(m_can+2*n_can)/(3*(m_can+n_can))+(m_can+n_can-m_can*n_can/(m_can+n_can))/6)</f>
        <v>0</v>
      </c>
      <c r="N21" s="653"/>
      <c r="O21" s="651">
        <f>IF(LEFT(Type_masquage,1)="M",0, 4*Q_can*POWER((E_can/D_ref),2)*(1+D_can/(2*E_can+D_can))/(1+SQRT(1+POWER(2*f_can/(m_can+n_can),2))))</f>
        <v>0</v>
      </c>
      <c r="P21" s="651"/>
      <c r="Q21" s="40"/>
      <c r="R21" s="34"/>
    </row>
    <row r="22" spans="1:20" ht="12.75" customHeight="1" x14ac:dyDescent="0.25">
      <c r="A22" s="36"/>
      <c r="B22" s="172" t="str">
        <f>IF(Lang="Français","Hauteur",IF(Lang="English","Heigth",""))</f>
        <v>Hauteur</v>
      </c>
      <c r="C22" s="659">
        <v>250</v>
      </c>
      <c r="D22" s="660"/>
      <c r="E22" s="114"/>
      <c r="F22" s="37"/>
      <c r="G22" s="37"/>
      <c r="H22" s="37"/>
      <c r="I22" s="37"/>
      <c r="J22" s="34"/>
      <c r="K22" s="34"/>
      <c r="L22" s="137" t="str">
        <f>IF(Lang="Français","Partie masquée",IF(Lang="English","Interation zone",""))</f>
        <v>Partie masquée</v>
      </c>
      <c r="M22" s="665">
        <f>IF(LEFT(Type_masquage,1)="B", X_int-m_int+p_int*(m_int+2*n_int)/(3*(m_int+n_int))+(m_int+n_int-m_int*n_int/(m_int+n_int))/6, 0 )</f>
        <v>0</v>
      </c>
      <c r="N22" s="665"/>
      <c r="O22" s="654">
        <f>IF(LEFT(Type_masquage,1)="B", 4*Q_int*POWER((E_int/D_ref),2)*(1+D_int/(2*E_int+D_int))/(1+SQRT(1+POWER(2*f_int/(m_int+n_int),2))), 0 )</f>
        <v>0</v>
      </c>
      <c r="P22" s="655"/>
      <c r="Q22" s="40"/>
      <c r="R22" s="34"/>
    </row>
    <row r="23" spans="1:20" ht="12.75" customHeight="1" x14ac:dyDescent="0.25">
      <c r="A23" s="36"/>
      <c r="B23" s="172" t="str">
        <f>IF(Lang="Français","Diamètre",IF(Lang="English","Diameter",""))</f>
        <v>Diamètre</v>
      </c>
      <c r="C23" s="659">
        <v>100</v>
      </c>
      <c r="D23" s="660"/>
      <c r="E23" s="114"/>
      <c r="F23" s="37"/>
      <c r="G23" s="37"/>
      <c r="H23" s="37"/>
      <c r="I23" s="37"/>
      <c r="J23" s="34"/>
      <c r="K23" s="34"/>
      <c r="L23" s="137" t="s">
        <v>157</v>
      </c>
      <c r="M23" s="652">
        <f>IF(OR(RIGHT(Nb_diam,1)=",",D2j=0),0, X_j+l_j/3*(1+1/(1+D1j/D2j)) )</f>
        <v>0</v>
      </c>
      <c r="N23" s="653"/>
      <c r="O23" s="651">
        <f>IF(OR(RIGHT(Nb_diam,1)=",",D2j=0),0,2*(POWER(D2j/D_ref,2)-POWER(D1j/D_ref,2)))</f>
        <v>0</v>
      </c>
      <c r="P23" s="651"/>
      <c r="Q23" s="40"/>
      <c r="R23" s="34"/>
    </row>
    <row r="24" spans="1:20" ht="12.75" customHeight="1" thickBot="1" x14ac:dyDescent="0.3">
      <c r="A24" s="36"/>
      <c r="E24" s="114"/>
      <c r="F24" s="37"/>
      <c r="G24" s="37"/>
      <c r="H24" s="37"/>
      <c r="I24" s="37"/>
      <c r="J24" s="34"/>
      <c r="K24" s="34"/>
      <c r="L24" s="137" t="s">
        <v>158</v>
      </c>
      <c r="M24" s="652">
        <f>IF( OR(RIGHT(Nb_diam,1)=",",D2r=0), 0, X_r+l_r/3*(1+1/(1+D1r/D2r)) )</f>
        <v>0</v>
      </c>
      <c r="N24" s="653"/>
      <c r="O24" s="651">
        <f>IF( OR(RIGHT(Nb_diam,1)=",",D2r=0), 0, 2*(POWER(D2r/D_ref,2)-POWER(D1r/D_ref,2)) )</f>
        <v>0</v>
      </c>
      <c r="P24" s="651"/>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78" t="s">
        <v>426</v>
      </c>
      <c r="D26" s="679"/>
      <c r="E26" s="117"/>
      <c r="F26" s="55">
        <f ca="1">TODAY()</f>
        <v>44889</v>
      </c>
      <c r="G26" s="170" t="s">
        <v>63</v>
      </c>
      <c r="H26" s="646" t="str">
        <f>IF(Lang="Français","Résultats",IF(Lang="English","Results",""))</f>
        <v>Résultats</v>
      </c>
      <c r="I26" s="646"/>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250</v>
      </c>
      <c r="D27" s="210">
        <v>70</v>
      </c>
      <c r="E27" s="179">
        <f>m_ail</f>
        <v>250</v>
      </c>
      <c r="F27" s="134" t="s">
        <v>65</v>
      </c>
      <c r="G27" s="133">
        <f>IF(RIGHT(Type_fusee,1)=".",10, IF(OR(LEFT(Type_fusee,1)="R",LEFT(Type_fusee,1)=",",LEFT(Type_fusee,4)="Mini"),10, IF(LEFT(Type_fusee,5)="Micro",10, IF(RIGHT(Type_fusee,1)=" ",1))))</f>
        <v>10</v>
      </c>
      <c r="H27" s="694">
        <f>Long_tot/D_ref</f>
        <v>17.55</v>
      </c>
      <c r="I27" s="695"/>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120</v>
      </c>
      <c r="D28" s="48">
        <v>10</v>
      </c>
      <c r="E28" s="179">
        <f>n_ail+(m_ail-n_ail)*(1-E_int/E_ail)</f>
        <v>209.375</v>
      </c>
      <c r="F28" s="134" t="str">
        <f>IF(Lang="Français","Portance","Lift")</f>
        <v>Portance</v>
      </c>
      <c r="G28" s="133">
        <f>IF(RIGHT(Type_fusee,1)=".",15,IF(OR(LEFT(Type_fusee,1)="R",LEFT(Type_fusee,1)=",",LEFT(Type_fusee,4)="Mini"),15, IF(LEFT(Type_fusee,5)="Micro",15, IF(RIGHT(Type_fusee,1)=" ",15))))</f>
        <v>15</v>
      </c>
      <c r="H28" s="597">
        <f>Cnai+Cnc+Cno+Cnj+Cnr</f>
        <v>22.203078547045632</v>
      </c>
      <c r="I28" s="597">
        <f>Cnail+Cnc+Cno+Cnj+Cnr</f>
        <v>22.203078547045632</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62.5</v>
      </c>
      <c r="F29" s="605" t="str">
        <f>IF(Lang="Français","MargeStat.","StatMargin")</f>
        <v>MargeStat.</v>
      </c>
      <c r="G29" s="599">
        <f>IF(RIGHT(Type_fusee,1)=".",2, IF(OR(LEFT(Type_fusee,1)="R",LEFT(Type_fusee,1)=",",LEFT(Type_fusee,4)="Mini"),1.5, IF(LEFT(Type_fusee,5)="Micro",1, IF(RIGHT(Type_fusee,1)=" ",1))))</f>
        <v>2</v>
      </c>
      <c r="H29" s="126">
        <f ca="1">(XCp-XcgPlein)/D_ref</f>
        <v>2.784282013025106</v>
      </c>
      <c r="I29" s="127">
        <f ca="1">(XCp0-XcgVide)/D_ref</f>
        <v>3.3407305495161586</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160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61.819632232322761</v>
      </c>
      <c r="I30" s="125">
        <f ca="1">MS_max*Cn0</f>
        <v>74.174502795422185</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1504.0933911209454</v>
      </c>
      <c r="I31" s="598">
        <f>(Cnail*XCpa+Cnc*XCpc+Cnj*XCpj+Cnr*XCpr+Cno*XCpo)/(Cnail+Cnc+Cnr+Cnj+Cno)</f>
        <v>1504.0933911209454</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15.86485477507183</v>
      </c>
      <c r="I32" s="130">
        <f ca="1">(XCp-XcgVide)/Long_tot*100</f>
        <v>19.035501706644776</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1755</v>
      </c>
      <c r="D33" s="48">
        <v>700</v>
      </c>
      <c r="E33" s="179">
        <f>X_ail</f>
        <v>1755</v>
      </c>
      <c r="F33" s="37"/>
      <c r="G33" s="34"/>
      <c r="H33" s="684" t="str">
        <f ca="1">IF(AND(CritCnmin&lt;Cn,Cn0&lt;CritCnmax,CritMsmin&lt;MS_min,MS_max&lt;CritMsmax,CritMsCnmin&lt;MS_Cn_min,MS_Cn_max&lt;CritMsCnmax),"STABLE",IF(OR(Cn&lt;CritCnmin,MS_min&lt;CritMsmin,MS_Cn_min&lt;CritMsCnmin),"INSTABLE",IF(Lang="Français","SURSTABLE","OVERSTABLE")))</f>
        <v>STABLE</v>
      </c>
      <c r="I33" s="685"/>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86"/>
      <c r="I34" s="687"/>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209.34421415458323</v>
      </c>
      <c r="D35" s="178">
        <f>SQRT(POWER(p_can+n_can/2-m_can/2,2)+POWER(E_can,2))</f>
        <v>50.990195135927848</v>
      </c>
      <c r="E35" s="179">
        <f>SQRT(POWER(p_int+n_int/2-m_int/2,2)+POWER(E_int,2))</f>
        <v>65.42006692330726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-1755</v>
      </c>
      <c r="D130" s="67">
        <f>D129</f>
        <v>50</v>
      </c>
      <c r="E130" s="121">
        <f t="shared" si="0"/>
        <v>-50</v>
      </c>
      <c r="K130" s="67"/>
    </row>
    <row r="131" spans="2:11" x14ac:dyDescent="0.25">
      <c r="B131" s="66" t="s">
        <v>78</v>
      </c>
      <c r="C131" s="67">
        <f>-Long_tot</f>
        <v>-1755</v>
      </c>
      <c r="D131" s="67">
        <v>0</v>
      </c>
      <c r="E131" s="121">
        <f t="shared" si="0"/>
        <v>0</v>
      </c>
      <c r="K131" s="67"/>
    </row>
    <row r="132" spans="2:11" x14ac:dyDescent="0.25">
      <c r="B132" s="217" t="s">
        <v>79</v>
      </c>
      <c r="C132" s="231">
        <f>-X_ail+m_ail</f>
        <v>-1505</v>
      </c>
      <c r="D132" s="231">
        <f>D_ail/2</f>
        <v>50</v>
      </c>
      <c r="E132" s="232">
        <f t="shared" si="0"/>
        <v>-50</v>
      </c>
      <c r="K132" s="67"/>
    </row>
    <row r="133" spans="2:11" x14ac:dyDescent="0.25">
      <c r="B133" s="219" t="s">
        <v>80</v>
      </c>
      <c r="C133" s="233">
        <f>-X_ail+m_ail-p_ail</f>
        <v>-1705</v>
      </c>
      <c r="D133" s="233">
        <f>D_ail/2+E_ail</f>
        <v>210</v>
      </c>
      <c r="E133" s="234">
        <f t="shared" si="0"/>
        <v>-210</v>
      </c>
      <c r="K133" s="67"/>
    </row>
    <row r="134" spans="2:11" x14ac:dyDescent="0.25">
      <c r="B134" s="219" t="s">
        <v>81</v>
      </c>
      <c r="C134" s="233">
        <f>-X_ail+m_ail-p_ail-n_ail</f>
        <v>-1825</v>
      </c>
      <c r="D134" s="233">
        <f>D_ail/2+E_ail</f>
        <v>210</v>
      </c>
      <c r="E134" s="234">
        <f t="shared" si="0"/>
        <v>-210</v>
      </c>
      <c r="K134" s="67"/>
    </row>
    <row r="135" spans="2:11" x14ac:dyDescent="0.25">
      <c r="B135" s="219" t="s">
        <v>82</v>
      </c>
      <c r="C135" s="233">
        <f>-X_ail</f>
        <v>-1755</v>
      </c>
      <c r="D135" s="233">
        <f>D_ail/2</f>
        <v>50</v>
      </c>
      <c r="E135" s="234">
        <f t="shared" si="0"/>
        <v>-50</v>
      </c>
      <c r="K135" s="67"/>
    </row>
    <row r="136" spans="2:11" x14ac:dyDescent="0.25">
      <c r="B136" s="221" t="s">
        <v>79</v>
      </c>
      <c r="C136" s="235">
        <f>-X_ail+m_ail</f>
        <v>-1505</v>
      </c>
      <c r="D136" s="235">
        <f>D_ail/2</f>
        <v>50</v>
      </c>
      <c r="E136" s="236">
        <f t="shared" si="0"/>
        <v>-50</v>
      </c>
      <c r="K136" s="67"/>
    </row>
    <row r="137" spans="2:11" x14ac:dyDescent="0.25">
      <c r="B137" s="226" t="str">
        <f>IF(E_ail&gt;0,IF(Lang="Français","Envergure","Span"),"")</f>
        <v>Envergure</v>
      </c>
      <c r="C137" s="231">
        <f>MIN(-X_ail,-X_ail+m_ail-p_ail-n_ail)-Long_tot/30</f>
        <v>-1883.5</v>
      </c>
      <c r="D137" s="242">
        <f>-D_ail/2-E_ail</f>
        <v>-210</v>
      </c>
      <c r="E137" s="247"/>
      <c r="K137" s="67"/>
    </row>
    <row r="138" spans="2:11" x14ac:dyDescent="0.25">
      <c r="B138" s="229" t="s">
        <v>167</v>
      </c>
      <c r="C138" s="233">
        <f>MIN(-X_ail,-X_ail+m_ail-p_ail-n_ail)-Long_tot/30</f>
        <v>-1883.5</v>
      </c>
      <c r="D138" s="243">
        <f>-D_ail/2-E_ail/2</f>
        <v>-130</v>
      </c>
      <c r="E138" s="247"/>
      <c r="K138" s="67"/>
    </row>
    <row r="139" spans="2:11" x14ac:dyDescent="0.25">
      <c r="B139" s="248" t="s">
        <v>163</v>
      </c>
      <c r="C139" s="235">
        <f>MIN(-X_ail,-X_ail+m_ail-p_ail-n_ail)-Long_tot/30</f>
        <v>-1883.5</v>
      </c>
      <c r="D139" s="244">
        <f>-D_ail/2</f>
        <v>-50</v>
      </c>
      <c r="E139" s="247"/>
      <c r="K139" s="67"/>
    </row>
    <row r="140" spans="2:11" x14ac:dyDescent="0.25">
      <c r="B140" s="226" t="str">
        <f>IF(Lang="Français","Emplanture","Root edge")</f>
        <v>Emplanture</v>
      </c>
      <c r="C140" s="231">
        <f>-X_ail+m_ail</f>
        <v>-1505</v>
      </c>
      <c r="D140" s="242">
        <f>D_ail/2+E_ail+Long_tot/20</f>
        <v>297.75</v>
      </c>
      <c r="E140" s="247"/>
      <c r="K140" s="67"/>
    </row>
    <row r="141" spans="2:11" x14ac:dyDescent="0.25">
      <c r="B141" s="229" t="s">
        <v>169</v>
      </c>
      <c r="C141" s="233">
        <f>-X_ail+m_ail/2</f>
        <v>-1630</v>
      </c>
      <c r="D141" s="243">
        <f>D_ail/2+E_ail+Long_tot/20</f>
        <v>297.75</v>
      </c>
      <c r="E141" s="247"/>
      <c r="K141" s="67"/>
    </row>
    <row r="142" spans="2:11" x14ac:dyDescent="0.25">
      <c r="B142" s="248" t="s">
        <v>170</v>
      </c>
      <c r="C142" s="235">
        <f>-X_ail</f>
        <v>-1755</v>
      </c>
      <c r="D142" s="244">
        <f>D_ail/2+E_ail+Long_tot/20</f>
        <v>297.75</v>
      </c>
      <c r="E142" s="247"/>
      <c r="K142" s="67"/>
    </row>
    <row r="143" spans="2:11" x14ac:dyDescent="0.25">
      <c r="B143" s="226" t="str">
        <f>IF(p_ail&lt;&gt;0,IF(Lang="Français","Flèche","Offset"),"")</f>
        <v>Flèche</v>
      </c>
      <c r="C143" s="231">
        <f>-X_ail+m_ail</f>
        <v>-1505</v>
      </c>
      <c r="D143" s="242">
        <f>-D_ail/2-E_ail-Long_tot/30</f>
        <v>-268.5</v>
      </c>
      <c r="E143" s="247"/>
      <c r="K143" s="67"/>
    </row>
    <row r="144" spans="2:11" x14ac:dyDescent="0.25">
      <c r="B144" s="229" t="s">
        <v>166</v>
      </c>
      <c r="C144" s="233">
        <f>-X_ail+m_ail-p_ail/2</f>
        <v>-1605</v>
      </c>
      <c r="D144" s="243">
        <f>-D_ail/2-E_ail-Long_tot/30</f>
        <v>-268.5</v>
      </c>
      <c r="E144" s="247"/>
      <c r="K144" s="67"/>
    </row>
    <row r="145" spans="2:11" x14ac:dyDescent="0.25">
      <c r="B145" s="248" t="s">
        <v>164</v>
      </c>
      <c r="C145" s="235">
        <f>-X_ail+m_ail-p_ail</f>
        <v>-1705</v>
      </c>
      <c r="D145" s="244">
        <f>-D_ail/2-E_ail-Long_tot/30</f>
        <v>-268.5</v>
      </c>
      <c r="E145" s="247"/>
      <c r="K145" s="67"/>
    </row>
    <row r="146" spans="2:11" x14ac:dyDescent="0.25">
      <c r="B146" s="226" t="str">
        <f>IF(n_ail&gt;0,IF(Lang="Français","Saumon","Tip edge"),"")</f>
        <v>Saumon</v>
      </c>
      <c r="C146" s="231">
        <f>-X_ail+m_ail-p_ail</f>
        <v>-1705</v>
      </c>
      <c r="D146" s="242">
        <f>-D_ail/2-E_ail-Long_tot/20</f>
        <v>-297.75</v>
      </c>
      <c r="E146" s="247"/>
      <c r="K146" s="67"/>
    </row>
    <row r="147" spans="2:11" x14ac:dyDescent="0.25">
      <c r="B147" s="229" t="s">
        <v>168</v>
      </c>
      <c r="C147" s="233">
        <f>-X_ail+m_ail-p_ail-n_ail/2</f>
        <v>-1765</v>
      </c>
      <c r="D147" s="243">
        <f>-D_ail/2-E_ail-Long_tot/20</f>
        <v>-297.75</v>
      </c>
      <c r="E147" s="247"/>
      <c r="K147" s="67"/>
    </row>
    <row r="148" spans="2:11" x14ac:dyDescent="0.25">
      <c r="B148" s="248" t="s">
        <v>165</v>
      </c>
      <c r="C148" s="235">
        <f>-X_ail+m_ail-p_ail-n_ail</f>
        <v>-1825</v>
      </c>
      <c r="D148" s="244">
        <f>-D_ail/2-E_ail-Long_tot/20</f>
        <v>-297.75</v>
      </c>
      <c r="E148" s="247"/>
      <c r="K148" s="67"/>
    </row>
    <row r="149" spans="2:11" x14ac:dyDescent="0.25">
      <c r="B149" s="217" t="s">
        <v>83</v>
      </c>
      <c r="C149" s="231">
        <f ca="1">-XcgPlein</f>
        <v>-1225.6651898184348</v>
      </c>
      <c r="D149" s="242">
        <v>0</v>
      </c>
      <c r="E149" s="121"/>
      <c r="K149" s="67"/>
    </row>
    <row r="150" spans="2:11" x14ac:dyDescent="0.25">
      <c r="B150" s="221" t="s">
        <v>84</v>
      </c>
      <c r="C150" s="235">
        <f ca="1">-XcgVide</f>
        <v>-1170.0203361693295</v>
      </c>
      <c r="D150" s="244">
        <v>0</v>
      </c>
      <c r="E150" s="121"/>
      <c r="K150" s="67"/>
    </row>
    <row r="151" spans="2:11" x14ac:dyDescent="0.25">
      <c r="B151" s="217" t="s">
        <v>85</v>
      </c>
      <c r="C151" s="231">
        <f>-XCp</f>
        <v>-1504.0933911209454</v>
      </c>
      <c r="D151" s="242">
        <v>0</v>
      </c>
      <c r="E151" s="121"/>
      <c r="K151" s="67"/>
    </row>
    <row r="152" spans="2:11" x14ac:dyDescent="0.25">
      <c r="B152" s="221" t="s">
        <v>85</v>
      </c>
      <c r="C152" s="235">
        <f>-XCp</f>
        <v>-1504.0933911209454</v>
      </c>
      <c r="D152" s="244">
        <f>Cn*D_ref/CritCnmin</f>
        <v>148.02052364697087</v>
      </c>
      <c r="E152" s="121"/>
      <c r="K152" s="67"/>
    </row>
    <row r="153" spans="2:11" x14ac:dyDescent="0.25">
      <c r="B153" s="219" t="s">
        <v>424</v>
      </c>
      <c r="C153" s="233">
        <f>-XCp0</f>
        <v>-1504.0933911209454</v>
      </c>
      <c r="D153" s="243">
        <f>Cn0*D_ref/CritCnmin</f>
        <v>148.02052364697087</v>
      </c>
      <c r="E153" s="121"/>
      <c r="K153" s="67"/>
    </row>
    <row r="154" spans="2:11" x14ac:dyDescent="0.25">
      <c r="B154" s="219" t="s">
        <v>424</v>
      </c>
      <c r="C154" s="233">
        <f>-XCp0</f>
        <v>-1504.0933911209454</v>
      </c>
      <c r="D154" s="243">
        <v>0</v>
      </c>
      <c r="E154" s="121"/>
      <c r="K154" s="67"/>
    </row>
    <row r="155" spans="2:11" x14ac:dyDescent="0.25">
      <c r="B155" s="226" t="str">
        <f>IF(n_ail&gt;0,IF(Lang="Français","Marge Statique","Static Margin"),"")</f>
        <v>Marge Statique</v>
      </c>
      <c r="C155" s="231">
        <f ca="1">(-XcgPlein-XcgVide)/2</f>
        <v>-1197.8427629938822</v>
      </c>
      <c r="D155" s="242">
        <f>-D_ail/2-E_ail-Long_tot/20</f>
        <v>-297.75</v>
      </c>
      <c r="E155" s="121"/>
      <c r="K155" s="67"/>
    </row>
    <row r="156" spans="2:11" x14ac:dyDescent="0.25">
      <c r="B156" s="229" t="s">
        <v>171</v>
      </c>
      <c r="C156" s="233">
        <f ca="1">(C155+C157)/2</f>
        <v>-1350.9680770574137</v>
      </c>
      <c r="D156" s="243">
        <f>-D_ail/2-E_ail-Long_tot/20</f>
        <v>-297.75</v>
      </c>
      <c r="E156" s="121"/>
      <c r="K156" s="67"/>
    </row>
    <row r="157" spans="2:11" x14ac:dyDescent="0.25">
      <c r="B157" s="248" t="s">
        <v>172</v>
      </c>
      <c r="C157" s="235">
        <f>-XCp</f>
        <v>-1504.0933911209454</v>
      </c>
      <c r="D157" s="244">
        <f>-D_ail/2-E_ail-Long_tot/20</f>
        <v>-297.75</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-1843.25</v>
      </c>
      <c r="D168" s="67">
        <f>MAX(E_ail+D_ail/2, Long_tot/3)</f>
        <v>585</v>
      </c>
      <c r="E168" s="121"/>
      <c r="K168" s="67"/>
    </row>
    <row r="169" spans="2:11" x14ac:dyDescent="0.25">
      <c r="B169" s="66" t="s">
        <v>94</v>
      </c>
      <c r="C169" s="67">
        <f>C168</f>
        <v>-1843.25</v>
      </c>
      <c r="D169" s="67">
        <f>-D168</f>
        <v>-585</v>
      </c>
      <c r="E169" s="121"/>
      <c r="K169" s="67"/>
    </row>
    <row r="170" spans="2:11" x14ac:dyDescent="0.25">
      <c r="B170" s="217" t="s">
        <v>95</v>
      </c>
      <c r="C170" s="231">
        <f ca="1">-XpropuRef+Long_propu</f>
        <v>-1269</v>
      </c>
      <c r="D170" s="242">
        <f ca="1">-Diam_propu/2</f>
        <v>-37.5</v>
      </c>
      <c r="E170" s="121"/>
      <c r="K170" s="67"/>
    </row>
    <row r="171" spans="2:11" x14ac:dyDescent="0.25">
      <c r="B171" s="219" t="s">
        <v>96</v>
      </c>
      <c r="C171" s="233">
        <f ca="1">-XpropuRef+Long_propu</f>
        <v>-1269</v>
      </c>
      <c r="D171" s="243">
        <f ca="1">Diam_propu/2</f>
        <v>37.5</v>
      </c>
      <c r="E171" s="121"/>
      <c r="K171" s="67"/>
    </row>
    <row r="172" spans="2:11" x14ac:dyDescent="0.25">
      <c r="B172" s="219" t="s">
        <v>97</v>
      </c>
      <c r="C172" s="233">
        <f>-XpropuRef</f>
        <v>-1755</v>
      </c>
      <c r="D172" s="243">
        <f ca="1">Diam_propu/2</f>
        <v>37.5</v>
      </c>
      <c r="E172" s="121"/>
      <c r="K172" s="67"/>
    </row>
    <row r="173" spans="2:11" x14ac:dyDescent="0.25">
      <c r="B173" s="219" t="s">
        <v>98</v>
      </c>
      <c r="C173" s="233">
        <f>-XpropuRef</f>
        <v>-1755</v>
      </c>
      <c r="D173" s="243">
        <f ca="1">-Diam_propu/2</f>
        <v>-37.5</v>
      </c>
      <c r="E173" s="121"/>
      <c r="K173" s="67"/>
    </row>
    <row r="174" spans="2:11" x14ac:dyDescent="0.25">
      <c r="B174" s="221" t="s">
        <v>99</v>
      </c>
      <c r="C174" s="235">
        <f ca="1">-XpropuRef+Long_propu</f>
        <v>-1269</v>
      </c>
      <c r="D174" s="244">
        <f ca="1">-Diam_propu/2</f>
        <v>-37.5</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2.784282013025106</v>
      </c>
      <c r="C190" s="238">
        <f>Cn</f>
        <v>22.203078547045632</v>
      </c>
      <c r="D190" s="219">
        <v>3</v>
      </c>
      <c r="E190" s="240">
        <f t="shared" si="4"/>
        <v>33.333333333333336</v>
      </c>
      <c r="K190" s="66"/>
    </row>
    <row r="191" spans="2:11" x14ac:dyDescent="0.25">
      <c r="B191" s="601">
        <f ca="1">(XCp0-XcgPlein)/D_ref</f>
        <v>2.784282013025106</v>
      </c>
      <c r="C191" s="602">
        <f>Cn0</f>
        <v>22.203078547045632</v>
      </c>
      <c r="D191" s="219">
        <v>4</v>
      </c>
      <c r="E191" s="240">
        <f t="shared" si="4"/>
        <v>25</v>
      </c>
      <c r="K191" s="66"/>
    </row>
    <row r="192" spans="2:11" x14ac:dyDescent="0.25">
      <c r="B192" s="601">
        <f ca="1">(XCp0-XcgVide)/D_ref</f>
        <v>3.3407305495161586</v>
      </c>
      <c r="C192" s="602">
        <f>Cn0</f>
        <v>22.203078547045632</v>
      </c>
      <c r="D192" s="219">
        <v>6</v>
      </c>
      <c r="E192" s="240">
        <f t="shared" si="4"/>
        <v>16.666666666666668</v>
      </c>
      <c r="K192" s="66"/>
    </row>
    <row r="193" spans="2:11" x14ac:dyDescent="0.25">
      <c r="B193" s="601">
        <f ca="1">(XCp-XcgVide)/D_ref</f>
        <v>3.3407305495161586</v>
      </c>
      <c r="C193" s="602">
        <f>Cn</f>
        <v>22.203078547045632</v>
      </c>
      <c r="D193" s="221">
        <v>7</v>
      </c>
      <c r="E193" s="241">
        <f t="shared" si="4"/>
        <v>14.285714285714286</v>
      </c>
      <c r="K193" s="66"/>
    </row>
    <row r="194" spans="2:11" x14ac:dyDescent="0.25">
      <c r="B194" s="601">
        <f ca="1">MS_min</f>
        <v>2.784282013025106</v>
      </c>
      <c r="C194" s="603">
        <f>Cn</f>
        <v>22.203078547045632</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6:D26"/>
    <mergeCell ref="C18:D18"/>
    <mergeCell ref="C19:D19"/>
    <mergeCell ref="O23:P23"/>
    <mergeCell ref="O24:P24"/>
    <mergeCell ref="C22:D22"/>
    <mergeCell ref="C21:D21"/>
    <mergeCell ref="C23:D23"/>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B1" zoomScaleNormal="100" workbookViewId="0">
      <selection activeCell="C33" sqref="C33"/>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35" t="s">
        <v>0</v>
      </c>
      <c r="D2" s="735"/>
      <c r="E2" s="3"/>
      <c r="F2" s="4"/>
      <c r="G2" s="3"/>
      <c r="H2" s="3"/>
      <c r="I2" s="3"/>
      <c r="J2" s="5"/>
      <c r="K2" s="3"/>
      <c r="L2" s="3"/>
      <c r="M2" s="3"/>
      <c r="N2" s="78"/>
    </row>
    <row r="3" spans="1:14" ht="12.75" customHeight="1" x14ac:dyDescent="0.25">
      <c r="A3" s="77"/>
      <c r="B3" s="2"/>
      <c r="C3" s="735"/>
      <c r="D3" s="735"/>
      <c r="E3" s="6"/>
      <c r="F3" s="6"/>
      <c r="G3" s="6"/>
      <c r="H3" s="7"/>
      <c r="I3" s="6"/>
      <c r="J3" s="5"/>
      <c r="K3" s="3"/>
      <c r="L3" s="3"/>
      <c r="M3" s="3"/>
      <c r="N3" s="78"/>
    </row>
    <row r="4" spans="1:14" ht="12.75" customHeight="1" x14ac:dyDescent="0.25">
      <c r="A4" s="77"/>
      <c r="B4" s="2"/>
      <c r="C4" s="738" t="str">
        <f>IF(Lang="Français","Trajectographie de fusée",IF(Lang="English","Rocket Trajectography",""))</f>
        <v>Trajectographie de fusée</v>
      </c>
      <c r="D4" s="738"/>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37" t="str">
        <f>IF(Lang="Français","Remplir les cases jaunes",IF(Lang="English","Fill-in yellow cells only",""))</f>
        <v>Remplir les cases jaunes</v>
      </c>
      <c r="D6" s="737"/>
      <c r="E6" s="6"/>
      <c r="F6" s="6"/>
      <c r="G6" s="3"/>
      <c r="H6" s="3"/>
      <c r="I6" s="6"/>
      <c r="J6" s="5"/>
      <c r="K6" s="3"/>
      <c r="L6" s="3"/>
      <c r="M6" s="3"/>
      <c r="N6" s="78"/>
    </row>
    <row r="7" spans="1:14" x14ac:dyDescent="0.25">
      <c r="A7" s="77"/>
      <c r="B7" s="8"/>
      <c r="C7" s="717" t="str">
        <f>IF(Lang="Français","Fusée",IF(Lang="English","Rocket",""))</f>
        <v>Fusée</v>
      </c>
      <c r="D7" s="717"/>
      <c r="E7" s="6"/>
      <c r="F7" s="6"/>
      <c r="G7" s="3"/>
      <c r="H7" s="3"/>
      <c r="I7" s="6"/>
      <c r="J7" s="3"/>
      <c r="K7" s="3"/>
      <c r="L7" s="3"/>
      <c r="M7" s="3"/>
      <c r="N7" s="79"/>
    </row>
    <row r="8" spans="1:14" ht="12.75" customHeight="1" x14ac:dyDescent="0.3">
      <c r="A8" s="77"/>
      <c r="B8" s="173" t="str">
        <f>IF(Lang="Français","Nom",IF(Lang="English","Name",""))</f>
        <v>Nom</v>
      </c>
      <c r="C8" s="736" t="str">
        <f>Nom</f>
        <v>Indra</v>
      </c>
      <c r="D8" s="736"/>
      <c r="E8" s="7"/>
      <c r="F8" s="7"/>
      <c r="G8" s="3"/>
      <c r="H8" s="3"/>
      <c r="I8" s="6"/>
      <c r="J8" s="5"/>
      <c r="K8" s="3"/>
      <c r="L8" s="3"/>
      <c r="M8" s="3"/>
      <c r="N8" s="78"/>
    </row>
    <row r="9" spans="1:14" ht="12.75" customHeight="1" x14ac:dyDescent="0.3">
      <c r="A9" s="80"/>
      <c r="B9" s="173" t="s">
        <v>4</v>
      </c>
      <c r="C9" s="736" t="str">
        <f>Club</f>
        <v>Space'Tech Orléans</v>
      </c>
      <c r="D9" s="736"/>
      <c r="E9" s="6"/>
      <c r="F9" s="27"/>
      <c r="G9" s="3"/>
      <c r="H9" s="3"/>
      <c r="I9" s="6"/>
      <c r="J9" s="3"/>
      <c r="K9" s="3"/>
      <c r="L9" s="3"/>
      <c r="M9" s="3"/>
      <c r="N9" s="79"/>
    </row>
    <row r="10" spans="1:14" ht="12.75" customHeight="1" x14ac:dyDescent="0.25">
      <c r="A10" s="80"/>
      <c r="B10" s="173" t="str">
        <f>IF(Lang="Français","Masse totale",IF(Lang="English","Total Mass",""))</f>
        <v>Masse totale</v>
      </c>
      <c r="C10" s="712">
        <f ca="1">MassePlein</f>
        <v>11.510999999999999</v>
      </c>
      <c r="D10" s="712"/>
      <c r="E10" s="6"/>
      <c r="F10" s="27"/>
      <c r="G10" s="3"/>
      <c r="H10" s="3"/>
      <c r="I10" s="6"/>
      <c r="J10" s="3"/>
      <c r="K10" s="3"/>
      <c r="L10" s="3"/>
      <c r="M10" s="3"/>
      <c r="N10" s="79"/>
    </row>
    <row r="11" spans="1:14" ht="12.75" customHeight="1" x14ac:dyDescent="0.25">
      <c r="A11" s="80"/>
      <c r="B11" s="266" t="str">
        <f>IF(Lang="Français","Propulseur",IF(Lang="English","Motor",""))</f>
        <v>Propulseur</v>
      </c>
      <c r="C11" s="715" t="str">
        <f>Propu</f>
        <v>Orignal (Pro75-3G C)</v>
      </c>
      <c r="D11" s="716"/>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17" t="str">
        <f>IF(Lang="Français","Traînée Aérdynamique",IF(Lang="English","Drag",""))</f>
        <v>Traînée Aérdynamique</v>
      </c>
      <c r="D13" s="717"/>
      <c r="E13" s="6"/>
      <c r="F13" s="3"/>
      <c r="G13" s="3"/>
      <c r="H13" s="3"/>
      <c r="I13" s="6"/>
      <c r="J13" s="3"/>
      <c r="K13" s="3"/>
      <c r="L13" s="3"/>
      <c r="M13" s="3"/>
      <c r="N13" s="79"/>
    </row>
    <row r="14" spans="1:14" ht="12.75" customHeight="1" x14ac:dyDescent="0.25">
      <c r="A14" s="80"/>
      <c r="B14" s="173" t="s">
        <v>41</v>
      </c>
      <c r="C14" s="718">
        <f>(PI()*D_ref^2/4+E_ail*ep_ail*Q_ail)/10^6</f>
        <v>9.1339816339744834E-3</v>
      </c>
      <c r="D14" s="718"/>
      <c r="E14" s="6"/>
      <c r="F14" s="3"/>
      <c r="G14" s="3"/>
      <c r="H14" s="3"/>
      <c r="I14" s="6"/>
      <c r="J14" s="3"/>
      <c r="K14" s="3"/>
      <c r="L14" s="3"/>
      <c r="M14" s="3"/>
      <c r="N14" s="79"/>
    </row>
    <row r="15" spans="1:14" ht="12.75" customHeight="1" x14ac:dyDescent="0.25">
      <c r="A15" s="80"/>
      <c r="B15" s="174" t="s">
        <v>5</v>
      </c>
      <c r="C15" s="710">
        <v>0.5</v>
      </c>
      <c r="D15" s="711"/>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17" t="str">
        <f>IF(Lang="Français","Rampe de Lancement",IF(Lang="English","Launch Pad",""))</f>
        <v>Rampe de Lancement</v>
      </c>
      <c r="D17" s="717"/>
      <c r="E17" s="6"/>
      <c r="F17" s="3"/>
      <c r="G17" s="3"/>
      <c r="H17" s="3"/>
      <c r="I17" s="6"/>
      <c r="J17" s="3"/>
      <c r="K17" s="3"/>
      <c r="L17" s="3"/>
      <c r="M17" s="3"/>
      <c r="N17" s="79"/>
    </row>
    <row r="18" spans="1:18" ht="12.75" customHeight="1" x14ac:dyDescent="0.25">
      <c r="A18" s="80"/>
      <c r="B18" s="173" t="str">
        <f>IF(Lang="Français","Longueur",IF(Lang="English","Length",""))</f>
        <v>Longueur</v>
      </c>
      <c r="C18" s="714">
        <f>IF(RIGHT(Type_fusee,1)=".",4, IF(LEFT(Type_fusee,4)="Mini",2.5, IF(LEFT(Type_fusee,5)="Micro",1, IF(RIGHT(Type_fusee,1)=" ",0.1,IF(LEFT(Type_fusee,1)="R",3, 2.5)))))</f>
        <v>4</v>
      </c>
      <c r="D18" s="714"/>
      <c r="E18" s="6"/>
      <c r="F18" s="3"/>
      <c r="G18" s="3"/>
      <c r="H18" s="3"/>
      <c r="I18" s="6"/>
      <c r="J18" s="3"/>
      <c r="K18" s="3"/>
      <c r="L18" s="3"/>
      <c r="M18" s="3"/>
      <c r="N18" s="79"/>
    </row>
    <row r="19" spans="1:18" ht="12.75" customHeight="1" x14ac:dyDescent="0.25">
      <c r="A19" s="80"/>
      <c r="B19" s="173" t="str">
        <f>IF(Lang="Français","Élévation",IF(Lang="English","Angle /horizon",""))</f>
        <v>Élévation</v>
      </c>
      <c r="C19" s="713">
        <v>80</v>
      </c>
      <c r="D19" s="713"/>
      <c r="E19" s="6"/>
      <c r="F19" s="3"/>
      <c r="G19" s="3"/>
      <c r="H19" s="3"/>
      <c r="I19" s="6"/>
      <c r="J19" s="3"/>
      <c r="K19" s="3"/>
      <c r="L19" s="3"/>
      <c r="M19" s="3"/>
      <c r="N19" s="79"/>
    </row>
    <row r="20" spans="1:18" ht="12.75" customHeight="1" x14ac:dyDescent="0.25">
      <c r="A20" s="80"/>
      <c r="B20" s="173" t="s">
        <v>6</v>
      </c>
      <c r="C20" s="714">
        <v>0</v>
      </c>
      <c r="D20" s="714"/>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9" t="str">
        <f>IF(Lang="Français","DescenteSousParachute",IF(Lang="English","Over Parachute",""))</f>
        <v>DescenteSousParachute</v>
      </c>
      <c r="D22" s="720"/>
      <c r="E22" s="3"/>
      <c r="F22" s="10"/>
      <c r="G22" s="71">
        <f ca="1">TODAY()</f>
        <v>44889</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21" t="str">
        <f>IF(Lang="Français","Sortie de Rampe",IF(Lang="English","Launch-Pad Exit",""))</f>
        <v>Sortie de Rampe</v>
      </c>
      <c r="G23" s="722"/>
      <c r="H23" s="580"/>
      <c r="I23" s="580"/>
      <c r="J23" s="580"/>
      <c r="K23" s="581">
        <f ca="1">INDEX(vit_xz,MATCH("Sortie de rampe",Event,0))</f>
        <v>25.506964236345102</v>
      </c>
      <c r="L23" s="582"/>
      <c r="M23" s="589"/>
      <c r="N23" s="79"/>
    </row>
    <row r="24" spans="1:18" x14ac:dyDescent="0.25">
      <c r="A24" s="80"/>
      <c r="B24" s="550" t="str">
        <f>IF(Lang="Français","Masse",IF(Lang="English","Mass",""))</f>
        <v>Masse</v>
      </c>
      <c r="C24" s="551">
        <f ca="1">IF(Nb_sat="0 satellite",MasseVide,MasseVide-m_satellite)</f>
        <v>9.6379999999999999</v>
      </c>
      <c r="D24" s="568">
        <f>IF(RIGHT(Type_fusee,1)=".",1,0.15)</f>
        <v>1</v>
      </c>
      <c r="E24" s="28" t="str">
        <f>IF(ABS(T_satellite-0.11-T_para)&lt;0.1,"Pb!","")</f>
        <v/>
      </c>
      <c r="F24" s="724" t="str">
        <f>IF(Lang="Français","Vit max &amp; Acc max",IF(Lang="English","Max Velocity &amp; Acc",""))</f>
        <v>Vit max &amp; Acc max</v>
      </c>
      <c r="G24" s="704"/>
      <c r="H24" s="144"/>
      <c r="I24" s="144"/>
      <c r="J24" s="144"/>
      <c r="K24" s="191">
        <f ca="1">MAX(vit_xz)</f>
        <v>270.96071788369483</v>
      </c>
      <c r="L24" s="583">
        <f ca="1">MAX(acc_xz)</f>
        <v>101.86137509858887</v>
      </c>
      <c r="M24" s="589"/>
      <c r="N24" s="79"/>
    </row>
    <row r="25" spans="1:18" x14ac:dyDescent="0.25">
      <c r="A25" s="80"/>
      <c r="B25" s="554" t="str">
        <f>IF(Lang="Français","Dépotage",IF(Lang="English","Delay",""))</f>
        <v>Dépotage</v>
      </c>
      <c r="C25" s="594" t="s">
        <v>409</v>
      </c>
      <c r="D25" s="567"/>
      <c r="E25" s="3"/>
      <c r="F25" s="725" t="str">
        <f>IF(Lang="Français","Largage du satellite",IF(Lang="English","Satellite separation",""))</f>
        <v>Largage du satellite</v>
      </c>
      <c r="G25" s="706"/>
      <c r="H25" s="185">
        <f>IF(T_satellite&lt;&gt;0,T_satellite,"")</f>
        <v>3.5</v>
      </c>
      <c r="I25" s="189">
        <f ca="1">IF(T_satellite&lt;&gt;0,INDEX(pos_z,MATCH("Satellite",Event_sat,0)),"")</f>
        <v>454.28750758038581</v>
      </c>
      <c r="J25" s="187">
        <f ca="1">IF(T_satellite&lt;&gt;0,INDEX(pos_x,MATCH("Satellite",Event_sat,0)),"")</f>
        <v>100.91608742047653</v>
      </c>
      <c r="K25" s="192">
        <f ca="1">IF(T_satellite&lt;&gt;0,INDEX(vit_xz,MATCH("Satellite",Event_sat,0)),"")</f>
        <v>242.08934845286078</v>
      </c>
      <c r="L25" s="584"/>
      <c r="M25" s="573">
        <f ca="1">1/2*Rho_moyen*1*V_ouv_sat^2*S_satellite</f>
        <v>3589.6942238527527</v>
      </c>
      <c r="N25" s="79"/>
    </row>
    <row r="26" spans="1:18" x14ac:dyDescent="0.25">
      <c r="A26" s="80"/>
      <c r="B26" s="552" t="str">
        <f>IF(Lang="Français","Ouverture para",IF(Lang="English","Opening time",""))</f>
        <v>Ouverture para</v>
      </c>
      <c r="C26" s="596">
        <v>21</v>
      </c>
      <c r="D26" s="553">
        <v>3.5</v>
      </c>
      <c r="E26" s="3"/>
      <c r="F26" s="724" t="s">
        <v>15</v>
      </c>
      <c r="G26" s="704"/>
      <c r="H26" s="186">
        <f ca="1">INDEX(t,MATCH("Apogée",Event,0))</f>
        <v>22.899999999999995</v>
      </c>
      <c r="I26" s="190">
        <f ca="1">INDEX(pos_z,MATCH("Apogée",Event,0))</f>
        <v>2700.4335922476339</v>
      </c>
      <c r="J26" s="188">
        <f ca="1">INDEX(pos_x,MATCH("Apogée",Event,0))</f>
        <v>1003.4770455773444</v>
      </c>
      <c r="K26" s="193">
        <f ca="1">INDEX(vit_xz,MATCH("Apogée",Event,0))</f>
        <v>37.758352365630969</v>
      </c>
      <c r="L26" s="585"/>
      <c r="M26" s="589"/>
      <c r="N26" s="79"/>
    </row>
    <row r="27" spans="1:18" x14ac:dyDescent="0.25">
      <c r="A27" s="80"/>
      <c r="B27" s="174" t="s">
        <v>9</v>
      </c>
      <c r="C27" s="263">
        <f>S_para_rond</f>
        <v>3.1101767270538949</v>
      </c>
      <c r="D27" s="26">
        <f>IF(RIGHT(Type_fusee,1)=".",0.1,0.02)</f>
        <v>0.1</v>
      </c>
      <c r="E27" s="3"/>
      <c r="F27" s="723" t="str">
        <f>IF(Lang="Français","Ouverture parachute fusée",IF(Lang="English","Rocket parachute opening",""))</f>
        <v>Ouverture parachute fusée</v>
      </c>
      <c r="G27" s="709"/>
      <c r="H27" s="185">
        <f>T_para</f>
        <v>21</v>
      </c>
      <c r="I27" s="189">
        <f ca="1">INDEX(pos_z,MATCH("Para",Event_para,0))</f>
        <v>2682.0954118470786</v>
      </c>
      <c r="J27" s="574">
        <f ca="1">INDEX(pos_x,MATCH("Para",Event_para,0))</f>
        <v>931.14859175539277</v>
      </c>
      <c r="K27" s="192">
        <f ca="1">INDEX(vit_xz,MATCH("Para",Event_para,0))</f>
        <v>42.876454087975517</v>
      </c>
      <c r="L27" s="584"/>
      <c r="M27" s="573">
        <f ca="1">1/2*Rho_moyen*1*V_ouverture^2*S_para</f>
        <v>3502.102748736002</v>
      </c>
      <c r="N27" s="79"/>
      <c r="P27" s="566" t="str">
        <f ca="1">IF(V_para&lt;5, IF(Lang="Français","Parachute fusée trop grand !","Parachute too big!"), IF( V_para&gt;15, IF(Lang="Français","Parachute fusée trop petit !","Parachute too small!"), ""))</f>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28" t="str">
        <f>IF(Lang="Français","Impact balistique",IF(Lang="English","Balistic Impact",""))</f>
        <v>Impact balistique</v>
      </c>
      <c r="G28" s="729"/>
      <c r="H28" s="586">
        <f ca="1">INDEX(t,MATCH("Impact balistique",Event,0))</f>
        <v>49.300000000000367</v>
      </c>
      <c r="I28" s="607" t="s">
        <v>430</v>
      </c>
      <c r="J28" s="575">
        <f ca="1">INDEX(pos_x,MATCH("Impact balistique",Event,0))</f>
        <v>1781.6275394582099</v>
      </c>
      <c r="K28" s="590">
        <f ca="1">K45</f>
        <v>167.82102002203158</v>
      </c>
      <c r="L28" s="587"/>
      <c r="M28" s="591">
        <f ca="1">0.5*m_vide*K28^2</f>
        <v>135721.80885439206</v>
      </c>
      <c r="N28" s="79"/>
      <c r="P28" s="566" t="str">
        <f ca="1">IF( OR( V_para&lt;5, V_para&gt;15, AND(Nb_sat="1 satellite", OR(V_satellite&lt;5, V_satellite&gt;15))), IF(Lang="Français","La Vitesse de descente sous parachute doit être comprise entre 5 &amp; 15 m/s.","Fall Velocity with parachute must be between 5 &amp; 15 m/s."), "")</f>
        <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7.0450225005735021</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380.70785602583129</v>
      </c>
      <c r="D31" s="165">
        <f ca="1">IF(V_satellite&lt;&gt;0,Alt_sat/V_satellite,0)</f>
        <v>35.896271158480019</v>
      </c>
      <c r="E31" s="3"/>
      <c r="F31" s="3"/>
      <c r="G31" s="3"/>
      <c r="H31" s="730" t="str">
        <f>IF(Lang="Français","Pour localiser la fusée","To locate the rocket")</f>
        <v>Pour localiser la fusée</v>
      </c>
      <c r="I31" s="730"/>
      <c r="J31" s="570"/>
      <c r="L31" s="3"/>
      <c r="M31" s="3"/>
      <c r="N31" s="456"/>
      <c r="P31" s="566" t="str">
        <f ca="1">IF(Temps_culmi-T_para&gt;2,IF(Lang="Français","Ouverture parachute fusée précoce.","Early rocket parachute opening."),IF(Temps_culmi-T_para&lt;-2,IF(Lang="Français","Ouverture parachute fusée tardive.","Late rocket parachute opening."),""))</f>
        <v/>
      </c>
    </row>
    <row r="32" spans="1:18" x14ac:dyDescent="0.25">
      <c r="A32" s="80"/>
      <c r="B32" s="166" t="str">
        <f>IF(Lang="Français","Durée du vol",IF(Lang="English","Fligth duration",""))</f>
        <v>Durée du vol</v>
      </c>
      <c r="C32" s="165">
        <f ca="1">T_para+Dt_para</f>
        <v>401.70785602583129</v>
      </c>
      <c r="D32" s="165">
        <f ca="1">T_satellite+Dt_satellite</f>
        <v>39.396271158480019</v>
      </c>
      <c r="E32" s="3"/>
      <c r="F32" s="730" t="str">
        <f>IF(Lang="Français","Couleur fuselage/coiffe","Body/Nose color")</f>
        <v>Couleur fuselage/coiffe</v>
      </c>
      <c r="G32" s="730"/>
      <c r="H32" s="726" t="s">
        <v>267</v>
      </c>
      <c r="I32" s="727"/>
      <c r="J32" s="3"/>
      <c r="L32" s="3"/>
      <c r="M32" s="3"/>
      <c r="N32" s="455"/>
      <c r="P32" s="566" t="str">
        <f ca="1">IF(ABS(Temps_culmi-T_para)&gt;2,IF(Lang="Français","Attention, aux efforts sur le parachute lors de l'ouverture !","Becarefull to the opening chute efforts!"),"")</f>
        <v/>
      </c>
    </row>
    <row r="33" spans="1:16" customFormat="1" x14ac:dyDescent="0.25">
      <c r="A33" s="96"/>
      <c r="B33" s="166" t="str">
        <f>IF(Lang="Français","Déport latéral",IF(Lang="English","Lateral shift",""))</f>
        <v>Déport latéral</v>
      </c>
      <c r="C33" s="184">
        <f ca="1">Alt_para*V_vent/V_para</f>
        <v>1903.5392801291562</v>
      </c>
      <c r="D33" s="184">
        <f ca="1">IF(V_satellite&lt;&gt;0,Alt_sat*V_vent_sat/V_satellite,0)</f>
        <v>179.48135579240005</v>
      </c>
      <c r="E33" s="81"/>
      <c r="F33" s="730" t="str">
        <f>IF(Lang="Français","Couleur parachute fusée","Rocket parachute color")</f>
        <v>Couleur parachute fusée</v>
      </c>
      <c r="G33" s="730"/>
      <c r="H33" s="726" t="s">
        <v>268</v>
      </c>
      <c r="I33" s="727"/>
      <c r="J33" s="81"/>
      <c r="K33" s="81"/>
      <c r="L33" s="81"/>
      <c r="M33" s="81"/>
      <c r="N33" s="455" t="str">
        <f>IF(Lang="Français","fichier initial","Initial file")</f>
        <v>fichier initial</v>
      </c>
    </row>
    <row r="34" spans="1:16" x14ac:dyDescent="0.25">
      <c r="A34" s="80"/>
      <c r="B34" s="3"/>
      <c r="C34" s="3"/>
      <c r="D34" s="3"/>
      <c r="E34" s="3"/>
      <c r="F34" s="730" t="str">
        <f>IF(Lang="Français","Couleur parachute satellite","Satellite parachute color")</f>
        <v>Couleur parachute satellite</v>
      </c>
      <c r="G34" s="730"/>
      <c r="H34" s="734" t="s">
        <v>159</v>
      </c>
      <c r="I34" s="73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31" t="str">
        <f>IF(Lang="Français","Calcul de la surface d'un parachute","Parachute surface calculation")</f>
        <v>Calcul de la surface d'un parachute</v>
      </c>
      <c r="B38" s="732"/>
      <c r="C38" s="732"/>
      <c r="D38" s="733"/>
      <c r="F38" s="731" t="str">
        <f>IF(Lang="Français","Résultats détaillés","Detailled results")</f>
        <v>Résultats détaillés</v>
      </c>
      <c r="G38" s="73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03" t="str">
        <f>IF(Lang="Français","Décollage",IF(Lang="English","Lift-Off",""))</f>
        <v>Décollage</v>
      </c>
      <c r="G40" s="703"/>
      <c r="H40" s="183">
        <v>0</v>
      </c>
      <c r="I40" s="183">
        <v>0</v>
      </c>
      <c r="J40" s="183">
        <v>0</v>
      </c>
      <c r="K40" s="183">
        <v>0</v>
      </c>
      <c r="L40" s="181" t="s">
        <v>14</v>
      </c>
      <c r="M40" s="182">
        <f>Beta_rampe</f>
        <v>80</v>
      </c>
    </row>
    <row r="41" spans="1:16" x14ac:dyDescent="0.25">
      <c r="A41" s="194"/>
      <c r="B41" s="3"/>
      <c r="C41" s="3"/>
      <c r="D41" s="195"/>
      <c r="F41" s="704" t="str">
        <f>IF(Lang="Français","Sortie de Rampe",IF(Lang="English","Launch-Pad Exit",""))</f>
        <v>Sortie de Rampe</v>
      </c>
      <c r="G41" s="704"/>
      <c r="H41" s="144">
        <f ca="1">INDEX(t,MATCH("Sortie de rampe",Event,0))</f>
        <v>0.32000000000000012</v>
      </c>
      <c r="I41" s="144">
        <f ca="1">INDEX(pos_z,MATCH("Sortie de rampe",Event,0))</f>
        <v>3.700021084064788</v>
      </c>
      <c r="J41" s="144">
        <f ca="1">INDEX(pos_x,MATCH("Sortie de rampe",Event,0))</f>
        <v>0.6523766958250371</v>
      </c>
      <c r="K41" s="145">
        <f ca="1">INDEX(vit_xz,MATCH("Sortie de rampe",Event,0))</f>
        <v>25.506964236345102</v>
      </c>
      <c r="L41" s="146">
        <f ca="1">INDEX(acc_xz,MATCH("Sortie de rampe",Event,0))</f>
        <v>81.855902294334768</v>
      </c>
      <c r="M41" s="146">
        <f ca="1">INDEX(BetaD,MATCH("Sortie de rampe",Event,0))</f>
        <v>80</v>
      </c>
    </row>
    <row r="42" spans="1:16" x14ac:dyDescent="0.25">
      <c r="A42" s="194"/>
      <c r="B42" s="199" t="str">
        <f>IF(Lang="Français","Longeur du bord","Side length")</f>
        <v>Longeur du bord</v>
      </c>
      <c r="C42" s="3"/>
      <c r="D42" s="195"/>
      <c r="F42" s="704" t="str">
        <f>IF(Lang="Français","Vit max &amp; Acc max",IF(Lang="English","Max Velocity &amp; Acc",""))</f>
        <v>Vit max &amp; Acc max</v>
      </c>
      <c r="G42" s="704"/>
      <c r="H42" s="144" t="s">
        <v>14</v>
      </c>
      <c r="I42" s="144" t="s">
        <v>14</v>
      </c>
      <c r="J42" s="144" t="s">
        <v>14</v>
      </c>
      <c r="K42" s="147">
        <f ca="1">MAX(vit_xz)</f>
        <v>270.96071788369483</v>
      </c>
      <c r="L42" s="148">
        <f ca="1">MAX(acc_xz)</f>
        <v>101.86137509858887</v>
      </c>
      <c r="M42" s="145" t="s">
        <v>14</v>
      </c>
    </row>
    <row r="43" spans="1:16" x14ac:dyDescent="0.25">
      <c r="A43" s="194"/>
      <c r="B43" s="200">
        <v>400</v>
      </c>
      <c r="C43" s="3"/>
      <c r="D43" s="195"/>
      <c r="F43" s="704" t="str">
        <f>IF(Lang="Français","Fin de Propulsion",IF(Lang="English","Motor Burn-Out",""))</f>
        <v>Fin de Propulsion</v>
      </c>
      <c r="G43" s="704"/>
      <c r="H43" s="146">
        <f ca="1">INDEX(t,MATCH("Fin de propulsion",Event,0))</f>
        <v>4.6899999999999444</v>
      </c>
      <c r="I43" s="149">
        <f ca="1">INDEX(pos_z,MATCH("Fin de propulsion",Event,0))</f>
        <v>756.72974795122957</v>
      </c>
      <c r="J43" s="149">
        <f ca="1">INDEX(pos_x,MATCH("Fin de propulsion",Event,0))</f>
        <v>174.43673170630342</v>
      </c>
      <c r="K43" s="150">
        <f ca="1">INDEX(vit_xz,MATCH("Fin de propulsion",Event,0))</f>
        <v>266.50346905767259</v>
      </c>
      <c r="L43" s="146">
        <f ca="1">INDEX(acc_xz,MATCH("Fin de propulsion",Event,0))</f>
        <v>28.774734723657808</v>
      </c>
      <c r="M43" s="146">
        <f ca="1">INDEX(BetaD,MATCH("Fin de propulsion",Event,0))</f>
        <v>76.043919392842511</v>
      </c>
    </row>
    <row r="44" spans="1:16" x14ac:dyDescent="0.25">
      <c r="A44" s="194"/>
      <c r="B44" s="199" t="str">
        <f>IF(Lang="Français","Largeur du coté","Side width")</f>
        <v>Largeur du coté</v>
      </c>
      <c r="C44" s="3"/>
      <c r="D44" s="195"/>
      <c r="F44" s="704" t="s">
        <v>15</v>
      </c>
      <c r="G44" s="704"/>
      <c r="H44" s="148">
        <f ca="1">INDEX(t,MATCH("Apogée",Event,0))</f>
        <v>22.899999999999995</v>
      </c>
      <c r="I44" s="147">
        <f ca="1">INDEX(pos_z,MATCH("Apogée",Event,0))</f>
        <v>2700.4335922476339</v>
      </c>
      <c r="J44" s="151">
        <f ca="1">INDEX(pos_x,MATCH("Apogée",Event,0))</f>
        <v>1003.4770455773444</v>
      </c>
      <c r="K44" s="151">
        <f ca="1">INDEX(vit_xz,MATCH("Apogée",Event,0))</f>
        <v>37.758352365630969</v>
      </c>
      <c r="L44" s="145">
        <f ca="1">INDEX(acc_xz,MATCH("Apogée",Event,0))</f>
        <v>9.8255864279993794</v>
      </c>
      <c r="M44" s="152">
        <f ca="1">INDEX(BetaD,MATCH("Apogée",Event,0))</f>
        <v>0.41552203945600263</v>
      </c>
    </row>
    <row r="45" spans="1:16" x14ac:dyDescent="0.25">
      <c r="A45" s="194"/>
      <c r="B45" s="201">
        <v>300</v>
      </c>
      <c r="C45" s="3"/>
      <c r="D45" s="195"/>
      <c r="F45" s="707" t="str">
        <f>IF(Lang="Français","Impact balistique",IF(Lang="English","Balistic Impact",""))</f>
        <v>Impact balistique</v>
      </c>
      <c r="G45" s="707"/>
      <c r="H45" s="145">
        <f ca="1">INDEX(t,MATCH("Impact balistique",Event,0))</f>
        <v>49.300000000000367</v>
      </c>
      <c r="I45" s="181" t="s">
        <v>16</v>
      </c>
      <c r="J45" s="147">
        <f ca="1">INDEX(pos_x,MATCH("Impact balistique",Event,0))</f>
        <v>1781.6275394582099</v>
      </c>
      <c r="K45" s="150">
        <f ca="1">INDEX(vit_xz,MATCH("Impact balistique",Event,0))</f>
        <v>167.82102002203158</v>
      </c>
      <c r="L45" s="145">
        <f ca="1">INDEX(acc_xz,MATCH("Impact balistique",Event,0))</f>
        <v>1.9165396740998022</v>
      </c>
      <c r="M45" s="145">
        <f ca="1">INDEX(BetaD,MATCH("Impact balistique",Event,0))</f>
        <v>-83.806670826845149</v>
      </c>
    </row>
    <row r="46" spans="1:16" x14ac:dyDescent="0.25">
      <c r="A46" s="194"/>
      <c r="B46" s="202" t="s">
        <v>9</v>
      </c>
      <c r="C46" s="3"/>
      <c r="D46" s="195"/>
      <c r="F46" s="709" t="str">
        <f>IF(Lang="Français","Ouverture parachute fusée",IF(Lang="English","Rocket parachute opening",""))</f>
        <v>Ouverture parachute fusée</v>
      </c>
      <c r="G46" s="709"/>
      <c r="H46" s="153">
        <f>T_para</f>
        <v>21</v>
      </c>
      <c r="I46" s="154">
        <f ca="1">INDEX(pos_z,MATCH("Para",Event_para,0))</f>
        <v>2682.0954118470786</v>
      </c>
      <c r="J46" s="154">
        <f ca="1">INDEX(pos_x,MATCH("Para",Event_para,0))</f>
        <v>931.14859175539277</v>
      </c>
      <c r="K46" s="154">
        <f ca="1">INDEX(vit_xz,MATCH("Para",Event_para,0))</f>
        <v>42.876454087975517</v>
      </c>
      <c r="L46" s="155">
        <f ca="1">INDEX(acc_xz,MATCH("Para",Event_para,0))</f>
        <v>10.00986989784546</v>
      </c>
      <c r="M46" s="156">
        <f ca="1">INDEX(BetaD,MATCH("Para",Event_para,0))</f>
        <v>26.432343323902263</v>
      </c>
    </row>
    <row r="47" spans="1:16" x14ac:dyDescent="0.25">
      <c r="A47" s="194"/>
      <c r="B47" s="207">
        <f>(4*B43*B45+B43^2)/10^6</f>
        <v>0.64</v>
      </c>
      <c r="C47" s="3"/>
      <c r="D47" s="195"/>
      <c r="F47" s="708" t="str">
        <f>IF(Lang="Français","Impact fusée sous para.",IF(Lang="English","Impact of rocket with para. ",""))</f>
        <v>Impact fusée sous para.</v>
      </c>
      <c r="G47" s="708"/>
      <c r="H47" s="157">
        <f ca="1">T_para+Dt_para</f>
        <v>401.70785602583129</v>
      </c>
      <c r="I47" s="159" t="s">
        <v>16</v>
      </c>
      <c r="J47" s="158" t="str">
        <f ca="1">CONCATENATE(TEXT(X_para-Dx_para,"0")," | ",TEXT(X_para+Dx_para,"0"))</f>
        <v>-972 | 2835</v>
      </c>
      <c r="K47" s="160">
        <f ca="1">V_para</f>
        <v>7.0450225005735021</v>
      </c>
      <c r="L47" s="161">
        <f>g</f>
        <v>9.81</v>
      </c>
      <c r="M47" s="161" t="s">
        <v>14</v>
      </c>
    </row>
    <row r="48" spans="1:16" x14ac:dyDescent="0.25">
      <c r="A48" s="194"/>
      <c r="B48" s="3"/>
      <c r="C48" s="3"/>
      <c r="D48" s="195"/>
      <c r="F48" s="705" t="str">
        <f>IF(Lang="Français","Largage du satellite",IF(Lang="English","Satellite separation",""))</f>
        <v>Largage du satellite</v>
      </c>
      <c r="G48" s="706"/>
      <c r="H48" s="153">
        <f>IF(T_satellite&lt;&gt;0,T_satellite,"")</f>
        <v>3.5</v>
      </c>
      <c r="I48" s="154">
        <f ca="1">IF(T_satellite&lt;&gt;0,INDEX(pos_z,MATCH("Satellite",Event_sat,0)),"")</f>
        <v>454.28750758038581</v>
      </c>
      <c r="J48" s="162">
        <f ca="1">IF(T_satellite&lt;&gt;0,INDEX(pos_x,MATCH("Satellite",Event_sat,0)),"")</f>
        <v>100.91608742047653</v>
      </c>
      <c r="K48" s="154">
        <f ca="1">IF(T_satellite&lt;&gt;0,INDEX(vit_xz,MATCH("Satellite",Event_sat,0)),"")</f>
        <v>242.08934845286078</v>
      </c>
      <c r="L48" s="155">
        <f ca="1">IF(T_satellite&lt;&gt;0,INDEX(acc_xz,MATCH("Satellite",Event_sat,0)),"")</f>
        <v>42.839139756753895</v>
      </c>
      <c r="M48" s="156">
        <f ca="1">IF(T_satellite&lt;&gt;0,INDEX(BetaD,MATCH("Satellite",Event_sat,0)),"")</f>
        <v>76.647856024314748</v>
      </c>
    </row>
    <row r="49" spans="1:13" x14ac:dyDescent="0.25">
      <c r="A49" s="194"/>
      <c r="B49" s="3"/>
      <c r="C49" s="3"/>
      <c r="D49" s="195"/>
      <c r="F49" s="701" t="str">
        <f>IF(Lang="Français","Impact du satellite",IF(Lang="English","Satellite impact",""))</f>
        <v>Impact du satellite</v>
      </c>
      <c r="G49" s="702"/>
      <c r="H49" s="157">
        <f ca="1">IF(T_satellite&lt;&gt;0,T_satellite+Dt_satellite,"")</f>
        <v>39.396271158480019</v>
      </c>
      <c r="I49" s="163" t="str">
        <f>IF(T_satellite&lt;&gt;0,"~0","")</f>
        <v>~0</v>
      </c>
      <c r="J49" s="163" t="str">
        <f ca="1">IF(T_satellite&lt;&gt;0,CONCATENATE(TEXT(X_satellite-Dx_sat,"0")," | ",TEXT(X_satellite+Dx_sat,"0")),"")</f>
        <v>-79 | 280</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1000</v>
      </c>
      <c r="C51" s="3"/>
      <c r="D51" s="195"/>
    </row>
    <row r="52" spans="1:13" x14ac:dyDescent="0.25">
      <c r="A52" s="194"/>
      <c r="B52" s="199" t="str">
        <f>IF(Lang="Français","Rayon intérieur","Half-diameter int")</f>
        <v>Rayon intérieur</v>
      </c>
      <c r="C52" s="3"/>
      <c r="D52" s="195"/>
    </row>
    <row r="53" spans="1:13" x14ac:dyDescent="0.25">
      <c r="A53" s="194"/>
      <c r="B53" s="201">
        <v>100</v>
      </c>
      <c r="C53" s="3"/>
      <c r="D53" s="195"/>
    </row>
    <row r="54" spans="1:13" x14ac:dyDescent="0.25">
      <c r="A54" s="194"/>
      <c r="B54" s="202" t="s">
        <v>9</v>
      </c>
      <c r="C54" s="3"/>
      <c r="D54" s="195"/>
    </row>
    <row r="55" spans="1:13" x14ac:dyDescent="0.25">
      <c r="A55" s="194"/>
      <c r="B55" s="207">
        <f>PI()*(B51^2-B53^2)/10^6</f>
        <v>3.1101767270538949</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21</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2700.4335922476339</v>
      </c>
    </row>
    <row r="119" spans="2:3" x14ac:dyDescent="0.25">
      <c r="B119" s="245" t="s">
        <v>48</v>
      </c>
      <c r="C119" s="9"/>
    </row>
    <row r="120" spans="2:3" x14ac:dyDescent="0.25">
      <c r="B120" s="256">
        <f ca="1">MAX(Altitude_culmi,Portee_balistique)</f>
        <v>2700.4335922476339</v>
      </c>
      <c r="C120" s="254" t="s">
        <v>46</v>
      </c>
    </row>
    <row r="121" spans="2:3" x14ac:dyDescent="0.25">
      <c r="B121" s="9"/>
      <c r="C121" s="250">
        <f ca="1">Alt_para</f>
        <v>2682.0954118470786</v>
      </c>
    </row>
    <row r="122" spans="2:3" x14ac:dyDescent="0.25">
      <c r="B122" s="253" t="s">
        <v>50</v>
      </c>
      <c r="C122" s="250">
        <f ca="1">Alt_para/2</f>
        <v>1341.0477059235393</v>
      </c>
    </row>
    <row r="123" spans="2:3" x14ac:dyDescent="0.25">
      <c r="B123" s="255">
        <f ca="1">X_para</f>
        <v>931.14859175539277</v>
      </c>
      <c r="C123" s="250">
        <v>0</v>
      </c>
    </row>
    <row r="124" spans="2:3" x14ac:dyDescent="0.25">
      <c r="B124" s="255">
        <f ca="1">X_para</f>
        <v>931.14859175539277</v>
      </c>
      <c r="C124" s="250">
        <f ca="1">Alt_para/20</f>
        <v>134.10477059235393</v>
      </c>
    </row>
    <row r="125" spans="2:3" x14ac:dyDescent="0.25">
      <c r="B125" s="255">
        <f ca="1">X_para</f>
        <v>931.14859175539277</v>
      </c>
      <c r="C125" s="250">
        <v>0</v>
      </c>
    </row>
    <row r="126" spans="2:3" x14ac:dyDescent="0.25">
      <c r="B126" s="255">
        <f ca="1">X_para+Alt_para/40</f>
        <v>998.20097705156968</v>
      </c>
      <c r="C126" s="250">
        <f ca="1">Alt_para/20</f>
        <v>134.10477059235393</v>
      </c>
    </row>
    <row r="127" spans="2:3" x14ac:dyDescent="0.25">
      <c r="B127" s="255">
        <f ca="1">X_para</f>
        <v>931.14859175539277</v>
      </c>
      <c r="C127" s="257">
        <v>0</v>
      </c>
    </row>
    <row r="128" spans="2:3" x14ac:dyDescent="0.25">
      <c r="B128" s="255">
        <f ca="1">X_para-Alt_para/40</f>
        <v>864.09620645921586</v>
      </c>
      <c r="C128" s="246" t="s">
        <v>46</v>
      </c>
    </row>
    <row r="129" spans="2:6" x14ac:dyDescent="0.25">
      <c r="B129" s="256">
        <f ca="1">X_para</f>
        <v>931.14859175539277</v>
      </c>
      <c r="C129" s="250">
        <f ca="1">Alt_para</f>
        <v>2682.0954118470786</v>
      </c>
      <c r="E129" s="274">
        <v>1</v>
      </c>
      <c r="F129" s="275" t="s">
        <v>176</v>
      </c>
    </row>
    <row r="130" spans="2:6" x14ac:dyDescent="0.25">
      <c r="B130" s="245" t="s">
        <v>49</v>
      </c>
      <c r="C130" s="250">
        <f ca="1">(C129+C131)/2</f>
        <v>1341.0477059235393</v>
      </c>
      <c r="E130" s="194">
        <v>1</v>
      </c>
      <c r="F130" s="276" t="s">
        <v>177</v>
      </c>
    </row>
    <row r="131" spans="2:6" x14ac:dyDescent="0.25">
      <c r="B131" s="249">
        <f>T_para</f>
        <v>21</v>
      </c>
      <c r="C131" s="250">
        <f>0</f>
        <v>0</v>
      </c>
      <c r="E131" s="194"/>
      <c r="F131" s="283" t="s">
        <v>178</v>
      </c>
    </row>
    <row r="132" spans="2:6" x14ac:dyDescent="0.25">
      <c r="B132" s="249">
        <f ca="1">(B131+B133)/2</f>
        <v>211.35392801291565</v>
      </c>
      <c r="C132" s="250">
        <f ca="1">Alt_para-V_para*(H47-T_para)+E129*sS*Altitude_culmi/H47*zZ_fus+E130*sS/2*Altitude_culmi/H47*tT_fus</f>
        <v>48.845752018323864</v>
      </c>
      <c r="E132" s="277" t="s">
        <v>173</v>
      </c>
      <c r="F132" s="278">
        <f ca="1">T_balistique/10</f>
        <v>4.930000000000037</v>
      </c>
    </row>
    <row r="133" spans="2:6" x14ac:dyDescent="0.25">
      <c r="B133" s="249">
        <f ca="1">H47</f>
        <v>401.70785602583129</v>
      </c>
      <c r="C133" s="250">
        <f ca="1">Alt_para-V_para*(H47-T_para)</f>
        <v>0</v>
      </c>
      <c r="E133" s="277" t="s">
        <v>174</v>
      </c>
      <c r="F133" s="278">
        <f ca="1">(H47-T_para)/H47</f>
        <v>0.94772320310646441</v>
      </c>
    </row>
    <row r="134" spans="2:6" x14ac:dyDescent="0.25">
      <c r="B134" s="249">
        <f ca="1">H47+E129*sS/2*zZ_fus-E130*sS*tT_fus</f>
        <v>399.50058063451644</v>
      </c>
      <c r="C134" s="250">
        <f ca="1">Alt_para-V_para*(H47-T_para)+E129*sS*Altitude_culmi/H47*zZ_fus-E130*sS/2*Altitude_culmi/H47*tT_fus</f>
        <v>17.436932823791111</v>
      </c>
      <c r="E134" s="279" t="s">
        <v>175</v>
      </c>
      <c r="F134" s="280">
        <f ca="1">V_para*(H47-T_para)/Alt_para</f>
        <v>1</v>
      </c>
    </row>
    <row r="135" spans="2:6" x14ac:dyDescent="0.25">
      <c r="B135" s="249">
        <f ca="1">H47</f>
        <v>401.70785602583129</v>
      </c>
      <c r="C135" s="252">
        <f ca="1">Alt_para-V_para*(H47-T_para)</f>
        <v>0</v>
      </c>
    </row>
    <row r="136" spans="2:6" x14ac:dyDescent="0.25">
      <c r="B136" s="249">
        <f ca="1">H47-E129*sS/2*zZ_fus-E130*sS*tT_fus</f>
        <v>394.57058063451638</v>
      </c>
      <c r="C136" s="3"/>
    </row>
    <row r="137" spans="2:6" x14ac:dyDescent="0.25">
      <c r="B137" s="251">
        <f ca="1">H47</f>
        <v>401.70785602583129</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0.92900608519269834</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1.2758985410433288</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1341.0477059235393</v>
      </c>
      <c r="D155" s="273">
        <f ca="1">X_para/4</f>
        <v>232.78714793884819</v>
      </c>
    </row>
    <row r="156" spans="2:6" x14ac:dyDescent="0.25">
      <c r="B156" s="245" t="s">
        <v>2</v>
      </c>
      <c r="C156" s="269">
        <f ca="1">Altitude_culmi/2</f>
        <v>1350.2167961238169</v>
      </c>
      <c r="D156" s="270">
        <f ca="1">X_culmi+(Portee_balistique-X_culmi)*2/3</f>
        <v>1522.2440414979214</v>
      </c>
    </row>
    <row r="157" spans="2:6" x14ac:dyDescent="0.25">
      <c r="B157" s="271">
        <f>T_para/4</f>
        <v>5.25</v>
      </c>
    </row>
    <row r="158" spans="2:6" x14ac:dyDescent="0.25">
      <c r="B158" s="268">
        <f ca="1">Temps_culmi + (T_balistique-Temps_culmi)/2</f>
        <v>36.100000000000179</v>
      </c>
      <c r="C158" s="267" t="s">
        <v>304</v>
      </c>
      <c r="D158" s="484" t="s">
        <v>306</v>
      </c>
      <c r="E158" s="484"/>
      <c r="F158" s="485" t="s">
        <v>306</v>
      </c>
    </row>
    <row r="159" spans="2:6" x14ac:dyDescent="0.25">
      <c r="C159" s="303">
        <v>0</v>
      </c>
      <c r="D159" s="272">
        <f t="shared" ref="D159:D174" ca="1" si="0">X_culmi+C159</f>
        <v>1003.4770455773444</v>
      </c>
      <c r="E159" s="272"/>
      <c r="F159" s="273">
        <f t="shared" ref="F159:F174" ca="1" si="1">X_culmi-C159</f>
        <v>1003.4770455773444</v>
      </c>
    </row>
    <row r="160" spans="2:6" x14ac:dyDescent="0.25">
      <c r="B160" s="245" t="s">
        <v>305</v>
      </c>
      <c r="C160" s="303">
        <v>23</v>
      </c>
      <c r="D160" s="272">
        <f t="shared" ca="1" si="0"/>
        <v>1026.4770455773444</v>
      </c>
      <c r="E160" s="272"/>
      <c r="F160" s="273">
        <f t="shared" ca="1" si="1"/>
        <v>980.47704557734437</v>
      </c>
    </row>
    <row r="161" spans="2:6" x14ac:dyDescent="0.25">
      <c r="B161" s="271" t="e">
        <f ca="1">IF(AND(Altitude_culmi&gt;80, Altitude_culmi&lt;=350), 49, NA())</f>
        <v>#N/A</v>
      </c>
      <c r="C161" s="303">
        <v>23</v>
      </c>
      <c r="D161" s="272">
        <f t="shared" ca="1" si="0"/>
        <v>1026.4770455773444</v>
      </c>
      <c r="E161" s="272"/>
      <c r="F161" s="273">
        <f t="shared" ca="1" si="1"/>
        <v>980.47704557734437</v>
      </c>
    </row>
    <row r="162" spans="2:6" x14ac:dyDescent="0.25">
      <c r="B162" s="271" t="e">
        <f ca="1">IF(AND(Altitude_culmi&gt;80, Altitude_culmi&lt;=350), 49, NA())</f>
        <v>#N/A</v>
      </c>
      <c r="C162" s="303">
        <v>0</v>
      </c>
      <c r="D162" s="272">
        <f t="shared" ca="1" si="0"/>
        <v>1003.4770455773444</v>
      </c>
      <c r="E162" s="272"/>
      <c r="F162" s="273">
        <f t="shared" ca="1" si="1"/>
        <v>1003.4770455773444</v>
      </c>
    </row>
    <row r="163" spans="2:6" x14ac:dyDescent="0.25">
      <c r="B163" s="271" t="e">
        <f ca="1">IF(AND(Altitude_culmi&gt;80, Altitude_culmi&lt;=350), 43, NA())</f>
        <v>#N/A</v>
      </c>
      <c r="C163" s="303">
        <v>23</v>
      </c>
      <c r="D163" s="272">
        <f t="shared" ca="1" si="0"/>
        <v>1026.4770455773444</v>
      </c>
      <c r="E163" s="272"/>
      <c r="F163" s="273">
        <f t="shared" ca="1" si="1"/>
        <v>980.47704557734437</v>
      </c>
    </row>
    <row r="164" spans="2:6" x14ac:dyDescent="0.25">
      <c r="B164" s="271" t="e">
        <f ca="1">IF(AND(Altitude_culmi&gt;80, Altitude_culmi&lt;=350), 43, NA())</f>
        <v>#N/A</v>
      </c>
      <c r="C164" s="303">
        <v>23</v>
      </c>
      <c r="D164" s="272">
        <f t="shared" ca="1" si="0"/>
        <v>1026.4770455773444</v>
      </c>
      <c r="E164" s="272"/>
      <c r="F164" s="273">
        <f t="shared" ca="1" si="1"/>
        <v>980.47704557734437</v>
      </c>
    </row>
    <row r="165" spans="2:6" x14ac:dyDescent="0.25">
      <c r="B165" s="271" t="e">
        <f ca="1">IF(AND(Altitude_culmi&gt;80, Altitude_culmi&lt;=350), 43, NA())</f>
        <v>#N/A</v>
      </c>
      <c r="C165" s="303">
        <v>8</v>
      </c>
      <c r="D165" s="272">
        <f t="shared" ca="1" si="0"/>
        <v>1011.4770455773444</v>
      </c>
      <c r="E165" s="272"/>
      <c r="F165" s="273">
        <f t="shared" ca="1" si="1"/>
        <v>995.47704557734437</v>
      </c>
    </row>
    <row r="166" spans="2:6" x14ac:dyDescent="0.25">
      <c r="B166" s="271" t="e">
        <f ca="1">IF(AND(Altitude_culmi&gt;80, Altitude_culmi&lt;=350), 0.5, NA())</f>
        <v>#N/A</v>
      </c>
      <c r="C166" s="303">
        <v>8</v>
      </c>
      <c r="D166" s="272">
        <f t="shared" ca="1" si="0"/>
        <v>1011.4770455773444</v>
      </c>
      <c r="E166" s="272"/>
      <c r="F166" s="273">
        <f t="shared" ca="1" si="1"/>
        <v>995.47704557734437</v>
      </c>
    </row>
    <row r="167" spans="2:6" x14ac:dyDescent="0.25">
      <c r="B167" s="271" t="e">
        <f ca="1">IF(AND(Altitude_culmi&gt;80, Altitude_culmi&lt;=350), 0.5, NA())</f>
        <v>#N/A</v>
      </c>
      <c r="C167" s="303">
        <v>23</v>
      </c>
      <c r="D167" s="272">
        <f t="shared" ca="1" si="0"/>
        <v>1026.4770455773444</v>
      </c>
      <c r="E167" s="272"/>
      <c r="F167" s="273">
        <f t="shared" ca="1" si="1"/>
        <v>980.47704557734437</v>
      </c>
    </row>
    <row r="168" spans="2:6" x14ac:dyDescent="0.25">
      <c r="B168" s="271" t="e">
        <f ca="1">IF(AND(Altitude_culmi&gt;80, Altitude_culmi&lt;=350), 27, NA())</f>
        <v>#N/A</v>
      </c>
      <c r="C168" s="303">
        <v>8</v>
      </c>
      <c r="D168" s="272">
        <f t="shared" ca="1" si="0"/>
        <v>1011.4770455773444</v>
      </c>
      <c r="E168" s="272"/>
      <c r="F168" s="273">
        <f t="shared" ca="1" si="1"/>
        <v>995.47704557734437</v>
      </c>
    </row>
    <row r="169" spans="2:6" x14ac:dyDescent="0.25">
      <c r="B169" s="271" t="e">
        <f ca="1">IF(AND(Altitude_culmi&gt;80, Altitude_culmi&lt;=350), 27, NA())</f>
        <v>#N/A</v>
      </c>
      <c r="C169" s="303">
        <v>7.6</v>
      </c>
      <c r="D169" s="272">
        <f t="shared" ca="1" si="0"/>
        <v>1011.0770455773444</v>
      </c>
      <c r="E169" s="272"/>
      <c r="F169" s="273">
        <f t="shared" ca="1" si="1"/>
        <v>995.87704557734435</v>
      </c>
    </row>
    <row r="170" spans="2:6" x14ac:dyDescent="0.25">
      <c r="B170" s="271" t="e">
        <f ca="1">IF(AND(Altitude_culmi&gt;80, Altitude_culmi&lt;=350), 27, NA())</f>
        <v>#N/A</v>
      </c>
      <c r="C170" s="303">
        <v>6.8</v>
      </c>
      <c r="D170" s="272">
        <f t="shared" ca="1" si="0"/>
        <v>1010.2770455773443</v>
      </c>
      <c r="E170" s="272"/>
      <c r="F170" s="273">
        <f t="shared" ca="1" si="1"/>
        <v>996.67704557734442</v>
      </c>
    </row>
    <row r="171" spans="2:6" x14ac:dyDescent="0.25">
      <c r="B171" s="271" t="e">
        <f ca="1">IF(AND(Altitude_culmi&gt;80, Altitude_culmi&lt;=350), 29, NA())</f>
        <v>#N/A</v>
      </c>
      <c r="C171" s="303">
        <v>6</v>
      </c>
      <c r="D171" s="272">
        <f t="shared" ca="1" si="0"/>
        <v>1009.4770455773444</v>
      </c>
      <c r="E171" s="272"/>
      <c r="F171" s="273">
        <f t="shared" ca="1" si="1"/>
        <v>997.47704557734437</v>
      </c>
    </row>
    <row r="172" spans="2:6" x14ac:dyDescent="0.25">
      <c r="B172" s="271" t="e">
        <f ca="1">IF(AND(Altitude_culmi&gt;80, Altitude_culmi&lt;=350), 31, NA())</f>
        <v>#N/A</v>
      </c>
      <c r="C172" s="303">
        <v>5</v>
      </c>
      <c r="D172" s="272">
        <f t="shared" ca="1" si="0"/>
        <v>1008.4770455773444</v>
      </c>
      <c r="E172" s="272"/>
      <c r="F172" s="273">
        <f t="shared" ca="1" si="1"/>
        <v>998.47704557734437</v>
      </c>
    </row>
    <row r="173" spans="2:6" x14ac:dyDescent="0.25">
      <c r="B173" s="271" t="e">
        <f ca="1">IF(AND(Altitude_culmi&gt;80, Altitude_culmi&lt;=350), 32, NA())</f>
        <v>#N/A</v>
      </c>
      <c r="C173" s="303">
        <v>3.8</v>
      </c>
      <c r="D173" s="272">
        <f t="shared" ca="1" si="0"/>
        <v>1007.2770455773443</v>
      </c>
      <c r="E173" s="272"/>
      <c r="F173" s="273">
        <f t="shared" ca="1" si="1"/>
        <v>999.67704557734442</v>
      </c>
    </row>
    <row r="174" spans="2:6" x14ac:dyDescent="0.25">
      <c r="B174" s="271" t="e">
        <f ca="1">IF(AND(Altitude_culmi&gt;80, Altitude_culmi&lt;=350), 33, NA())</f>
        <v>#N/A</v>
      </c>
      <c r="C174" s="482">
        <v>0</v>
      </c>
      <c r="D174" s="483">
        <f t="shared" ca="1" si="0"/>
        <v>1003.4770455773444</v>
      </c>
      <c r="E174" s="483"/>
      <c r="F174" s="270">
        <f t="shared" ca="1" si="1"/>
        <v>1003.4770455773444</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1003.4770455773444</v>
      </c>
      <c r="E177" s="272"/>
      <c r="F177" s="273">
        <f t="shared" ref="F177:F197" ca="1" si="3">X_culmi-C177</f>
        <v>1003.4770455773444</v>
      </c>
    </row>
    <row r="178" spans="2:6" x14ac:dyDescent="0.25">
      <c r="B178" s="245" t="s">
        <v>307</v>
      </c>
      <c r="C178" s="303">
        <v>0</v>
      </c>
      <c r="D178" s="272">
        <f t="shared" ca="1" si="2"/>
        <v>1003.4770455773444</v>
      </c>
      <c r="E178" s="272"/>
      <c r="F178" s="273">
        <f t="shared" ca="1" si="3"/>
        <v>1003.4770455773444</v>
      </c>
    </row>
    <row r="179" spans="2:6" x14ac:dyDescent="0.25">
      <c r="B179" s="271">
        <f ca="1">IF(Altitude_culmi&gt;350, 324, NA())</f>
        <v>324</v>
      </c>
      <c r="C179" s="303">
        <v>10</v>
      </c>
      <c r="D179" s="272">
        <f t="shared" ca="1" si="2"/>
        <v>1013.4770455773444</v>
      </c>
      <c r="E179" s="272"/>
      <c r="F179" s="273">
        <f t="shared" ca="1" si="3"/>
        <v>993.47704557734437</v>
      </c>
    </row>
    <row r="180" spans="2:6" x14ac:dyDescent="0.25">
      <c r="B180" s="271">
        <f ca="1">IF(Altitude_culmi&gt;350, 300, NA())</f>
        <v>300</v>
      </c>
      <c r="C180" s="303">
        <v>0</v>
      </c>
      <c r="D180" s="272">
        <f t="shared" ca="1" si="2"/>
        <v>1003.4770455773444</v>
      </c>
      <c r="E180" s="272"/>
      <c r="F180" s="273">
        <f t="shared" ca="1" si="3"/>
        <v>1003.4770455773444</v>
      </c>
    </row>
    <row r="181" spans="2:6" x14ac:dyDescent="0.25">
      <c r="B181" s="271">
        <f ca="1">IF(Altitude_culmi&gt;350, 280, NA())</f>
        <v>280</v>
      </c>
      <c r="C181" s="303">
        <v>10</v>
      </c>
      <c r="D181" s="272">
        <f t="shared" ca="1" si="2"/>
        <v>1013.4770455773444</v>
      </c>
      <c r="E181" s="272"/>
      <c r="F181" s="273">
        <f t="shared" ca="1" si="3"/>
        <v>993.47704557734437</v>
      </c>
    </row>
    <row r="182" spans="2:6" x14ac:dyDescent="0.25">
      <c r="B182" s="271">
        <f ca="1">IF(Altitude_culmi&gt;350, 280, NA())</f>
        <v>280</v>
      </c>
      <c r="C182" s="303">
        <v>13</v>
      </c>
      <c r="D182" s="272">
        <f t="shared" ca="1" si="2"/>
        <v>1016.4770455773444</v>
      </c>
      <c r="E182" s="272"/>
      <c r="F182" s="273">
        <f t="shared" ca="1" si="3"/>
        <v>990.47704557734437</v>
      </c>
    </row>
    <row r="183" spans="2:6" x14ac:dyDescent="0.25">
      <c r="B183" s="271">
        <f ca="1">IF(Altitude_culmi&gt;350, 280, NA())</f>
        <v>280</v>
      </c>
      <c r="C183" s="303">
        <v>17</v>
      </c>
      <c r="D183" s="272">
        <f t="shared" ca="1" si="2"/>
        <v>1020.4770455773444</v>
      </c>
      <c r="E183" s="272"/>
      <c r="F183" s="273">
        <f t="shared" ca="1" si="3"/>
        <v>986.47704557734437</v>
      </c>
    </row>
    <row r="184" spans="2:6" x14ac:dyDescent="0.25">
      <c r="B184" s="271">
        <f ca="1">IF(Altitude_culmi&gt;350, 200, NA())</f>
        <v>200</v>
      </c>
      <c r="C184" s="303">
        <v>20</v>
      </c>
      <c r="D184" s="272">
        <f t="shared" ca="1" si="2"/>
        <v>1023.4770455773444</v>
      </c>
      <c r="E184" s="272"/>
      <c r="F184" s="273">
        <f t="shared" ca="1" si="3"/>
        <v>983.47704557734437</v>
      </c>
    </row>
    <row r="185" spans="2:6" x14ac:dyDescent="0.25">
      <c r="B185" s="271">
        <f ca="1">IF(Altitude_culmi&gt;350, 160, NA())</f>
        <v>160</v>
      </c>
      <c r="C185" s="303">
        <v>25</v>
      </c>
      <c r="D185" s="272">
        <f t="shared" ca="1" si="2"/>
        <v>1028.4770455773444</v>
      </c>
      <c r="E185" s="272"/>
      <c r="F185" s="273">
        <f t="shared" ca="1" si="3"/>
        <v>978.47704557734437</v>
      </c>
    </row>
    <row r="186" spans="2:6" x14ac:dyDescent="0.25">
      <c r="B186" s="271">
        <f ca="1">IF(Altitude_culmi&gt;350, 115, NA())</f>
        <v>115</v>
      </c>
      <c r="C186" s="303">
        <v>30</v>
      </c>
      <c r="D186" s="272">
        <f t="shared" ca="1" si="2"/>
        <v>1033.4770455773444</v>
      </c>
      <c r="E186" s="272"/>
      <c r="F186" s="273">
        <f t="shared" ca="1" si="3"/>
        <v>973.47704557734437</v>
      </c>
    </row>
    <row r="187" spans="2:6" x14ac:dyDescent="0.25">
      <c r="B187" s="271">
        <f ca="1">IF(Altitude_culmi&gt;350, 90, NA())</f>
        <v>90</v>
      </c>
      <c r="C187" s="303">
        <v>36</v>
      </c>
      <c r="D187" s="272">
        <f t="shared" ca="1" si="2"/>
        <v>1039.4770455773444</v>
      </c>
      <c r="E187" s="272"/>
      <c r="F187" s="273">
        <f t="shared" ca="1" si="3"/>
        <v>967.47704557734437</v>
      </c>
    </row>
    <row r="188" spans="2:6" x14ac:dyDescent="0.25">
      <c r="B188" s="271">
        <f ca="1">IF(Altitude_culmi&gt;350, 57, NA())</f>
        <v>57</v>
      </c>
      <c r="C188" s="303">
        <v>48</v>
      </c>
      <c r="D188" s="272">
        <f t="shared" ca="1" si="2"/>
        <v>1051.4770455773444</v>
      </c>
      <c r="E188" s="272"/>
      <c r="F188" s="273">
        <f t="shared" ca="1" si="3"/>
        <v>955.47704557734437</v>
      </c>
    </row>
    <row r="189" spans="2:6" x14ac:dyDescent="0.25">
      <c r="B189" s="271">
        <f ca="1">IF(Altitude_culmi&gt;350, 40, NA())</f>
        <v>40</v>
      </c>
      <c r="C189" s="303">
        <v>62</v>
      </c>
      <c r="D189" s="272">
        <f t="shared" ca="1" si="2"/>
        <v>1065.4770455773444</v>
      </c>
      <c r="E189" s="272"/>
      <c r="F189" s="273">
        <f t="shared" ca="1" si="3"/>
        <v>941.47704557734437</v>
      </c>
    </row>
    <row r="190" spans="2:6" x14ac:dyDescent="0.25">
      <c r="B190" s="271">
        <f ca="1">IF(Altitude_culmi&gt;350, 20, NA())</f>
        <v>20</v>
      </c>
      <c r="C190" s="303">
        <v>37</v>
      </c>
      <c r="D190" s="272">
        <f t="shared" ca="1" si="2"/>
        <v>1040.4770455773444</v>
      </c>
      <c r="E190" s="272"/>
      <c r="F190" s="273">
        <f t="shared" ca="1" si="3"/>
        <v>966.47704557734437</v>
      </c>
    </row>
    <row r="191" spans="2:6" x14ac:dyDescent="0.25">
      <c r="B191" s="271">
        <f ca="1">IF(Altitude_culmi&gt;350, 0.5, NA())</f>
        <v>0.5</v>
      </c>
      <c r="C191" s="303">
        <v>30</v>
      </c>
      <c r="D191" s="272">
        <f t="shared" ca="1" si="2"/>
        <v>1033.4770455773444</v>
      </c>
      <c r="E191" s="272"/>
      <c r="F191" s="273">
        <f t="shared" ca="1" si="3"/>
        <v>973.47704557734437</v>
      </c>
    </row>
    <row r="192" spans="2:6" x14ac:dyDescent="0.25">
      <c r="B192" s="271">
        <f ca="1">IF(Altitude_culmi&gt;350, 0.5, NA())</f>
        <v>0.5</v>
      </c>
      <c r="C192" s="303">
        <v>15</v>
      </c>
      <c r="D192" s="272">
        <f t="shared" ca="1" si="2"/>
        <v>1018.4770455773444</v>
      </c>
      <c r="E192" s="272"/>
      <c r="F192" s="273">
        <f t="shared" ca="1" si="3"/>
        <v>988.47704557734437</v>
      </c>
    </row>
    <row r="193" spans="2:6" x14ac:dyDescent="0.25">
      <c r="B193" s="271">
        <f ca="1">IF(Altitude_culmi&gt;350, 15, NA())</f>
        <v>15</v>
      </c>
      <c r="C193" s="303">
        <v>0</v>
      </c>
      <c r="D193" s="272">
        <f t="shared" ca="1" si="2"/>
        <v>1003.4770455773444</v>
      </c>
      <c r="E193" s="272"/>
      <c r="F193" s="273">
        <f t="shared" ca="1" si="3"/>
        <v>1003.4770455773444</v>
      </c>
    </row>
    <row r="194" spans="2:6" x14ac:dyDescent="0.25">
      <c r="B194" s="271">
        <f ca="1">IF(Altitude_culmi&gt;350, 30, NA())</f>
        <v>30</v>
      </c>
      <c r="C194" s="303">
        <v>0</v>
      </c>
      <c r="D194" s="272">
        <f t="shared" ca="1" si="2"/>
        <v>1003.4770455773444</v>
      </c>
      <c r="E194" s="272"/>
      <c r="F194" s="273">
        <f t="shared" ca="1" si="3"/>
        <v>1003.4770455773444</v>
      </c>
    </row>
    <row r="195" spans="2:6" x14ac:dyDescent="0.25">
      <c r="B195" s="271">
        <f ca="1">IF(Altitude_culmi&gt;350, 37, NA())</f>
        <v>37</v>
      </c>
      <c r="C195" s="303">
        <v>17</v>
      </c>
      <c r="D195" s="272">
        <f t="shared" ca="1" si="2"/>
        <v>1020.4770455773444</v>
      </c>
      <c r="E195" s="272"/>
      <c r="F195" s="273">
        <f t="shared" ca="1" si="3"/>
        <v>986.47704557734437</v>
      </c>
    </row>
    <row r="196" spans="2:6" x14ac:dyDescent="0.25">
      <c r="B196" s="271">
        <f ca="1">IF(Altitude_culmi&gt;350, 67, NA())</f>
        <v>67</v>
      </c>
      <c r="C196" s="303">
        <v>11</v>
      </c>
      <c r="D196" s="272">
        <f t="shared" ca="1" si="2"/>
        <v>1014.4770455773444</v>
      </c>
      <c r="E196" s="272"/>
      <c r="F196" s="273">
        <f t="shared" ca="1" si="3"/>
        <v>992.47704557734437</v>
      </c>
    </row>
    <row r="197" spans="2:6" x14ac:dyDescent="0.25">
      <c r="B197" s="271">
        <f ca="1">IF(Altitude_culmi&gt;350, 67, NA())</f>
        <v>67</v>
      </c>
      <c r="C197" s="482">
        <v>0</v>
      </c>
      <c r="D197" s="483">
        <f t="shared" ca="1" si="2"/>
        <v>1003.4770455773444</v>
      </c>
      <c r="E197" s="483"/>
      <c r="F197" s="270">
        <f t="shared" ca="1" si="3"/>
        <v>1003.4770455773444</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C2:D3"/>
    <mergeCell ref="C7:D7"/>
    <mergeCell ref="C8:D8"/>
    <mergeCell ref="C9:D9"/>
    <mergeCell ref="C6:D6"/>
    <mergeCell ref="C4:D4"/>
    <mergeCell ref="H33:I33"/>
    <mergeCell ref="H32:I32"/>
    <mergeCell ref="F28:G28"/>
    <mergeCell ref="H31:I31"/>
    <mergeCell ref="A38:D38"/>
    <mergeCell ref="H34:I34"/>
    <mergeCell ref="F34:G34"/>
    <mergeCell ref="F33:G33"/>
    <mergeCell ref="F32:G32"/>
    <mergeCell ref="F38:G38"/>
    <mergeCell ref="C22:D22"/>
    <mergeCell ref="C17:D17"/>
    <mergeCell ref="F23:G23"/>
    <mergeCell ref="F27:G27"/>
    <mergeCell ref="F26:G26"/>
    <mergeCell ref="F24:G24"/>
    <mergeCell ref="F25:G25"/>
    <mergeCell ref="C15:D15"/>
    <mergeCell ref="C10:D10"/>
    <mergeCell ref="C19:D19"/>
    <mergeCell ref="C20:D20"/>
    <mergeCell ref="C11:D11"/>
    <mergeCell ref="C13:D13"/>
    <mergeCell ref="C14:D14"/>
    <mergeCell ref="C18:D18"/>
    <mergeCell ref="F49:G49"/>
    <mergeCell ref="F40:G40"/>
    <mergeCell ref="F41:G41"/>
    <mergeCell ref="F42:G42"/>
    <mergeCell ref="F43:G43"/>
    <mergeCell ref="F48:G48"/>
    <mergeCell ref="F44:G44"/>
    <mergeCell ref="F45:G45"/>
    <mergeCell ref="F47:G47"/>
    <mergeCell ref="F46:G46"/>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Orignal (Pro75-3G C)</v>
      </c>
      <c r="B2" s="407">
        <f>VLOOKUP(A2,A26:B314,2,FALSE)</f>
        <v>289</v>
      </c>
      <c r="C2" s="418" t="s">
        <v>116</v>
      </c>
      <c r="D2" s="408">
        <f ca="1">INDIRECT(ADDRESS(B2,4))</f>
        <v>3739.0284999999994</v>
      </c>
      <c r="E2" s="418" t="s">
        <v>115</v>
      </c>
      <c r="F2" s="409">
        <f ca="1">INDIRECT(ADDRESS(B2,6))</f>
        <v>203.4941790441234</v>
      </c>
      <c r="G2" s="418" t="s">
        <v>57</v>
      </c>
      <c r="H2" s="410">
        <f ca="1">INDIRECT(ADDRESS(B2,8))</f>
        <v>3.5110000000000001</v>
      </c>
      <c r="I2" s="418" t="s">
        <v>274</v>
      </c>
      <c r="J2" s="411">
        <f ca="1">INDIRECT(ADDRESS(B2,10))</f>
        <v>1.8730000000000002</v>
      </c>
      <c r="K2" s="418" t="s">
        <v>59</v>
      </c>
      <c r="L2" s="410">
        <f ca="1">INDIRECT(ADDRESS(B2,12))</f>
        <v>1.6379999999999999</v>
      </c>
      <c r="M2" s="418" t="s">
        <v>58</v>
      </c>
      <c r="N2" s="412">
        <f ca="1">INDIRECT(ADDRESS(B2,14))</f>
        <v>243</v>
      </c>
      <c r="O2" s="418" t="s">
        <v>60</v>
      </c>
      <c r="P2" s="412">
        <f ca="1">INDIRECT(ADDRESS(B2,16))</f>
        <v>243</v>
      </c>
      <c r="Q2" s="418" t="s">
        <v>61</v>
      </c>
      <c r="R2" s="412">
        <f ca="1">INDIRECT(ADDRESS(B2,18))</f>
        <v>486</v>
      </c>
      <c r="S2" s="418" t="s">
        <v>62</v>
      </c>
      <c r="T2" s="412">
        <f ca="1">INDIRECT(ADDRESS(B2,20))</f>
        <v>75</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0.01</v>
      </c>
      <c r="D3" s="420">
        <f t="shared" ca="1" si="0"/>
        <v>0.1</v>
      </c>
      <c r="E3" s="420">
        <f t="shared" ca="1" si="0"/>
        <v>0.12</v>
      </c>
      <c r="F3" s="420">
        <f t="shared" ca="1" si="0"/>
        <v>0.26</v>
      </c>
      <c r="G3" s="420">
        <f t="shared" ca="1" si="0"/>
        <v>0.71</v>
      </c>
      <c r="H3" s="420">
        <f t="shared" ca="1" si="0"/>
        <v>1.28</v>
      </c>
      <c r="I3" s="420">
        <f t="shared" ca="1" si="0"/>
        <v>2.0499999999999998</v>
      </c>
      <c r="J3" s="420">
        <f t="shared" ca="1" si="0"/>
        <v>2.41</v>
      </c>
      <c r="K3" s="420">
        <f t="shared" ca="1" si="0"/>
        <v>2.83</v>
      </c>
      <c r="L3" s="420">
        <f t="shared" ca="1" si="0"/>
        <v>3.25</v>
      </c>
      <c r="M3" s="420">
        <f t="shared" ca="1" si="0"/>
        <v>3.65</v>
      </c>
      <c r="N3" s="420">
        <f t="shared" ca="1" si="0"/>
        <v>3.8</v>
      </c>
      <c r="O3" s="420">
        <f t="shared" ca="1" si="0"/>
        <v>4</v>
      </c>
      <c r="P3" s="420">
        <f t="shared" ca="1" si="0"/>
        <v>4.0999999999999996</v>
      </c>
      <c r="Q3" s="420">
        <f t="shared" ca="1" si="0"/>
        <v>4.1900000000000004</v>
      </c>
      <c r="R3" s="420">
        <f t="shared" ca="1" si="0"/>
        <v>4.3099999999999996</v>
      </c>
      <c r="S3" s="420">
        <f t="shared" ca="1" si="0"/>
        <v>4.41</v>
      </c>
      <c r="T3" s="420">
        <f t="shared" ca="1" si="0"/>
        <v>4.5199999999999996</v>
      </c>
      <c r="U3" s="420">
        <f t="shared" ca="1" si="0"/>
        <v>4.5999999999999996</v>
      </c>
      <c r="V3" s="420">
        <f t="shared" ca="1" si="0"/>
        <v>4.6500000000000004</v>
      </c>
      <c r="W3" s="420">
        <f t="shared" ca="1" si="0"/>
        <v>4.67</v>
      </c>
      <c r="X3" s="420">
        <f ca="1">INDIRECT(ADDRESS($B2+1,COLUMN(X3)))</f>
        <v>4.68</v>
      </c>
      <c r="Y3" s="421">
        <f t="shared" ca="1" si="0"/>
        <v>1000</v>
      </c>
    </row>
    <row r="4" spans="1:26" ht="13.8" thickBot="1" x14ac:dyDescent="0.3">
      <c r="A4" s="435" t="str">
        <f>IF(Lang="Français","Poussée (en N)","Thrust (N)")</f>
        <v>Poussée (en N)</v>
      </c>
      <c r="B4" s="422">
        <f t="shared" ref="B4:Y4" ca="1" si="1">INDIRECT(ADDRESS($B2+2,COLUMN(B3)))</f>
        <v>27</v>
      </c>
      <c r="C4" s="423">
        <f t="shared" ca="1" si="1"/>
        <v>402.4</v>
      </c>
      <c r="D4" s="423">
        <f t="shared" ca="1" si="1"/>
        <v>1286</v>
      </c>
      <c r="E4" s="423">
        <f t="shared" ca="1" si="1"/>
        <v>1257</v>
      </c>
      <c r="F4" s="423">
        <f t="shared" ca="1" si="1"/>
        <v>1042</v>
      </c>
      <c r="G4" s="423">
        <f t="shared" ca="1" si="1"/>
        <v>1027</v>
      </c>
      <c r="H4" s="423">
        <f t="shared" ca="1" si="1"/>
        <v>998.4</v>
      </c>
      <c r="I4" s="423">
        <f t="shared" ca="1" si="1"/>
        <v>901.4</v>
      </c>
      <c r="J4" s="423">
        <f t="shared" ca="1" si="1"/>
        <v>849.6</v>
      </c>
      <c r="K4" s="423">
        <f t="shared" ca="1" si="1"/>
        <v>763.5</v>
      </c>
      <c r="L4" s="423">
        <f t="shared" ca="1" si="1"/>
        <v>707.1</v>
      </c>
      <c r="M4" s="423">
        <f t="shared" ca="1" si="1"/>
        <v>655.1</v>
      </c>
      <c r="N4" s="423">
        <f t="shared" ca="1" si="1"/>
        <v>651.70000000000005</v>
      </c>
      <c r="O4" s="423">
        <f t="shared" ca="1" si="1"/>
        <v>624.1</v>
      </c>
      <c r="P4" s="423">
        <f t="shared" ca="1" si="1"/>
        <v>601.29999999999995</v>
      </c>
      <c r="Q4" s="423">
        <f t="shared" ca="1" si="1"/>
        <v>536.20000000000005</v>
      </c>
      <c r="R4" s="423">
        <f t="shared" ca="1" si="1"/>
        <v>415.7</v>
      </c>
      <c r="S4" s="423">
        <f t="shared" ca="1" si="1"/>
        <v>270.2</v>
      </c>
      <c r="T4" s="423">
        <f t="shared" ca="1" si="1"/>
        <v>140.19999999999999</v>
      </c>
      <c r="U4" s="423">
        <f t="shared" ca="1" si="1"/>
        <v>76.900000000000006</v>
      </c>
      <c r="V4" s="423">
        <f t="shared" ca="1" si="1"/>
        <v>54.9</v>
      </c>
      <c r="W4" s="423">
        <f t="shared" ca="1" si="1"/>
        <v>40.200000000000003</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56" t="s">
        <v>277</v>
      </c>
      <c r="D316" s="757"/>
      <c r="F316" s="756" t="s">
        <v>182</v>
      </c>
      <c r="G316" s="757"/>
      <c r="H316" s="555"/>
      <c r="I316" s="758" t="s">
        <v>399</v>
      </c>
      <c r="J316" s="757"/>
      <c r="K316" s="555"/>
      <c r="L316" s="756" t="s">
        <v>183</v>
      </c>
      <c r="M316" s="757"/>
      <c r="O316" s="758" t="s">
        <v>398</v>
      </c>
      <c r="P316" s="757"/>
      <c r="R316" s="756" t="s">
        <v>119</v>
      </c>
      <c r="S316" s="757"/>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47" t="str">
        <f>A26</f>
        <v>H2O 1.5L 300g 6bar</v>
      </c>
      <c r="D317" s="748"/>
      <c r="F317" s="747" t="str">
        <f>A67</f>
        <v>µ-propu A8-3</v>
      </c>
      <c r="G317" s="748"/>
      <c r="H317" s="558"/>
      <c r="I317" s="745" t="str">
        <f>A148</f>
        <v>p29-1G 56F31</v>
      </c>
      <c r="J317" s="746"/>
      <c r="K317" s="558"/>
      <c r="L317" s="745" t="str">
        <f>A148</f>
        <v>p29-1G 56F31</v>
      </c>
      <c r="M317" s="746"/>
      <c r="O317" s="747" t="str">
        <f>A108</f>
        <v>p24-1G 24E22</v>
      </c>
      <c r="P317" s="748"/>
      <c r="R317" s="747" t="str">
        <f>A279</f>
        <v>Barasinga (Pro54-5G C)</v>
      </c>
      <c r="S317" s="748"/>
    </row>
    <row r="318" spans="1:25" x14ac:dyDescent="0.25">
      <c r="A318" s="459" t="str">
        <v>Orignal (Pro75-3G C)</v>
      </c>
      <c r="C318" s="747" t="str">
        <f>A31</f>
        <v>H2O 1.5L 450g 6bar</v>
      </c>
      <c r="D318" s="748"/>
      <c r="F318" s="747" t="str">
        <f>A72</f>
        <v>µ-propu B4-4</v>
      </c>
      <c r="G318" s="748"/>
      <c r="H318" s="558"/>
      <c r="I318" s="745" t="str">
        <f>A153</f>
        <v>p29-1G 56F120</v>
      </c>
      <c r="J318" s="746"/>
      <c r="K318" s="558"/>
      <c r="L318" s="745" t="str">
        <f>A153</f>
        <v>p29-1G 56F120</v>
      </c>
      <c r="M318" s="746"/>
      <c r="O318" s="747" t="str">
        <f>A113</f>
        <v>p24-1G 25E75 (Rufina)</v>
      </c>
      <c r="P318" s="748"/>
      <c r="R318" s="747" t="str">
        <f>A289</f>
        <v>Orignal (Pro75-3G C)</v>
      </c>
      <c r="S318" s="748"/>
    </row>
    <row r="319" spans="1:25" x14ac:dyDescent="0.25">
      <c r="A319" s="459" t="str">
        <v xml:space="preserve"> </v>
      </c>
      <c r="C319" s="747" t="str">
        <f>A36</f>
        <v>H2O 1.5L 600g 6bar</v>
      </c>
      <c r="D319" s="748"/>
      <c r="F319" s="747" t="str">
        <f>A77</f>
        <v>µ-propu C6-3</v>
      </c>
      <c r="G319" s="748"/>
      <c r="H319" s="558"/>
      <c r="I319" s="745" t="str">
        <f>A158</f>
        <v>p29-1G 57F59</v>
      </c>
      <c r="J319" s="746"/>
      <c r="K319" s="558"/>
      <c r="L319" s="745" t="str">
        <f>A158</f>
        <v>p29-1G 57F59</v>
      </c>
      <c r="M319" s="746"/>
      <c r="O319" s="747" t="str">
        <f>A118</f>
        <v>p24-1G 26E31</v>
      </c>
      <c r="P319" s="748"/>
      <c r="R319" s="747" t="s">
        <v>184</v>
      </c>
      <c r="S319" s="748"/>
    </row>
    <row r="320" spans="1:25" x14ac:dyDescent="0.25">
      <c r="A320" s="459" t="str">
        <v xml:space="preserve"> </v>
      </c>
      <c r="C320" s="747" t="str">
        <f>A41</f>
        <v>H2O 1.5L 750g 6bar</v>
      </c>
      <c r="D320" s="748"/>
      <c r="F320" s="747" t="str">
        <f>A82</f>
        <v>µ-propu C6-3 x2</v>
      </c>
      <c r="G320" s="748"/>
      <c r="H320" s="558"/>
      <c r="I320" s="745" t="str">
        <f>A183</f>
        <v>p24-3G 74F85</v>
      </c>
      <c r="J320" s="746"/>
      <c r="K320" s="558"/>
      <c r="L320" s="745" t="str">
        <f>A228</f>
        <v>p29-2G 116G126</v>
      </c>
      <c r="M320" s="746"/>
      <c r="O320" s="747" t="str">
        <f>A123</f>
        <v>p24-2G 50E51</v>
      </c>
      <c r="P320" s="748"/>
      <c r="R320" s="747" t="s">
        <v>184</v>
      </c>
      <c r="S320" s="748"/>
    </row>
    <row r="321" spans="1:19" x14ac:dyDescent="0.25">
      <c r="A321" s="459" t="str">
        <v xml:space="preserve"> </v>
      </c>
      <c r="C321" s="747" t="str">
        <f>A46</f>
        <v>H2O 2.0L 400g 6bar</v>
      </c>
      <c r="D321" s="748"/>
      <c r="F321" s="747" t="str">
        <f>A87</f>
        <v>µ-propu C6-3 x3</v>
      </c>
      <c r="G321" s="748"/>
      <c r="H321" s="558"/>
      <c r="I321" s="745" t="str">
        <f>A188</f>
        <v>p24-3G 75F51</v>
      </c>
      <c r="J321" s="746"/>
      <c r="K321" s="558"/>
      <c r="L321" s="745" t="s">
        <v>184</v>
      </c>
      <c r="M321" s="746"/>
      <c r="O321" s="747" t="str">
        <f>A128</f>
        <v>p24-1G 53E70</v>
      </c>
      <c r="P321" s="748"/>
      <c r="R321" s="747" t="s">
        <v>184</v>
      </c>
      <c r="S321" s="748"/>
    </row>
    <row r="322" spans="1:19" x14ac:dyDescent="0.25">
      <c r="A322" s="459" t="str">
        <v xml:space="preserve"> </v>
      </c>
      <c r="C322" s="747" t="str">
        <f>A51</f>
        <v>H2O 2.0L 600g 6bar</v>
      </c>
      <c r="D322" s="748"/>
      <c r="F322" s="747" t="s">
        <v>184</v>
      </c>
      <c r="G322" s="748"/>
      <c r="H322" s="558"/>
      <c r="I322" s="745" t="s">
        <v>184</v>
      </c>
      <c r="J322" s="746"/>
      <c r="K322" s="558"/>
      <c r="L322" s="747" t="str">
        <f>A198</f>
        <v>Pandora (Pro24-6G BS)</v>
      </c>
      <c r="M322" s="748"/>
      <c r="O322" s="747" t="str">
        <f>A133</f>
        <v>p29-1G 41F36</v>
      </c>
      <c r="P322" s="748"/>
      <c r="R322" s="747" t="s">
        <v>184</v>
      </c>
      <c r="S322" s="748"/>
    </row>
    <row r="323" spans="1:19" x14ac:dyDescent="0.25">
      <c r="A323" s="459" t="str">
        <v xml:space="preserve"> </v>
      </c>
      <c r="C323" s="747" t="str">
        <f>A56</f>
        <v>H2O 2.0L 800g 6bar</v>
      </c>
      <c r="D323" s="748"/>
      <c r="F323" s="747" t="s">
        <v>184</v>
      </c>
      <c r="G323" s="748"/>
      <c r="H323" s="558"/>
      <c r="I323" s="745" t="s">
        <v>184</v>
      </c>
      <c r="J323" s="746"/>
      <c r="K323" s="558"/>
      <c r="L323" s="747" t="s">
        <v>184</v>
      </c>
      <c r="M323" s="748"/>
      <c r="O323" s="747" t="str">
        <f>A138</f>
        <v>p29-1G 51F36</v>
      </c>
      <c r="P323" s="748"/>
      <c r="R323" s="747" t="s">
        <v>184</v>
      </c>
      <c r="S323" s="748"/>
    </row>
    <row r="324" spans="1:19" x14ac:dyDescent="0.25">
      <c r="A324" s="459" t="str">
        <v xml:space="preserve"> </v>
      </c>
      <c r="C324" s="747" t="str">
        <f>A61</f>
        <v>H2O 2.0L 1000g 6bar</v>
      </c>
      <c r="D324" s="748"/>
      <c r="F324" s="747" t="s">
        <v>184</v>
      </c>
      <c r="G324" s="748"/>
      <c r="H324" s="558"/>
      <c r="I324" s="745" t="s">
        <v>184</v>
      </c>
      <c r="J324" s="746"/>
      <c r="K324" s="558"/>
      <c r="L324" s="747" t="str">
        <f>A92</f>
        <v>Klima D9-7</v>
      </c>
      <c r="M324" s="748"/>
      <c r="O324" s="747" t="str">
        <f>A143</f>
        <v>p29-1G 55F29</v>
      </c>
      <c r="P324" s="748"/>
      <c r="R324" s="747" t="s">
        <v>184</v>
      </c>
      <c r="S324" s="748"/>
    </row>
    <row r="325" spans="1:19" x14ac:dyDescent="0.25">
      <c r="A325" s="459" t="str">
        <v xml:space="preserve"> </v>
      </c>
      <c r="C325" s="747" t="s">
        <v>184</v>
      </c>
      <c r="D325" s="748"/>
      <c r="F325" s="747" t="s">
        <v>184</v>
      </c>
      <c r="G325" s="748"/>
      <c r="H325" s="558"/>
      <c r="I325" s="745" t="s">
        <v>184</v>
      </c>
      <c r="J325" s="746"/>
      <c r="K325" s="558"/>
      <c r="L325" s="747" t="str">
        <f>A97</f>
        <v>Klima D9-7 x2</v>
      </c>
      <c r="M325" s="748"/>
      <c r="O325" s="747" t="str">
        <f>A153</f>
        <v>p29-1G 56F120</v>
      </c>
      <c r="P325" s="748"/>
      <c r="R325" s="747" t="s">
        <v>184</v>
      </c>
      <c r="S325" s="748"/>
    </row>
    <row r="326" spans="1:19" x14ac:dyDescent="0.25">
      <c r="A326" s="459" t="str">
        <v xml:space="preserve"> </v>
      </c>
      <c r="C326" s="747" t="s">
        <v>184</v>
      </c>
      <c r="D326" s="748"/>
      <c r="F326" s="747" t="s">
        <v>184</v>
      </c>
      <c r="G326" s="748"/>
      <c r="H326" s="558"/>
      <c r="I326" s="745" t="s">
        <v>184</v>
      </c>
      <c r="J326" s="746"/>
      <c r="K326" s="558"/>
      <c r="L326" s="747" t="str">
        <f>A102</f>
        <v>Klima D9-7 x3</v>
      </c>
      <c r="M326" s="748"/>
      <c r="O326" s="747" t="str">
        <f>A158</f>
        <v>p29-1G 57F59</v>
      </c>
      <c r="P326" s="748"/>
      <c r="R326" s="747" t="s">
        <v>184</v>
      </c>
      <c r="S326" s="748"/>
    </row>
    <row r="327" spans="1:19" x14ac:dyDescent="0.25">
      <c r="A327" s="459" t="str">
        <v xml:space="preserve"> </v>
      </c>
      <c r="C327" s="747" t="s">
        <v>184</v>
      </c>
      <c r="D327" s="748"/>
      <c r="F327" s="747" t="s">
        <v>184</v>
      </c>
      <c r="G327" s="748"/>
      <c r="H327" s="558"/>
      <c r="I327" s="745" t="s">
        <v>184</v>
      </c>
      <c r="J327" s="746"/>
      <c r="K327" s="558"/>
      <c r="L327" s="747" t="s">
        <v>184</v>
      </c>
      <c r="M327" s="748"/>
      <c r="O327" s="747" t="str">
        <f>A163</f>
        <v>p24-3G 60F50</v>
      </c>
      <c r="P327" s="748"/>
      <c r="R327" s="747" t="s">
        <v>184</v>
      </c>
      <c r="S327" s="748"/>
    </row>
    <row r="328" spans="1:19" x14ac:dyDescent="0.25">
      <c r="A328" s="459" t="str">
        <v xml:space="preserve"> </v>
      </c>
      <c r="C328" s="747" t="s">
        <v>184</v>
      </c>
      <c r="D328" s="748"/>
      <c r="F328" s="747" t="s">
        <v>184</v>
      </c>
      <c r="G328" s="748"/>
      <c r="H328" s="558"/>
      <c r="I328" s="745" t="s">
        <v>184</v>
      </c>
      <c r="J328" s="746"/>
      <c r="K328" s="558"/>
      <c r="L328" s="747" t="s">
        <v>184</v>
      </c>
      <c r="M328" s="748"/>
      <c r="O328" s="747" t="str">
        <f>A168</f>
        <v>p24-3G 68F79</v>
      </c>
      <c r="P328" s="748"/>
      <c r="R328" s="747" t="s">
        <v>184</v>
      </c>
      <c r="S328" s="748"/>
    </row>
    <row r="329" spans="1:19" x14ac:dyDescent="0.25">
      <c r="A329" s="459" t="str">
        <v xml:space="preserve"> </v>
      </c>
      <c r="C329" s="747" t="s">
        <v>184</v>
      </c>
      <c r="D329" s="748"/>
      <c r="F329" s="747" t="s">
        <v>184</v>
      </c>
      <c r="G329" s="748"/>
      <c r="H329" s="558"/>
      <c r="I329" s="745" t="s">
        <v>184</v>
      </c>
      <c r="J329" s="746"/>
      <c r="K329" s="558"/>
      <c r="L329" s="747" t="s">
        <v>184</v>
      </c>
      <c r="M329" s="748"/>
      <c r="O329" s="747" t="str">
        <f>A173</f>
        <v>p24-3G 68F240</v>
      </c>
      <c r="P329" s="748"/>
      <c r="R329" s="747" t="s">
        <v>184</v>
      </c>
      <c r="S329" s="748"/>
    </row>
    <row r="330" spans="1:19" x14ac:dyDescent="0.25">
      <c r="A330" s="459" t="str">
        <v xml:space="preserve"> </v>
      </c>
      <c r="C330" s="747" t="s">
        <v>184</v>
      </c>
      <c r="D330" s="748"/>
      <c r="F330" s="747" t="s">
        <v>184</v>
      </c>
      <c r="G330" s="748"/>
      <c r="H330" s="558"/>
      <c r="I330" s="745" t="s">
        <v>184</v>
      </c>
      <c r="J330" s="746"/>
      <c r="K330" s="558"/>
      <c r="L330" s="747" t="s">
        <v>184</v>
      </c>
      <c r="M330" s="748"/>
      <c r="O330" s="747" t="str">
        <f>A178</f>
        <v>p24-3G 73F30</v>
      </c>
      <c r="P330" s="748"/>
      <c r="R330" s="747" t="s">
        <v>184</v>
      </c>
      <c r="S330" s="748"/>
    </row>
    <row r="331" spans="1:19" x14ac:dyDescent="0.25">
      <c r="A331" s="459" t="str">
        <v xml:space="preserve"> </v>
      </c>
      <c r="C331" s="747" t="s">
        <v>184</v>
      </c>
      <c r="D331" s="748"/>
      <c r="F331" s="747" t="s">
        <v>184</v>
      </c>
      <c r="G331" s="748"/>
      <c r="H331" s="558"/>
      <c r="I331" s="754" t="s">
        <v>184</v>
      </c>
      <c r="J331" s="755"/>
      <c r="K331" s="558"/>
      <c r="L331" s="747" t="s">
        <v>184</v>
      </c>
      <c r="M331" s="748"/>
      <c r="O331" s="747" t="str">
        <f>A183</f>
        <v>p24-3G 74F85</v>
      </c>
      <c r="P331" s="748"/>
      <c r="R331" s="747" t="s">
        <v>184</v>
      </c>
      <c r="S331" s="748"/>
    </row>
    <row r="332" spans="1:19" x14ac:dyDescent="0.25">
      <c r="A332" s="545" t="str">
        <v xml:space="preserve"> </v>
      </c>
      <c r="C332" s="750" t="s">
        <v>184</v>
      </c>
      <c r="D332" s="751"/>
      <c r="F332" s="750" t="s">
        <v>184</v>
      </c>
      <c r="G332" s="751"/>
      <c r="H332" s="558"/>
      <c r="I332" s="750" t="s">
        <v>184</v>
      </c>
      <c r="J332" s="751"/>
      <c r="K332" s="558"/>
      <c r="L332" s="750" t="s">
        <v>184</v>
      </c>
      <c r="M332" s="751"/>
      <c r="O332" s="747" t="str">
        <f>A188</f>
        <v>p24-3G 75F51</v>
      </c>
      <c r="P332" s="748"/>
      <c r="R332" s="750" t="s">
        <v>184</v>
      </c>
      <c r="S332" s="751"/>
    </row>
    <row r="333" spans="1:19" x14ac:dyDescent="0.25">
      <c r="A333" s="459" t="str">
        <v xml:space="preserve"> </v>
      </c>
      <c r="C333" s="759" t="s">
        <v>184</v>
      </c>
      <c r="D333" s="759"/>
      <c r="F333" s="759" t="s">
        <v>184</v>
      </c>
      <c r="G333" s="759"/>
      <c r="I333" s="753" t="s">
        <v>184</v>
      </c>
      <c r="J333" s="753"/>
      <c r="L333" s="753" t="s">
        <v>184</v>
      </c>
      <c r="M333" s="753"/>
      <c r="O333" s="747" t="str">
        <f>A213</f>
        <v>p29-2G 84G88</v>
      </c>
      <c r="P333" s="748"/>
      <c r="R333" s="752" t="s">
        <v>184</v>
      </c>
      <c r="S333" s="752"/>
    </row>
    <row r="334" spans="1:19" x14ac:dyDescent="0.25">
      <c r="A334" s="546" t="str">
        <v>Isard</v>
      </c>
      <c r="C334" s="739" t="s">
        <v>184</v>
      </c>
      <c r="D334" s="739"/>
      <c r="F334" s="739" t="s">
        <v>184</v>
      </c>
      <c r="G334" s="739"/>
      <c r="I334" s="753" t="s">
        <v>184</v>
      </c>
      <c r="J334" s="753"/>
      <c r="L334" s="753" t="s">
        <v>184</v>
      </c>
      <c r="M334" s="753"/>
      <c r="O334" s="747" t="str">
        <f>A218</f>
        <v>p29-2G 93G80</v>
      </c>
      <c r="P334" s="748"/>
      <c r="R334" s="749" t="str">
        <f>A269</f>
        <v>Isard</v>
      </c>
      <c r="S334" s="749"/>
    </row>
    <row r="335" spans="1:19" x14ac:dyDescent="0.25">
      <c r="A335" s="546" t="str">
        <v>Chamois</v>
      </c>
      <c r="C335" s="739" t="s">
        <v>184</v>
      </c>
      <c r="D335" s="739"/>
      <c r="F335" s="739" t="s">
        <v>184</v>
      </c>
      <c r="G335" s="739"/>
      <c r="I335" s="753" t="s">
        <v>184</v>
      </c>
      <c r="J335" s="753"/>
      <c r="L335" s="753" t="s">
        <v>184</v>
      </c>
      <c r="M335" s="753"/>
      <c r="O335" s="747" t="str">
        <f>A223</f>
        <v>p29-2G 110G250</v>
      </c>
      <c r="P335" s="748"/>
      <c r="R335" s="749" t="str">
        <f>A274</f>
        <v>Chamois</v>
      </c>
      <c r="S335" s="749"/>
    </row>
    <row r="336" spans="1:19" x14ac:dyDescent="0.25">
      <c r="A336" s="546" t="str">
        <v>Pro75-2G</v>
      </c>
      <c r="C336" s="739" t="s">
        <v>184</v>
      </c>
      <c r="D336" s="739"/>
      <c r="F336" s="739" t="s">
        <v>184</v>
      </c>
      <c r="G336" s="739"/>
      <c r="I336" s="753" t="s">
        <v>184</v>
      </c>
      <c r="J336" s="753"/>
      <c r="L336" s="753" t="s">
        <v>184</v>
      </c>
      <c r="M336" s="753"/>
      <c r="O336" s="747" t="str">
        <f>A228</f>
        <v>p29-2G 116G126</v>
      </c>
      <c r="P336" s="748"/>
      <c r="R336" s="749" t="str">
        <f>A284</f>
        <v>Pro75-2G</v>
      </c>
      <c r="S336" s="749"/>
    </row>
    <row r="337" spans="1:19" x14ac:dyDescent="0.25">
      <c r="A337" s="546" t="str">
        <v>Pro98-2G WT</v>
      </c>
      <c r="C337" s="739" t="s">
        <v>184</v>
      </c>
      <c r="D337" s="739"/>
      <c r="F337" s="739" t="s">
        <v>184</v>
      </c>
      <c r="G337" s="739"/>
      <c r="I337" s="753" t="s">
        <v>184</v>
      </c>
      <c r="J337" s="753"/>
      <c r="L337" s="753" t="s">
        <v>184</v>
      </c>
      <c r="M337" s="753"/>
      <c r="O337" s="747" t="str">
        <f>A233</f>
        <v>p29-3G 125G131</v>
      </c>
      <c r="P337" s="748"/>
      <c r="R337" s="749" t="str">
        <f>A294</f>
        <v>Pro98-2G WT</v>
      </c>
      <c r="S337" s="749"/>
    </row>
    <row r="338" spans="1:19" x14ac:dyDescent="0.25">
      <c r="A338" s="546" t="str">
        <v>Pro98-3G WT</v>
      </c>
      <c r="C338" s="739" t="s">
        <v>184</v>
      </c>
      <c r="D338" s="739"/>
      <c r="F338" s="739" t="s">
        <v>184</v>
      </c>
      <c r="G338" s="739"/>
      <c r="I338" s="753" t="s">
        <v>184</v>
      </c>
      <c r="J338" s="753"/>
      <c r="L338" s="753" t="s">
        <v>184</v>
      </c>
      <c r="M338" s="753"/>
      <c r="O338" s="747" t="str">
        <f>A248</f>
        <v>p38-1G 128G185</v>
      </c>
      <c r="P338" s="748"/>
      <c r="R338" s="749" t="str">
        <f>A299</f>
        <v>Pro98-3G WT</v>
      </c>
      <c r="S338" s="749"/>
    </row>
    <row r="339" spans="1:19" x14ac:dyDescent="0.25">
      <c r="A339" s="546" t="str">
        <v>Aucun (2e ét. inerte)</v>
      </c>
      <c r="C339" s="739" t="s">
        <v>184</v>
      </c>
      <c r="D339" s="739"/>
      <c r="F339" s="739" t="s">
        <v>184</v>
      </c>
      <c r="G339" s="739"/>
      <c r="I339" s="753" t="s">
        <v>184</v>
      </c>
      <c r="J339" s="753"/>
      <c r="L339" s="753" t="s">
        <v>184</v>
      </c>
      <c r="M339" s="753"/>
      <c r="O339" s="747" t="str">
        <f>A243</f>
        <v>p38-1G 137G58</v>
      </c>
      <c r="P339" s="748"/>
      <c r="R339" s="749" t="str">
        <f>A309</f>
        <v>Aucun (2e ét. inerte)</v>
      </c>
      <c r="S339" s="749"/>
    </row>
    <row r="340" spans="1:19" x14ac:dyDescent="0.25">
      <c r="A340" s="546" t="str">
        <v xml:space="preserve"> </v>
      </c>
      <c r="C340" s="739" t="s">
        <v>184</v>
      </c>
      <c r="D340" s="739"/>
      <c r="F340" s="739" t="s">
        <v>184</v>
      </c>
      <c r="G340" s="739"/>
      <c r="I340" s="753" t="s">
        <v>184</v>
      </c>
      <c r="J340" s="753"/>
      <c r="L340" s="753" t="s">
        <v>184</v>
      </c>
      <c r="M340" s="753"/>
      <c r="O340" s="747" t="str">
        <f>A253</f>
        <v>p38-1G 141G78</v>
      </c>
      <c r="P340" s="748"/>
      <c r="R340" s="744" t="s">
        <v>184</v>
      </c>
      <c r="S340" s="744"/>
    </row>
    <row r="341" spans="1:19" x14ac:dyDescent="0.25">
      <c r="A341" s="546" t="str">
        <v xml:space="preserve"> </v>
      </c>
      <c r="C341" s="739" t="s">
        <v>184</v>
      </c>
      <c r="D341" s="739"/>
      <c r="F341" s="739" t="s">
        <v>184</v>
      </c>
      <c r="G341" s="739"/>
      <c r="I341" s="742" t="s">
        <v>184</v>
      </c>
      <c r="J341" s="742"/>
      <c r="L341" s="753" t="s">
        <v>184</v>
      </c>
      <c r="M341" s="753"/>
      <c r="O341" s="747" t="str">
        <f>A193</f>
        <v>p24-6G 140G145 PK</v>
      </c>
      <c r="P341" s="748"/>
      <c r="R341" s="739" t="s">
        <v>184</v>
      </c>
      <c r="S341" s="739"/>
    </row>
    <row r="342" spans="1:19" x14ac:dyDescent="0.25">
      <c r="A342" s="546" t="str">
        <v xml:space="preserve"> </v>
      </c>
      <c r="C342" s="739" t="s">
        <v>184</v>
      </c>
      <c r="D342" s="739"/>
      <c r="F342" s="739" t="s">
        <v>184</v>
      </c>
      <c r="G342" s="739"/>
      <c r="I342" s="742" t="s">
        <v>184</v>
      </c>
      <c r="J342" s="742"/>
      <c r="L342" s="753" t="s">
        <v>184</v>
      </c>
      <c r="M342" s="753"/>
      <c r="O342" s="747" t="str">
        <f>A198</f>
        <v>Pandora (Pro24-6G BS)</v>
      </c>
      <c r="P342" s="748"/>
      <c r="R342" s="739" t="s">
        <v>184</v>
      </c>
      <c r="S342" s="739"/>
    </row>
    <row r="343" spans="1:19" x14ac:dyDescent="0.25">
      <c r="A343" s="546" t="str">
        <v xml:space="preserve"> </v>
      </c>
      <c r="C343" s="739" t="s">
        <v>184</v>
      </c>
      <c r="D343" s="739"/>
      <c r="F343" s="739" t="s">
        <v>184</v>
      </c>
      <c r="G343" s="739"/>
      <c r="I343" s="742" t="s">
        <v>184</v>
      </c>
      <c r="J343" s="742"/>
      <c r="L343" s="742" t="s">
        <v>184</v>
      </c>
      <c r="M343" s="742"/>
      <c r="O343" s="745" t="str">
        <f>A203</f>
        <v>p24-6G 142G117 WT</v>
      </c>
      <c r="P343" s="746"/>
      <c r="R343" s="739" t="s">
        <v>184</v>
      </c>
      <c r="S343" s="739"/>
    </row>
    <row r="344" spans="1:19" x14ac:dyDescent="0.25">
      <c r="A344" s="546" t="str">
        <v xml:space="preserve"> </v>
      </c>
      <c r="C344" s="739" t="s">
        <v>184</v>
      </c>
      <c r="D344" s="739"/>
      <c r="F344" s="739" t="s">
        <v>184</v>
      </c>
      <c r="G344" s="739"/>
      <c r="I344" s="743" t="s">
        <v>184</v>
      </c>
      <c r="J344" s="743"/>
      <c r="L344" s="742" t="s">
        <v>184</v>
      </c>
      <c r="M344" s="742"/>
      <c r="O344" s="745" t="str">
        <f>A208</f>
        <v>p24-6G 139G107 DT</v>
      </c>
      <c r="P344" s="746"/>
      <c r="R344" s="739" t="s">
        <v>184</v>
      </c>
      <c r="S344" s="739"/>
    </row>
    <row r="345" spans="1:19" x14ac:dyDescent="0.25">
      <c r="A345" s="546" t="str">
        <v xml:space="preserve"> </v>
      </c>
      <c r="C345" s="739" t="s">
        <v>184</v>
      </c>
      <c r="D345" s="739"/>
      <c r="F345" s="739" t="s">
        <v>184</v>
      </c>
      <c r="G345" s="739"/>
      <c r="I345" s="739" t="s">
        <v>184</v>
      </c>
      <c r="J345" s="739"/>
      <c r="L345" s="742" t="s">
        <v>184</v>
      </c>
      <c r="M345" s="742"/>
      <c r="O345" s="745" t="str">
        <f>A263</f>
        <v>Cariacou</v>
      </c>
      <c r="P345" s="746"/>
      <c r="R345" s="739" t="s">
        <v>184</v>
      </c>
      <c r="S345" s="739"/>
    </row>
    <row r="346" spans="1:19" x14ac:dyDescent="0.25">
      <c r="A346" s="559" t="str">
        <v xml:space="preserve"> </v>
      </c>
      <c r="C346" s="739" t="s">
        <v>184</v>
      </c>
      <c r="D346" s="739"/>
      <c r="F346" s="739" t="s">
        <v>184</v>
      </c>
      <c r="G346" s="739"/>
      <c r="I346" s="739" t="s">
        <v>184</v>
      </c>
      <c r="J346" s="739"/>
      <c r="L346" s="743" t="s">
        <v>184</v>
      </c>
      <c r="M346" s="743"/>
      <c r="O346" s="740" t="str">
        <f>A258</f>
        <v>Wapiti</v>
      </c>
      <c r="P346" s="741"/>
      <c r="R346" s="739" t="s">
        <v>184</v>
      </c>
      <c r="S346" s="739"/>
    </row>
  </sheetData>
  <sheetProtection password="C6AC"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11.510999999999999</v>
      </c>
      <c r="T4" s="380">
        <f t="shared" ref="T4:T67" ca="1" si="1">m*g</f>
        <v>112.92291</v>
      </c>
      <c r="U4" s="381">
        <f t="shared" ref="U4:U67" ca="1" si="2">IF(pos_xz&lt;L_rampe,Poids*COS(Beta),0)</f>
        <v>19.608857538346793</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1.5613750390852976</v>
      </c>
      <c r="E5" s="360">
        <f t="shared" ref="E5:E68" ca="1" si="9">IF(AND(L4&lt;L_rampe,Poussee&lt;Poids*SIN(M4)),0,(-W4+Poussee)/m*SIN(M4)+U4/m*COS(M4)-Poids/m)</f>
        <v>8.855914531288283</v>
      </c>
      <c r="F5" s="357">
        <f t="shared" ref="F5:F68" ca="1" si="10">SQRT(acc_x^2+acc_z^2)</f>
        <v>8.9925032220267553</v>
      </c>
      <c r="G5" s="359">
        <f t="shared" ref="G5:G68" ca="1" si="11">G4+acc_x*pas</f>
        <v>1.5613750390852976E-2</v>
      </c>
      <c r="H5" s="360">
        <f t="shared" ref="H5:H68" ca="1" si="12">H4+acc_z*pas</f>
        <v>8.8559145312882837E-2</v>
      </c>
      <c r="I5" s="357">
        <f t="shared" ref="I5:I68" ca="1" si="13">SQRT(vit_x^2+vit_z^2)</f>
        <v>8.9925032220267556E-2</v>
      </c>
      <c r="J5" s="359">
        <f t="shared" ref="J5:J68" ca="1" si="14">J4+0.5*(vit_x+G4)*pas*(K4&gt;=0)</f>
        <v>7.8068751954264885E-5</v>
      </c>
      <c r="K5" s="360">
        <f t="shared" ref="K5:K68" ca="1" si="15">K4+0.5*(vit_z+H4)*pas</f>
        <v>4.4279572656441422E-4</v>
      </c>
      <c r="L5" s="357">
        <f t="shared" ca="1" si="0"/>
        <v>4.4962516110133788E-4</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214.70000000000002</v>
      </c>
      <c r="R5" s="359">
        <f t="shared" ref="R5:R68" ca="1" si="20">Poussee/(g*ISP)</f>
        <v>0.10755015641095009</v>
      </c>
      <c r="S5" s="360">
        <f t="shared" ref="S5:S68" ca="1" si="21">S4-Débit*pas</f>
        <v>11.50992449843589</v>
      </c>
      <c r="T5" s="357">
        <f t="shared" ca="1" si="1"/>
        <v>112.91235932965608</v>
      </c>
      <c r="U5" s="364">
        <f t="shared" ca="1" si="2"/>
        <v>19.607025433668408</v>
      </c>
      <c r="V5" s="359">
        <f t="shared" ca="1" si="3"/>
        <v>1.2249999457575247</v>
      </c>
      <c r="W5" s="357">
        <f t="shared" ca="1" si="4"/>
        <v>2.2620250828289688E-5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4.4279572656441422E-4</v>
      </c>
      <c r="AF5" s="344"/>
      <c r="AG5" s="359">
        <f t="shared" ref="AG5:AG68" ca="1" si="27">IF(AND(L4&lt;L_rampe,Poussee&lt;Poids*SIN(M4)),0,(-W4+Poussee)/m-Poids*SIN(M4)/m)</f>
        <v>8.9925032206179694</v>
      </c>
      <c r="AH5" s="357">
        <f t="shared" ref="AH5:AH68" ca="1" si="28">IF(AND(L4&lt;L_rampe,Poussee&lt;Poids*SIN(M4)), g*SIN(M4), (-W4+Poussee)/m)</f>
        <v>18.65346727766773</v>
      </c>
    </row>
    <row r="6" spans="1:248" x14ac:dyDescent="0.25">
      <c r="A6" s="402">
        <f t="shared" ca="1" si="6"/>
        <v>0.01</v>
      </c>
      <c r="B6" s="357">
        <f t="shared" ca="1" si="7"/>
        <v>0.02</v>
      </c>
      <c r="C6" s="342"/>
      <c r="D6" s="359">
        <f t="shared" ca="1" si="8"/>
        <v>5.1349321752045078</v>
      </c>
      <c r="E6" s="360">
        <f t="shared" ca="1" si="9"/>
        <v>29.123575494279187</v>
      </c>
      <c r="F6" s="357">
        <f t="shared" ca="1" si="10"/>
        <v>29.57279455876515</v>
      </c>
      <c r="G6" s="359">
        <f t="shared" ca="1" si="11"/>
        <v>6.6963072142898053E-2</v>
      </c>
      <c r="H6" s="360">
        <f t="shared" ca="1" si="12"/>
        <v>0.37979490025567469</v>
      </c>
      <c r="I6" s="357">
        <f t="shared" ca="1" si="13"/>
        <v>0.38565297780651564</v>
      </c>
      <c r="J6" s="359">
        <f t="shared" ca="1" si="14"/>
        <v>4.9095286462302E-4</v>
      </c>
      <c r="K6" s="360">
        <f t="shared" ca="1" si="15"/>
        <v>2.7845659544072018E-3</v>
      </c>
      <c r="L6" s="357">
        <f t="shared" ca="1" si="0"/>
        <v>2.827515211227915E-3</v>
      </c>
      <c r="M6" s="359">
        <f t="shared" ca="1" si="16"/>
        <v>1.3962634015954636</v>
      </c>
      <c r="N6" s="357">
        <f t="shared" ca="1" si="17"/>
        <v>80</v>
      </c>
      <c r="O6" s="343"/>
      <c r="P6" s="363">
        <f t="shared" ca="1" si="18"/>
        <v>2</v>
      </c>
      <c r="Q6" s="357">
        <f t="shared" ca="1" si="19"/>
        <v>451.48888888888888</v>
      </c>
      <c r="R6" s="359">
        <f t="shared" ca="1" si="20"/>
        <v>0.22616534987333983</v>
      </c>
      <c r="S6" s="360">
        <f t="shared" ca="1" si="21"/>
        <v>11.507662844937157</v>
      </c>
      <c r="T6" s="357">
        <f t="shared" ca="1" si="1"/>
        <v>112.89017250883352</v>
      </c>
      <c r="U6" s="364">
        <f t="shared" ca="1" si="2"/>
        <v>19.603172732664348</v>
      </c>
      <c r="V6" s="359">
        <f t="shared" ca="1" si="3"/>
        <v>1.2249996588907184</v>
      </c>
      <c r="W6" s="357">
        <f t="shared" ca="1" si="4"/>
        <v>4.1603463633641522E-4</v>
      </c>
      <c r="X6" s="343"/>
      <c r="Y6" s="367" t="str">
        <f t="shared" ca="1" si="22"/>
        <v/>
      </c>
      <c r="Z6" s="368" t="str">
        <f t="shared" ca="1" si="23"/>
        <v/>
      </c>
      <c r="AA6" s="369" t="str">
        <f t="shared" ca="1" si="24"/>
        <v/>
      </c>
      <c r="AB6" s="344"/>
      <c r="AC6" s="363" t="e">
        <f t="shared" ca="1" si="25"/>
        <v>#N/A</v>
      </c>
      <c r="AD6" s="376" t="e">
        <f t="shared" ca="1" si="26"/>
        <v>#N/A</v>
      </c>
      <c r="AE6" s="377">
        <f t="shared" ca="1" si="5"/>
        <v>2.7845659544072018E-3</v>
      </c>
      <c r="AF6" s="344"/>
      <c r="AG6" s="359">
        <f t="shared" ca="1" si="27"/>
        <v>29.572794556870043</v>
      </c>
      <c r="AH6" s="357">
        <f t="shared" ca="1" si="28"/>
        <v>39.233758613919804</v>
      </c>
    </row>
    <row r="7" spans="1:248" x14ac:dyDescent="0.25">
      <c r="A7" s="402">
        <f t="shared" ca="1" si="6"/>
        <v>0.01</v>
      </c>
      <c r="B7" s="357">
        <f t="shared" ca="1" si="7"/>
        <v>0.03</v>
      </c>
      <c r="C7" s="342"/>
      <c r="D7" s="359">
        <f t="shared" ca="1" si="8"/>
        <v>6.6183212482063523</v>
      </c>
      <c r="E7" s="360">
        <f t="shared" ca="1" si="9"/>
        <v>37.536712788151725</v>
      </c>
      <c r="F7" s="357">
        <f t="shared" ca="1" si="10"/>
        <v>38.115705202510064</v>
      </c>
      <c r="G7" s="359">
        <f t="shared" ca="1" si="11"/>
        <v>0.13314628462496159</v>
      </c>
      <c r="H7" s="360">
        <f t="shared" ca="1" si="12"/>
        <v>0.75516202813719202</v>
      </c>
      <c r="I7" s="357">
        <f t="shared" ca="1" si="13"/>
        <v>0.76681002983118873</v>
      </c>
      <c r="J7" s="359">
        <f t="shared" ca="1" si="14"/>
        <v>1.491499648462318E-3</v>
      </c>
      <c r="K7" s="360">
        <f t="shared" ca="1" si="15"/>
        <v>8.4593505963715364E-3</v>
      </c>
      <c r="L7" s="357">
        <f t="shared" ca="1" si="0"/>
        <v>8.58983024941091E-3</v>
      </c>
      <c r="M7" s="359">
        <f t="shared" ca="1" si="16"/>
        <v>1.3962634015954636</v>
      </c>
      <c r="N7" s="357">
        <f t="shared" ca="1" si="17"/>
        <v>80</v>
      </c>
      <c r="O7" s="343"/>
      <c r="P7" s="363">
        <f t="shared" ca="1" si="18"/>
        <v>2</v>
      </c>
      <c r="Q7" s="357">
        <f t="shared" ca="1" si="19"/>
        <v>549.66666666666663</v>
      </c>
      <c r="R7" s="359">
        <f t="shared" ca="1" si="20"/>
        <v>0.27534576606374267</v>
      </c>
      <c r="S7" s="360">
        <f t="shared" ca="1" si="21"/>
        <v>11.50490938727652</v>
      </c>
      <c r="T7" s="357">
        <f t="shared" ca="1" si="1"/>
        <v>112.86316108918267</v>
      </c>
      <c r="U7" s="364">
        <f t="shared" ca="1" si="2"/>
        <v>19.598482248865778</v>
      </c>
      <c r="V7" s="359">
        <f t="shared" ca="1" si="3"/>
        <v>1.2249989637299905</v>
      </c>
      <c r="W7" s="357">
        <f t="shared" ca="1" si="4"/>
        <v>1.6447936989920041E-3</v>
      </c>
      <c r="X7" s="343"/>
      <c r="Y7" s="367" t="str">
        <f t="shared" ca="1" si="22"/>
        <v/>
      </c>
      <c r="Z7" s="368" t="str">
        <f t="shared" ca="1" si="23"/>
        <v/>
      </c>
      <c r="AA7" s="369" t="str">
        <f t="shared" ca="1" si="24"/>
        <v/>
      </c>
      <c r="AB7" s="344"/>
      <c r="AC7" s="363" t="e">
        <f t="shared" ca="1" si="25"/>
        <v>#N/A</v>
      </c>
      <c r="AD7" s="376" t="e">
        <f t="shared" ca="1" si="26"/>
        <v>#N/A</v>
      </c>
      <c r="AE7" s="377">
        <f t="shared" ca="1" si="5"/>
        <v>8.4593505963715364E-3</v>
      </c>
      <c r="AF7" s="344"/>
      <c r="AG7" s="359">
        <f t="shared" ca="1" si="27"/>
        <v>38.115705200329678</v>
      </c>
      <c r="AH7" s="357">
        <f t="shared" ca="1" si="28"/>
        <v>47.776669257379439</v>
      </c>
    </row>
    <row r="8" spans="1:248" x14ac:dyDescent="0.25">
      <c r="A8" s="402">
        <f t="shared" ca="1" si="6"/>
        <v>0.01</v>
      </c>
      <c r="B8" s="357">
        <f t="shared" ca="1" si="7"/>
        <v>0.04</v>
      </c>
      <c r="C8" s="342"/>
      <c r="D8" s="359">
        <f t="shared" ca="1" si="8"/>
        <v>8.1028261033801119</v>
      </c>
      <c r="E8" s="360">
        <f t="shared" ca="1" si="9"/>
        <v>45.956178316516016</v>
      </c>
      <c r="F8" s="357">
        <f t="shared" ca="1" si="10"/>
        <v>46.665041694195828</v>
      </c>
      <c r="G8" s="359">
        <f t="shared" ca="1" si="11"/>
        <v>0.21417454565876271</v>
      </c>
      <c r="H8" s="360">
        <f t="shared" ca="1" si="12"/>
        <v>1.2147238113023522</v>
      </c>
      <c r="I8" s="357">
        <f t="shared" ca="1" si="13"/>
        <v>1.2334604467728383</v>
      </c>
      <c r="J8" s="359">
        <f t="shared" ca="1" si="14"/>
        <v>3.2281037998809397E-3</v>
      </c>
      <c r="K8" s="360">
        <f t="shared" ca="1" si="15"/>
        <v>1.8308779793569256E-2</v>
      </c>
      <c r="L8" s="357">
        <f t="shared" ca="1" si="0"/>
        <v>1.8591182632425932E-2</v>
      </c>
      <c r="M8" s="359">
        <f t="shared" ca="1" si="16"/>
        <v>1.3962634015954636</v>
      </c>
      <c r="N8" s="357">
        <f t="shared" ca="1" si="17"/>
        <v>80</v>
      </c>
      <c r="O8" s="343"/>
      <c r="P8" s="363">
        <f t="shared" ca="1" si="18"/>
        <v>2</v>
      </c>
      <c r="Q8" s="357">
        <f t="shared" ca="1" si="19"/>
        <v>647.84444444444443</v>
      </c>
      <c r="R8" s="359">
        <f t="shared" ca="1" si="20"/>
        <v>0.32452618225414559</v>
      </c>
      <c r="S8" s="360">
        <f t="shared" ca="1" si="21"/>
        <v>11.501664125453978</v>
      </c>
      <c r="T8" s="357">
        <f t="shared" ca="1" si="1"/>
        <v>112.83132507070353</v>
      </c>
      <c r="U8" s="364">
        <f t="shared" ca="1" si="2"/>
        <v>19.592953982272707</v>
      </c>
      <c r="V8" s="359">
        <f t="shared" ca="1" si="3"/>
        <v>1.2249977571765287</v>
      </c>
      <c r="W8" s="357">
        <f t="shared" ca="1" si="4"/>
        <v>4.2558458727412693E-3</v>
      </c>
      <c r="X8" s="343"/>
      <c r="Y8" s="367" t="str">
        <f t="shared" ca="1" si="22"/>
        <v/>
      </c>
      <c r="Z8" s="368" t="str">
        <f t="shared" ca="1" si="23"/>
        <v/>
      </c>
      <c r="AA8" s="369" t="str">
        <f t="shared" ca="1" si="24"/>
        <v/>
      </c>
      <c r="AB8" s="344"/>
      <c r="AC8" s="363" t="e">
        <f t="shared" ca="1" si="25"/>
        <v>#N/A</v>
      </c>
      <c r="AD8" s="376" t="e">
        <f t="shared" ca="1" si="26"/>
        <v>#N/A</v>
      </c>
      <c r="AE8" s="377">
        <f t="shared" ca="1" si="5"/>
        <v>1.8308779793569256E-2</v>
      </c>
      <c r="AF8" s="344"/>
      <c r="AG8" s="359">
        <f t="shared" ca="1" si="27"/>
        <v>46.665041691720496</v>
      </c>
      <c r="AH8" s="357">
        <f t="shared" ca="1" si="28"/>
        <v>56.326005748770257</v>
      </c>
    </row>
    <row r="9" spans="1:248" x14ac:dyDescent="0.25">
      <c r="A9" s="402">
        <f t="shared" ca="1" si="6"/>
        <v>0.01</v>
      </c>
      <c r="B9" s="357">
        <f t="shared" ca="1" si="7"/>
        <v>0.05</v>
      </c>
      <c r="C9" s="342"/>
      <c r="D9" s="359">
        <f t="shared" ca="1" si="8"/>
        <v>9.5886299166499782</v>
      </c>
      <c r="E9" s="360">
        <f t="shared" ca="1" si="9"/>
        <v>54.383010975842438</v>
      </c>
      <c r="F9" s="357">
        <f t="shared" ca="1" si="10"/>
        <v>55.221858955282137</v>
      </c>
      <c r="G9" s="359">
        <f t="shared" ca="1" si="11"/>
        <v>0.31006084482526247</v>
      </c>
      <c r="H9" s="360">
        <f t="shared" ca="1" si="12"/>
        <v>1.7585539210607766</v>
      </c>
      <c r="I9" s="357">
        <f t="shared" ca="1" si="13"/>
        <v>1.7856790363253938</v>
      </c>
      <c r="J9" s="359">
        <f t="shared" ca="1" si="14"/>
        <v>5.8492807523010653E-3</v>
      </c>
      <c r="K9" s="360">
        <f t="shared" ca="1" si="15"/>
        <v>3.3175168455384901E-2</v>
      </c>
      <c r="L9" s="357">
        <f t="shared" ca="1" si="0"/>
        <v>3.3686880047911906E-2</v>
      </c>
      <c r="M9" s="359">
        <f t="shared" ca="1" si="16"/>
        <v>1.3962634015954636</v>
      </c>
      <c r="N9" s="357">
        <f t="shared" ca="1" si="17"/>
        <v>80</v>
      </c>
      <c r="O9" s="343"/>
      <c r="P9" s="363">
        <f t="shared" ca="1" si="18"/>
        <v>2</v>
      </c>
      <c r="Q9" s="357">
        <f t="shared" ca="1" si="19"/>
        <v>746.02222222222224</v>
      </c>
      <c r="R9" s="359">
        <f t="shared" ca="1" si="20"/>
        <v>0.37370659844454851</v>
      </c>
      <c r="S9" s="360">
        <f t="shared" ca="1" si="21"/>
        <v>11.497927059469532</v>
      </c>
      <c r="T9" s="357">
        <f t="shared" ca="1" si="1"/>
        <v>112.79466445339612</v>
      </c>
      <c r="U9" s="364">
        <f t="shared" ca="1" si="2"/>
        <v>19.586587932885131</v>
      </c>
      <c r="V9" s="359">
        <f t="shared" ca="1" si="3"/>
        <v>1.2249959360486051</v>
      </c>
      <c r="W9" s="357">
        <f t="shared" ca="1" si="4"/>
        <v>8.9195222004872631E-3</v>
      </c>
      <c r="X9" s="343"/>
      <c r="Y9" s="367" t="str">
        <f t="shared" ca="1" si="22"/>
        <v/>
      </c>
      <c r="Z9" s="368" t="str">
        <f t="shared" ca="1" si="23"/>
        <v/>
      </c>
      <c r="AA9" s="369" t="str">
        <f t="shared" ca="1" si="24"/>
        <v/>
      </c>
      <c r="AB9" s="344"/>
      <c r="AC9" s="363" t="e">
        <f t="shared" ca="1" si="25"/>
        <v>#N/A</v>
      </c>
      <c r="AD9" s="376" t="e">
        <f t="shared" ca="1" si="26"/>
        <v>#N/A</v>
      </c>
      <c r="AE9" s="377">
        <f t="shared" ca="1" si="5"/>
        <v>3.3175168455384901E-2</v>
      </c>
      <c r="AF9" s="344"/>
      <c r="AG9" s="359">
        <f t="shared" ca="1" si="27"/>
        <v>55.221858952506516</v>
      </c>
      <c r="AH9" s="357">
        <f t="shared" ca="1" si="28"/>
        <v>64.882823009556276</v>
      </c>
    </row>
    <row r="10" spans="1:248" x14ac:dyDescent="0.25">
      <c r="A10" s="402">
        <f t="shared" ca="1" si="6"/>
        <v>0.01</v>
      </c>
      <c r="B10" s="357">
        <f t="shared" ca="1" si="7"/>
        <v>6.0000000000000005E-2</v>
      </c>
      <c r="C10" s="342"/>
      <c r="D10" s="359">
        <f t="shared" ca="1" si="8"/>
        <v>11.075914555903491</v>
      </c>
      <c r="E10" s="360">
        <f t="shared" ca="1" si="9"/>
        <v>62.818242244518558</v>
      </c>
      <c r="F10" s="357">
        <f t="shared" ca="1" si="10"/>
        <v>63.7872043747074</v>
      </c>
      <c r="G10" s="359">
        <f t="shared" ca="1" si="11"/>
        <v>0.4208199903842974</v>
      </c>
      <c r="H10" s="360">
        <f t="shared" ca="1" si="12"/>
        <v>2.3867363435059623</v>
      </c>
      <c r="I10" s="357">
        <f t="shared" ca="1" si="13"/>
        <v>2.4235510800722255</v>
      </c>
      <c r="J10" s="359">
        <f t="shared" ca="1" si="14"/>
        <v>9.5036849283488649E-3</v>
      </c>
      <c r="K10" s="360">
        <f t="shared" ca="1" si="15"/>
        <v>5.3901619778218599E-2</v>
      </c>
      <c r="L10" s="357">
        <f t="shared" ca="1" si="0"/>
        <v>5.473303062989452E-2</v>
      </c>
      <c r="M10" s="359">
        <f t="shared" ca="1" si="16"/>
        <v>1.3962634015954636</v>
      </c>
      <c r="N10" s="357">
        <f t="shared" ca="1" si="17"/>
        <v>80</v>
      </c>
      <c r="O10" s="343"/>
      <c r="P10" s="363">
        <f t="shared" ca="1" si="18"/>
        <v>2</v>
      </c>
      <c r="Q10" s="357">
        <f t="shared" ca="1" si="19"/>
        <v>844.2</v>
      </c>
      <c r="R10" s="359">
        <f t="shared" ca="1" si="20"/>
        <v>0.42288701463495137</v>
      </c>
      <c r="S10" s="360">
        <f t="shared" ca="1" si="21"/>
        <v>11.493698189323183</v>
      </c>
      <c r="T10" s="357">
        <f t="shared" ca="1" si="1"/>
        <v>112.75317923726043</v>
      </c>
      <c r="U10" s="364">
        <f t="shared" ca="1" si="2"/>
        <v>19.579384100703049</v>
      </c>
      <c r="V10" s="359">
        <f t="shared" ca="1" si="3"/>
        <v>1.2249933970693725</v>
      </c>
      <c r="W10" s="357">
        <f t="shared" ca="1" si="4"/>
        <v>1.6430025808692874E-2</v>
      </c>
      <c r="X10" s="343"/>
      <c r="Y10" s="367" t="str">
        <f t="shared" ca="1" si="22"/>
        <v/>
      </c>
      <c r="Z10" s="368" t="str">
        <f t="shared" ca="1" si="23"/>
        <v/>
      </c>
      <c r="AA10" s="369" t="str">
        <f t="shared" ca="1" si="24"/>
        <v/>
      </c>
      <c r="AB10" s="344"/>
      <c r="AC10" s="363" t="e">
        <f t="shared" ca="1" si="25"/>
        <v>#N/A</v>
      </c>
      <c r="AD10" s="376" t="e">
        <f t="shared" ca="1" si="26"/>
        <v>#N/A</v>
      </c>
      <c r="AE10" s="377">
        <f t="shared" ca="1" si="5"/>
        <v>5.3901619778218599E-2</v>
      </c>
      <c r="AF10" s="344"/>
      <c r="AG10" s="359">
        <f t="shared" ca="1" si="27"/>
        <v>63.787204371628157</v>
      </c>
      <c r="AH10" s="357">
        <f t="shared" ca="1" si="28"/>
        <v>73.448168428677917</v>
      </c>
    </row>
    <row r="11" spans="1:248" x14ac:dyDescent="0.25">
      <c r="A11" s="402">
        <f t="shared" ca="1" si="6"/>
        <v>0.01</v>
      </c>
      <c r="B11" s="357">
        <f t="shared" ca="1" si="7"/>
        <v>7.0000000000000007E-2</v>
      </c>
      <c r="C11" s="342"/>
      <c r="D11" s="359">
        <f t="shared" ca="1" si="8"/>
        <v>12.564860649317584</v>
      </c>
      <c r="E11" s="360">
        <f t="shared" ca="1" si="9"/>
        <v>71.262896570369008</v>
      </c>
      <c r="F11" s="357">
        <f t="shared" ca="1" si="10"/>
        <v>72.362118202384607</v>
      </c>
      <c r="G11" s="359">
        <f t="shared" ca="1" si="11"/>
        <v>0.54646859687747318</v>
      </c>
      <c r="H11" s="360">
        <f t="shared" ca="1" si="12"/>
        <v>3.0993653092096523</v>
      </c>
      <c r="I11" s="357">
        <f t="shared" ca="1" si="13"/>
        <v>3.1471722620958449</v>
      </c>
      <c r="J11" s="359">
        <f t="shared" ca="1" si="14"/>
        <v>1.4340127864657718E-2</v>
      </c>
      <c r="K11" s="360">
        <f t="shared" ca="1" si="15"/>
        <v>8.1332128041796667E-2</v>
      </c>
      <c r="L11" s="357">
        <f t="shared" ca="1" si="0"/>
        <v>8.2586647340729E-2</v>
      </c>
      <c r="M11" s="359">
        <f t="shared" ca="1" si="16"/>
        <v>1.3962634015954636</v>
      </c>
      <c r="N11" s="357">
        <f t="shared" ca="1" si="17"/>
        <v>80</v>
      </c>
      <c r="O11" s="343"/>
      <c r="P11" s="363">
        <f t="shared" ca="1" si="18"/>
        <v>2</v>
      </c>
      <c r="Q11" s="357">
        <f t="shared" ca="1" si="19"/>
        <v>942.37777777777774</v>
      </c>
      <c r="R11" s="359">
        <f t="shared" ca="1" si="20"/>
        <v>0.47206743082535424</v>
      </c>
      <c r="S11" s="360">
        <f t="shared" ca="1" si="21"/>
        <v>11.488977515014929</v>
      </c>
      <c r="T11" s="357">
        <f t="shared" ca="1" si="1"/>
        <v>112.70686942229645</v>
      </c>
      <c r="U11" s="364">
        <f t="shared" ca="1" si="2"/>
        <v>19.571342485726461</v>
      </c>
      <c r="V11" s="359">
        <f t="shared" ca="1" si="3"/>
        <v>1.2249900368548314</v>
      </c>
      <c r="W11" s="357">
        <f t="shared" ca="1" si="4"/>
        <v>2.7705993562472834E-2</v>
      </c>
      <c r="X11" s="343"/>
      <c r="Y11" s="367" t="str">
        <f t="shared" ca="1" si="22"/>
        <v/>
      </c>
      <c r="Z11" s="368" t="str">
        <f t="shared" ca="1" si="23"/>
        <v/>
      </c>
      <c r="AA11" s="369" t="str">
        <f t="shared" ca="1" si="24"/>
        <v/>
      </c>
      <c r="AB11" s="344"/>
      <c r="AC11" s="363" t="e">
        <f t="shared" ca="1" si="25"/>
        <v>#N/A</v>
      </c>
      <c r="AD11" s="376" t="e">
        <f t="shared" ca="1" si="26"/>
        <v>#N/A</v>
      </c>
      <c r="AE11" s="377">
        <f t="shared" ca="1" si="5"/>
        <v>8.1332128041796667E-2</v>
      </c>
      <c r="AF11" s="344"/>
      <c r="AG11" s="359">
        <f t="shared" ca="1" si="27"/>
        <v>72.362118198999411</v>
      </c>
      <c r="AH11" s="357">
        <f t="shared" ca="1" si="28"/>
        <v>82.023082256049179</v>
      </c>
    </row>
    <row r="12" spans="1:248" x14ac:dyDescent="0.25">
      <c r="A12" s="402">
        <f t="shared" ca="1" si="6"/>
        <v>0.01</v>
      </c>
      <c r="B12" s="357">
        <f t="shared" ca="1" si="7"/>
        <v>0.08</v>
      </c>
      <c r="C12" s="342"/>
      <c r="D12" s="359">
        <f t="shared" ca="1" si="8"/>
        <v>14.055647651938974</v>
      </c>
      <c r="E12" s="360">
        <f t="shared" ca="1" si="9"/>
        <v>79.717991748275338</v>
      </c>
      <c r="F12" s="357">
        <f t="shared" ca="1" si="10"/>
        <v>80.947633932645331</v>
      </c>
      <c r="G12" s="359">
        <f t="shared" ca="1" si="11"/>
        <v>0.68702507339686292</v>
      </c>
      <c r="H12" s="360">
        <f t="shared" ca="1" si="12"/>
        <v>3.8965452266924059</v>
      </c>
      <c r="I12" s="357">
        <f t="shared" ca="1" si="13"/>
        <v>3.9566486014220845</v>
      </c>
      <c r="J12" s="359">
        <f t="shared" ca="1" si="14"/>
        <v>2.0507596216029399E-2</v>
      </c>
      <c r="K12" s="360">
        <f t="shared" ca="1" si="15"/>
        <v>0.11631168072130696</v>
      </c>
      <c r="L12" s="357">
        <f t="shared" ca="1" si="0"/>
        <v>0.11810575165831236</v>
      </c>
      <c r="M12" s="359">
        <f t="shared" ca="1" si="16"/>
        <v>1.3962634015954636</v>
      </c>
      <c r="N12" s="357">
        <f t="shared" ca="1" si="17"/>
        <v>80</v>
      </c>
      <c r="O12" s="343"/>
      <c r="P12" s="363">
        <f t="shared" ca="1" si="18"/>
        <v>2</v>
      </c>
      <c r="Q12" s="357">
        <f t="shared" ca="1" si="19"/>
        <v>1040.5555555555557</v>
      </c>
      <c r="R12" s="359">
        <f t="shared" ca="1" si="20"/>
        <v>0.52124784701575722</v>
      </c>
      <c r="S12" s="360">
        <f t="shared" ca="1" si="21"/>
        <v>11.483765036544771</v>
      </c>
      <c r="T12" s="357">
        <f t="shared" ca="1" si="1"/>
        <v>112.65573500850421</v>
      </c>
      <c r="U12" s="364">
        <f t="shared" ca="1" si="2"/>
        <v>19.562463087955372</v>
      </c>
      <c r="V12" s="359">
        <f t="shared" ca="1" si="3"/>
        <v>1.2249857519019727</v>
      </c>
      <c r="W12" s="357">
        <f t="shared" ca="1" si="4"/>
        <v>4.3791129063640799E-2</v>
      </c>
      <c r="X12" s="343"/>
      <c r="Y12" s="367" t="str">
        <f t="shared" ca="1" si="22"/>
        <v/>
      </c>
      <c r="Z12" s="368" t="str">
        <f t="shared" ca="1" si="23"/>
        <v/>
      </c>
      <c r="AA12" s="369" t="str">
        <f t="shared" ca="1" si="24"/>
        <v/>
      </c>
      <c r="AB12" s="344"/>
      <c r="AC12" s="363" t="e">
        <f t="shared" ca="1" si="25"/>
        <v>#N/A</v>
      </c>
      <c r="AD12" s="376" t="e">
        <f t="shared" ca="1" si="26"/>
        <v>#N/A</v>
      </c>
      <c r="AE12" s="377">
        <f t="shared" ca="1" si="5"/>
        <v>0.11631168072130696</v>
      </c>
      <c r="AF12" s="344"/>
      <c r="AG12" s="359">
        <f t="shared" ca="1" si="27"/>
        <v>80.947633928952456</v>
      </c>
      <c r="AH12" s="357">
        <f t="shared" ca="1" si="28"/>
        <v>90.608597986002223</v>
      </c>
    </row>
    <row r="13" spans="1:248" x14ac:dyDescent="0.25">
      <c r="A13" s="402">
        <f t="shared" ca="1" si="6"/>
        <v>0.01</v>
      </c>
      <c r="B13" s="357">
        <f t="shared" ca="1" si="7"/>
        <v>0.09</v>
      </c>
      <c r="C13" s="342"/>
      <c r="D13" s="359">
        <f t="shared" ca="1" si="8"/>
        <v>15.548453910586982</v>
      </c>
      <c r="E13" s="360">
        <f t="shared" ca="1" si="9"/>
        <v>88.184539288281968</v>
      </c>
      <c r="F13" s="357">
        <f t="shared" ca="1" si="10"/>
        <v>89.544778678023405</v>
      </c>
      <c r="G13" s="359">
        <f t="shared" ca="1" si="11"/>
        <v>0.84250961250273271</v>
      </c>
      <c r="H13" s="360">
        <f t="shared" ca="1" si="12"/>
        <v>4.7783906195752257</v>
      </c>
      <c r="I13" s="357">
        <f t="shared" ca="1" si="13"/>
        <v>4.8520963882021153</v>
      </c>
      <c r="J13" s="359">
        <f t="shared" ca="1" si="14"/>
        <v>2.8155269645527378E-2</v>
      </c>
      <c r="K13" s="360">
        <f t="shared" ca="1" si="15"/>
        <v>0.15968635995264513</v>
      </c>
      <c r="L13" s="357">
        <f t="shared" ca="1" si="0"/>
        <v>0.16214947660642665</v>
      </c>
      <c r="M13" s="359">
        <f t="shared" ca="1" si="16"/>
        <v>1.3962634015954636</v>
      </c>
      <c r="N13" s="357">
        <f t="shared" ca="1" si="17"/>
        <v>80</v>
      </c>
      <c r="O13" s="343"/>
      <c r="P13" s="363">
        <f t="shared" ca="1" si="18"/>
        <v>2</v>
      </c>
      <c r="Q13" s="357">
        <f t="shared" ca="1" si="19"/>
        <v>1138.7333333333331</v>
      </c>
      <c r="R13" s="359">
        <f t="shared" ca="1" si="20"/>
        <v>0.57042826320615991</v>
      </c>
      <c r="S13" s="360">
        <f t="shared" ca="1" si="21"/>
        <v>11.478060753912709</v>
      </c>
      <c r="T13" s="357">
        <f t="shared" ca="1" si="1"/>
        <v>112.59977599588369</v>
      </c>
      <c r="U13" s="364">
        <f t="shared" ca="1" si="2"/>
        <v>19.552745907389777</v>
      </c>
      <c r="V13" s="359">
        <f t="shared" ca="1" si="3"/>
        <v>1.2249804385770908</v>
      </c>
      <c r="W13" s="357">
        <f t="shared" ca="1" si="4"/>
        <v>6.5854906216999853E-2</v>
      </c>
      <c r="X13" s="343"/>
      <c r="Y13" s="367" t="str">
        <f t="shared" ca="1" si="22"/>
        <v/>
      </c>
      <c r="Z13" s="368" t="str">
        <f t="shared" ca="1" si="23"/>
        <v/>
      </c>
      <c r="AA13" s="369" t="str">
        <f t="shared" ca="1" si="24"/>
        <v/>
      </c>
      <c r="AB13" s="344"/>
      <c r="AC13" s="363" t="e">
        <f t="shared" ca="1" si="25"/>
        <v>#N/A</v>
      </c>
      <c r="AD13" s="376" t="e">
        <f t="shared" ca="1" si="26"/>
        <v>#N/A</v>
      </c>
      <c r="AE13" s="377">
        <f t="shared" ca="1" si="5"/>
        <v>0.15968635995264513</v>
      </c>
      <c r="AF13" s="344"/>
      <c r="AG13" s="359">
        <f t="shared" ca="1" si="27"/>
        <v>89.54477867402143</v>
      </c>
      <c r="AH13" s="357">
        <f t="shared" ca="1" si="28"/>
        <v>99.205742731071197</v>
      </c>
    </row>
    <row r="14" spans="1:248" x14ac:dyDescent="0.25">
      <c r="A14" s="402">
        <f t="shared" ca="1" si="6"/>
        <v>0.01</v>
      </c>
      <c r="B14" s="357">
        <f t="shared" ca="1" si="7"/>
        <v>9.9999999999999992E-2</v>
      </c>
      <c r="C14" s="342"/>
      <c r="D14" s="359">
        <f t="shared" ca="1" si="8"/>
        <v>17.043456727144157</v>
      </c>
      <c r="E14" s="360">
        <f t="shared" ca="1" si="9"/>
        <v>96.663544774559355</v>
      </c>
      <c r="F14" s="357">
        <f t="shared" ca="1" si="10"/>
        <v>98.1545735337548</v>
      </c>
      <c r="G14" s="359">
        <f t="shared" ca="1" si="11"/>
        <v>1.0129441797741743</v>
      </c>
      <c r="H14" s="360">
        <f t="shared" ca="1" si="12"/>
        <v>5.7450260673208193</v>
      </c>
      <c r="I14" s="357">
        <f t="shared" ca="1" si="13"/>
        <v>5.8336421235394695</v>
      </c>
      <c r="J14" s="359">
        <f t="shared" ca="1" si="14"/>
        <v>3.7432538606911911E-2</v>
      </c>
      <c r="K14" s="360">
        <f t="shared" ca="1" si="15"/>
        <v>0.21230344338712537</v>
      </c>
      <c r="L14" s="357">
        <f t="shared" ca="1" si="0"/>
        <v>0.21557816916512743</v>
      </c>
      <c r="M14" s="359">
        <f t="shared" ca="1" si="16"/>
        <v>1.3962634015954636</v>
      </c>
      <c r="N14" s="357">
        <f t="shared" ca="1" si="17"/>
        <v>80</v>
      </c>
      <c r="O14" s="343"/>
      <c r="P14" s="363">
        <f t="shared" ca="1" si="18"/>
        <v>2</v>
      </c>
      <c r="Q14" s="357">
        <f t="shared" ca="1" si="19"/>
        <v>1236.911111111111</v>
      </c>
      <c r="R14" s="359">
        <f t="shared" ca="1" si="20"/>
        <v>0.61960867939656283</v>
      </c>
      <c r="S14" s="360">
        <f t="shared" ca="1" si="21"/>
        <v>11.471864667118744</v>
      </c>
      <c r="T14" s="357">
        <f t="shared" ca="1" si="1"/>
        <v>112.53899238443489</v>
      </c>
      <c r="U14" s="364">
        <f t="shared" ca="1" si="2"/>
        <v>19.542190944029677</v>
      </c>
      <c r="V14" s="359">
        <f t="shared" ca="1" si="3"/>
        <v>1.2249739931042529</v>
      </c>
      <c r="W14" s="357">
        <f t="shared" ca="1" si="4"/>
        <v>9.5193342650451734E-2</v>
      </c>
      <c r="X14" s="343"/>
      <c r="Y14" s="367" t="str">
        <f t="shared" ca="1" si="22"/>
        <v/>
      </c>
      <c r="Z14" s="368" t="str">
        <f t="shared" ca="1" si="23"/>
        <v/>
      </c>
      <c r="AA14" s="369" t="str">
        <f t="shared" ca="1" si="24"/>
        <v/>
      </c>
      <c r="AB14" s="344"/>
      <c r="AC14" s="363" t="e">
        <f t="shared" ca="1" si="25"/>
        <v>#N/A</v>
      </c>
      <c r="AD14" s="376" t="e">
        <f t="shared" ca="1" si="26"/>
        <v>#N/A</v>
      </c>
      <c r="AE14" s="377">
        <f t="shared" ca="1" si="5"/>
        <v>0.21230344338712537</v>
      </c>
      <c r="AF14" s="344"/>
      <c r="AG14" s="359">
        <f t="shared" ca="1" si="27"/>
        <v>98.15457352944253</v>
      </c>
      <c r="AH14" s="357">
        <f t="shared" ca="1" si="28"/>
        <v>107.8155375864923</v>
      </c>
    </row>
    <row r="15" spans="1:248" x14ac:dyDescent="0.25">
      <c r="A15" s="402">
        <f t="shared" ca="1" si="6"/>
        <v>0.01</v>
      </c>
      <c r="B15" s="357">
        <f t="shared" ca="1" si="7"/>
        <v>0.10999999999999999</v>
      </c>
      <c r="C15" s="342"/>
      <c r="D15" s="359">
        <f t="shared" ca="1" si="8"/>
        <v>17.687104891508604</v>
      </c>
      <c r="E15" s="360">
        <f t="shared" ca="1" si="9"/>
        <v>100.3140371908747</v>
      </c>
      <c r="F15" s="357">
        <f t="shared" ca="1" si="10"/>
        <v>101.86137509858887</v>
      </c>
      <c r="G15" s="359">
        <f t="shared" ca="1" si="11"/>
        <v>1.1898152286892603</v>
      </c>
      <c r="H15" s="360">
        <f t="shared" ca="1" si="12"/>
        <v>6.7481664392295659</v>
      </c>
      <c r="I15" s="357">
        <f t="shared" ca="1" si="13"/>
        <v>6.8522558745252002</v>
      </c>
      <c r="J15" s="359">
        <f t="shared" ca="1" si="14"/>
        <v>4.844633564922908E-2</v>
      </c>
      <c r="K15" s="360">
        <f t="shared" ca="1" si="15"/>
        <v>0.27476940591987731</v>
      </c>
      <c r="L15" s="357">
        <f t="shared" ca="1" si="0"/>
        <v>0.2790076591554434</v>
      </c>
      <c r="M15" s="359">
        <f t="shared" ca="1" si="16"/>
        <v>1.3962634015954636</v>
      </c>
      <c r="N15" s="357">
        <f t="shared" ca="1" si="17"/>
        <v>80</v>
      </c>
      <c r="O15" s="343"/>
      <c r="P15" s="363">
        <f t="shared" ca="1" si="18"/>
        <v>3</v>
      </c>
      <c r="Q15" s="357">
        <f t="shared" ca="1" si="19"/>
        <v>1278.75</v>
      </c>
      <c r="R15" s="359">
        <f t="shared" ca="1" si="20"/>
        <v>0.64056712860038389</v>
      </c>
      <c r="S15" s="360">
        <f t="shared" ca="1" si="21"/>
        <v>11.465458995832741</v>
      </c>
      <c r="T15" s="357">
        <f t="shared" ca="1" si="1"/>
        <v>112.47615274911919</v>
      </c>
      <c r="U15" s="364">
        <f t="shared" ca="1" si="2"/>
        <v>19.531278955871855</v>
      </c>
      <c r="V15" s="359">
        <f t="shared" ca="1" si="3"/>
        <v>1.224966341210195</v>
      </c>
      <c r="W15" s="357">
        <f t="shared" ca="1" si="4"/>
        <v>0.1313383155511246</v>
      </c>
      <c r="X15" s="343"/>
      <c r="Y15" s="367" t="str">
        <f t="shared" ca="1" si="22"/>
        <v/>
      </c>
      <c r="Z15" s="368" t="str">
        <f t="shared" ca="1" si="23"/>
        <v/>
      </c>
      <c r="AA15" s="369" t="str">
        <f t="shared" ca="1" si="24"/>
        <v/>
      </c>
      <c r="AB15" s="344"/>
      <c r="AC15" s="363" t="e">
        <f t="shared" ca="1" si="25"/>
        <v>#N/A</v>
      </c>
      <c r="AD15" s="376" t="e">
        <f t="shared" ca="1" si="26"/>
        <v>#N/A</v>
      </c>
      <c r="AE15" s="377">
        <f t="shared" ca="1" si="5"/>
        <v>0.27476940591987731</v>
      </c>
      <c r="AF15" s="344"/>
      <c r="AG15" s="359">
        <f t="shared" ca="1" si="27"/>
        <v>101.8613750941427</v>
      </c>
      <c r="AH15" s="357">
        <f t="shared" ca="1" si="28"/>
        <v>111.52233915119247</v>
      </c>
    </row>
    <row r="16" spans="1:248" x14ac:dyDescent="0.25">
      <c r="A16" s="402">
        <f t="shared" ca="1" si="6"/>
        <v>0.01</v>
      </c>
      <c r="B16" s="357">
        <f t="shared" ca="1" si="7"/>
        <v>0.11999999999999998</v>
      </c>
      <c r="C16" s="342"/>
      <c r="D16" s="359">
        <f t="shared" ca="1" si="8"/>
        <v>17.477541281786436</v>
      </c>
      <c r="E16" s="360">
        <f t="shared" ca="1" si="9"/>
        <v>99.125483748051749</v>
      </c>
      <c r="F16" s="357">
        <f t="shared" ca="1" si="10"/>
        <v>100.65448811425063</v>
      </c>
      <c r="G16" s="359">
        <f t="shared" ca="1" si="11"/>
        <v>1.3645906415071247</v>
      </c>
      <c r="H16" s="360">
        <f t="shared" ca="1" si="12"/>
        <v>7.7394212767100834</v>
      </c>
      <c r="I16" s="357">
        <f t="shared" ca="1" si="13"/>
        <v>7.8588007556675956</v>
      </c>
      <c r="J16" s="359">
        <f t="shared" ca="1" si="14"/>
        <v>6.1218365000211009E-2</v>
      </c>
      <c r="K16" s="360">
        <f t="shared" ca="1" si="15"/>
        <v>0.34720734449957558</v>
      </c>
      <c r="L16" s="357">
        <f t="shared" ca="1" si="0"/>
        <v>0.35256294230640012</v>
      </c>
      <c r="M16" s="359">
        <f t="shared" ca="1" si="16"/>
        <v>1.3962634015954636</v>
      </c>
      <c r="N16" s="357">
        <f t="shared" ca="1" si="17"/>
        <v>80</v>
      </c>
      <c r="O16" s="343"/>
      <c r="P16" s="363">
        <f t="shared" ca="1" si="18"/>
        <v>3</v>
      </c>
      <c r="Q16" s="357">
        <f t="shared" ca="1" si="19"/>
        <v>1264.25</v>
      </c>
      <c r="R16" s="359">
        <f t="shared" ca="1" si="20"/>
        <v>0.63330361081762288</v>
      </c>
      <c r="S16" s="360">
        <f t="shared" ca="1" si="21"/>
        <v>11.459125959724565</v>
      </c>
      <c r="T16" s="357">
        <f t="shared" ca="1" si="1"/>
        <v>112.41402566489799</v>
      </c>
      <c r="U16" s="364">
        <f t="shared" ca="1" si="2"/>
        <v>19.520490700913083</v>
      </c>
      <c r="V16" s="359">
        <f t="shared" ca="1" si="3"/>
        <v>1.2249574678386728</v>
      </c>
      <c r="W16" s="357">
        <f t="shared" ca="1" si="4"/>
        <v>0.17275622634945123</v>
      </c>
      <c r="X16" s="343"/>
      <c r="Y16" s="367" t="str">
        <f t="shared" ca="1" si="22"/>
        <v/>
      </c>
      <c r="Z16" s="368" t="str">
        <f t="shared" ca="1" si="23"/>
        <v/>
      </c>
      <c r="AA16" s="369" t="str">
        <f t="shared" ca="1" si="24"/>
        <v/>
      </c>
      <c r="AB16" s="344"/>
      <c r="AC16" s="363" t="e">
        <f t="shared" ca="1" si="25"/>
        <v>#N/A</v>
      </c>
      <c r="AD16" s="376" t="e">
        <f t="shared" ca="1" si="26"/>
        <v>#N/A</v>
      </c>
      <c r="AE16" s="377">
        <f t="shared" ca="1" si="5"/>
        <v>0.34720734449957558</v>
      </c>
      <c r="AF16" s="344"/>
      <c r="AG16" s="359">
        <f t="shared" ca="1" si="27"/>
        <v>100.65448810984776</v>
      </c>
      <c r="AH16" s="357">
        <f t="shared" ca="1" si="28"/>
        <v>110.31545216689751</v>
      </c>
    </row>
    <row r="17" spans="1:34" x14ac:dyDescent="0.25">
      <c r="A17" s="402">
        <f t="shared" ca="1" si="6"/>
        <v>0.01</v>
      </c>
      <c r="B17" s="357">
        <f t="shared" ca="1" si="7"/>
        <v>0.12999999999999998</v>
      </c>
      <c r="C17" s="342"/>
      <c r="D17" s="359">
        <f t="shared" ca="1" si="8"/>
        <v>17.26104457711125</v>
      </c>
      <c r="E17" s="360">
        <f t="shared" ca="1" si="9"/>
        <v>97.89760883053934</v>
      </c>
      <c r="F17" s="357">
        <f t="shared" ca="1" si="10"/>
        <v>99.407673117472768</v>
      </c>
      <c r="G17" s="359">
        <f t="shared" ca="1" si="11"/>
        <v>1.5372010872782371</v>
      </c>
      <c r="H17" s="360">
        <f t="shared" ca="1" si="12"/>
        <v>8.7183973650154769</v>
      </c>
      <c r="I17" s="357">
        <f t="shared" ca="1" si="13"/>
        <v>8.8528774868422424</v>
      </c>
      <c r="J17" s="359">
        <f t="shared" ca="1" si="14"/>
        <v>7.5727323644137812E-2</v>
      </c>
      <c r="K17" s="360">
        <f t="shared" ca="1" si="15"/>
        <v>0.42949643770820339</v>
      </c>
      <c r="L17" s="357">
        <f t="shared" ca="1" si="0"/>
        <v>0.43612133351894244</v>
      </c>
      <c r="M17" s="359">
        <f t="shared" ca="1" si="16"/>
        <v>1.3962634015954636</v>
      </c>
      <c r="N17" s="357">
        <f t="shared" ca="1" si="17"/>
        <v>80</v>
      </c>
      <c r="O17" s="343"/>
      <c r="P17" s="363">
        <f t="shared" ca="1" si="18"/>
        <v>4</v>
      </c>
      <c r="Q17" s="357">
        <f t="shared" ca="1" si="19"/>
        <v>1249.3214285714287</v>
      </c>
      <c r="R17" s="359">
        <f t="shared" ca="1" si="20"/>
        <v>0.62582540778019913</v>
      </c>
      <c r="S17" s="360">
        <f t="shared" ca="1" si="21"/>
        <v>11.452867705646764</v>
      </c>
      <c r="T17" s="357">
        <f t="shared" ca="1" si="1"/>
        <v>112.35263219239475</v>
      </c>
      <c r="U17" s="364">
        <f t="shared" ca="1" si="2"/>
        <v>19.509829836292248</v>
      </c>
      <c r="V17" s="359">
        <f t="shared" ca="1" si="3"/>
        <v>1.224947387816218</v>
      </c>
      <c r="W17" s="357">
        <f t="shared" ca="1" si="4"/>
        <v>0.21922318689738998</v>
      </c>
      <c r="X17" s="343"/>
      <c r="Y17" s="367" t="str">
        <f t="shared" ca="1" si="22"/>
        <v/>
      </c>
      <c r="Z17" s="368" t="str">
        <f t="shared" ca="1" si="23"/>
        <v/>
      </c>
      <c r="AA17" s="369" t="str">
        <f t="shared" ca="1" si="24"/>
        <v/>
      </c>
      <c r="AB17" s="344"/>
      <c r="AC17" s="363" t="e">
        <f t="shared" ca="1" si="25"/>
        <v>#N/A</v>
      </c>
      <c r="AD17" s="376" t="e">
        <f t="shared" ca="1" si="26"/>
        <v>#N/A</v>
      </c>
      <c r="AE17" s="377">
        <f t="shared" ca="1" si="5"/>
        <v>0.42949643770820339</v>
      </c>
      <c r="AF17" s="344"/>
      <c r="AG17" s="359">
        <f t="shared" ca="1" si="27"/>
        <v>99.407673113114555</v>
      </c>
      <c r="AH17" s="357">
        <f t="shared" ca="1" si="28"/>
        <v>109.06863717016432</v>
      </c>
    </row>
    <row r="18" spans="1:34" x14ac:dyDescent="0.25">
      <c r="A18" s="402">
        <f t="shared" ca="1" si="6"/>
        <v>0.01</v>
      </c>
      <c r="B18" s="357">
        <f t="shared" ca="1" si="7"/>
        <v>0.13999999999999999</v>
      </c>
      <c r="C18" s="342"/>
      <c r="D18" s="359">
        <f t="shared" ca="1" si="8"/>
        <v>17.037607535380523</v>
      </c>
      <c r="E18" s="360">
        <f t="shared" ca="1" si="9"/>
        <v>96.630371363355977</v>
      </c>
      <c r="F18" s="357">
        <f t="shared" ca="1" si="10"/>
        <v>98.120888399717131</v>
      </c>
      <c r="G18" s="359">
        <f t="shared" ca="1" si="11"/>
        <v>1.7075771626320424</v>
      </c>
      <c r="H18" s="360">
        <f t="shared" ca="1" si="12"/>
        <v>9.6847010786490362</v>
      </c>
      <c r="I18" s="357">
        <f t="shared" ca="1" si="13"/>
        <v>9.8340863708393531</v>
      </c>
      <c r="J18" s="359">
        <f t="shared" ca="1" si="14"/>
        <v>9.1951214893689209E-2</v>
      </c>
      <c r="K18" s="360">
        <f t="shared" ca="1" si="15"/>
        <v>0.52151192992652595</v>
      </c>
      <c r="L18" s="357">
        <f t="shared" ca="1" si="0"/>
        <v>0.52955615280734403</v>
      </c>
      <c r="M18" s="359">
        <f t="shared" ca="1" si="16"/>
        <v>1.3962634015954636</v>
      </c>
      <c r="N18" s="357">
        <f t="shared" ca="1" si="17"/>
        <v>80</v>
      </c>
      <c r="O18" s="343"/>
      <c r="P18" s="363">
        <f t="shared" ca="1" si="18"/>
        <v>4</v>
      </c>
      <c r="Q18" s="357">
        <f t="shared" ca="1" si="19"/>
        <v>1233.9642857142858</v>
      </c>
      <c r="R18" s="359">
        <f t="shared" ca="1" si="20"/>
        <v>0.61813251948811243</v>
      </c>
      <c r="S18" s="360">
        <f t="shared" ca="1" si="21"/>
        <v>11.446686380451883</v>
      </c>
      <c r="T18" s="357">
        <f t="shared" ca="1" si="1"/>
        <v>112.29199339223298</v>
      </c>
      <c r="U18" s="364">
        <f t="shared" ca="1" si="2"/>
        <v>19.499300019148247</v>
      </c>
      <c r="V18" s="359">
        <f t="shared" ca="1" si="3"/>
        <v>1.2249361164543855</v>
      </c>
      <c r="W18" s="357">
        <f t="shared" ca="1" si="4"/>
        <v>0.27050893776194418</v>
      </c>
      <c r="X18" s="343"/>
      <c r="Y18" s="367" t="str">
        <f t="shared" ca="1" si="22"/>
        <v/>
      </c>
      <c r="Z18" s="368" t="str">
        <f t="shared" ca="1" si="23"/>
        <v/>
      </c>
      <c r="AA18" s="369" t="str">
        <f t="shared" ca="1" si="24"/>
        <v/>
      </c>
      <c r="AB18" s="344"/>
      <c r="AC18" s="363" t="e">
        <f t="shared" ca="1" si="25"/>
        <v>#N/A</v>
      </c>
      <c r="AD18" s="376" t="e">
        <f t="shared" ca="1" si="26"/>
        <v>#N/A</v>
      </c>
      <c r="AE18" s="377">
        <f t="shared" ca="1" si="5"/>
        <v>0.52151192992652595</v>
      </c>
      <c r="AF18" s="344"/>
      <c r="AG18" s="359">
        <f t="shared" ca="1" si="27"/>
        <v>98.120888395405004</v>
      </c>
      <c r="AH18" s="357">
        <f t="shared" ca="1" si="28"/>
        <v>107.78185245245477</v>
      </c>
    </row>
    <row r="19" spans="1:34" x14ac:dyDescent="0.25">
      <c r="A19" s="402">
        <f t="shared" ca="1" si="6"/>
        <v>0.01</v>
      </c>
      <c r="B19" s="357">
        <f t="shared" ca="1" si="7"/>
        <v>0.15</v>
      </c>
      <c r="C19" s="342"/>
      <c r="D19" s="359">
        <f t="shared" ca="1" si="8"/>
        <v>16.813731564920509</v>
      </c>
      <c r="E19" s="360">
        <f t="shared" ca="1" si="9"/>
        <v>95.360644504337529</v>
      </c>
      <c r="F19" s="357">
        <f t="shared" ca="1" si="10"/>
        <v>96.83157589040799</v>
      </c>
      <c r="G19" s="359">
        <f t="shared" ca="1" si="11"/>
        <v>1.8757144782812474</v>
      </c>
      <c r="H19" s="360">
        <f t="shared" ca="1" si="12"/>
        <v>10.638307523692411</v>
      </c>
      <c r="I19" s="357">
        <f t="shared" ca="1" si="13"/>
        <v>10.802402129743387</v>
      </c>
      <c r="J19" s="359">
        <f t="shared" ca="1" si="14"/>
        <v>0.10986767309825565</v>
      </c>
      <c r="K19" s="360">
        <f t="shared" ca="1" si="15"/>
        <v>0.62312697293823316</v>
      </c>
      <c r="L19" s="357">
        <f t="shared" ca="1" si="0"/>
        <v>0.63273859531025189</v>
      </c>
      <c r="M19" s="359">
        <f t="shared" ca="1" si="16"/>
        <v>1.3962634015954636</v>
      </c>
      <c r="N19" s="357">
        <f t="shared" ca="1" si="17"/>
        <v>80</v>
      </c>
      <c r="O19" s="343"/>
      <c r="P19" s="363">
        <f t="shared" ca="1" si="18"/>
        <v>4</v>
      </c>
      <c r="Q19" s="357">
        <f t="shared" ca="1" si="19"/>
        <v>1218.6071428571429</v>
      </c>
      <c r="R19" s="359">
        <f t="shared" ca="1" si="20"/>
        <v>0.61043963119602562</v>
      </c>
      <c r="S19" s="360">
        <f t="shared" ca="1" si="21"/>
        <v>11.440581984139923</v>
      </c>
      <c r="T19" s="357">
        <f t="shared" ca="1" si="1"/>
        <v>112.23210926441266</v>
      </c>
      <c r="U19" s="364">
        <f t="shared" ca="1" si="2"/>
        <v>19.488901249481074</v>
      </c>
      <c r="V19" s="359">
        <f t="shared" ca="1" si="3"/>
        <v>1.2249236693240002</v>
      </c>
      <c r="W19" s="357">
        <f t="shared" ca="1" si="4"/>
        <v>0.3263997743783737</v>
      </c>
      <c r="X19" s="343"/>
      <c r="Y19" s="367" t="str">
        <f t="shared" ca="1" si="22"/>
        <v/>
      </c>
      <c r="Z19" s="368" t="str">
        <f t="shared" ca="1" si="23"/>
        <v/>
      </c>
      <c r="AA19" s="369" t="str">
        <f t="shared" ca="1" si="24"/>
        <v/>
      </c>
      <c r="AB19" s="344"/>
      <c r="AC19" s="363" t="e">
        <f t="shared" ca="1" si="25"/>
        <v>#N/A</v>
      </c>
      <c r="AD19" s="376" t="e">
        <f t="shared" ca="1" si="26"/>
        <v>#N/A</v>
      </c>
      <c r="AE19" s="377">
        <f t="shared" ca="1" si="5"/>
        <v>0.62312697293823316</v>
      </c>
      <c r="AF19" s="344"/>
      <c r="AG19" s="359">
        <f t="shared" ca="1" si="27"/>
        <v>96.831575886142005</v>
      </c>
      <c r="AH19" s="357">
        <f t="shared" ca="1" si="28"/>
        <v>106.49253994319177</v>
      </c>
    </row>
    <row r="20" spans="1:34" x14ac:dyDescent="0.25">
      <c r="A20" s="402">
        <f t="shared" ca="1" si="6"/>
        <v>0.01</v>
      </c>
      <c r="B20" s="357">
        <f t="shared" ca="1" si="7"/>
        <v>0.16</v>
      </c>
      <c r="C20" s="342"/>
      <c r="D20" s="359">
        <f t="shared" ca="1" si="8"/>
        <v>16.589423726680398</v>
      </c>
      <c r="E20" s="360">
        <f t="shared" ca="1" si="9"/>
        <v>94.088468299225639</v>
      </c>
      <c r="F20" s="357">
        <f t="shared" ca="1" si="10"/>
        <v>95.539776253023192</v>
      </c>
      <c r="G20" s="359">
        <f t="shared" ca="1" si="11"/>
        <v>2.0416087155480511</v>
      </c>
      <c r="H20" s="360">
        <f t="shared" ca="1" si="12"/>
        <v>11.579192206684668</v>
      </c>
      <c r="I20" s="357">
        <f t="shared" ca="1" si="13"/>
        <v>11.757799892273585</v>
      </c>
      <c r="J20" s="359">
        <f t="shared" ca="1" si="14"/>
        <v>0.12945428906740214</v>
      </c>
      <c r="K20" s="360">
        <f t="shared" ca="1" si="15"/>
        <v>0.73421447159011854</v>
      </c>
      <c r="L20" s="357">
        <f t="shared" ca="1" si="0"/>
        <v>0.74553960542033149</v>
      </c>
      <c r="M20" s="359">
        <f t="shared" ca="1" si="16"/>
        <v>1.3962634015954636</v>
      </c>
      <c r="N20" s="357">
        <f t="shared" ca="1" si="17"/>
        <v>80</v>
      </c>
      <c r="O20" s="343"/>
      <c r="P20" s="363">
        <f t="shared" ca="1" si="18"/>
        <v>4</v>
      </c>
      <c r="Q20" s="357">
        <f t="shared" ca="1" si="19"/>
        <v>1203.25</v>
      </c>
      <c r="R20" s="359">
        <f t="shared" ca="1" si="20"/>
        <v>0.60274674290393893</v>
      </c>
      <c r="S20" s="360">
        <f t="shared" ca="1" si="21"/>
        <v>11.434554516710884</v>
      </c>
      <c r="T20" s="357">
        <f t="shared" ca="1" si="1"/>
        <v>112.17297980893377</v>
      </c>
      <c r="U20" s="364">
        <f t="shared" ca="1" si="2"/>
        <v>19.478633527290729</v>
      </c>
      <c r="V20" s="359">
        <f t="shared" ca="1" si="3"/>
        <v>1.2249100620289182</v>
      </c>
      <c r="W20" s="357">
        <f t="shared" ca="1" si="4"/>
        <v>0.38668424183231431</v>
      </c>
      <c r="X20" s="343"/>
      <c r="Y20" s="367" t="str">
        <f t="shared" ca="1" si="22"/>
        <v/>
      </c>
      <c r="Z20" s="368" t="str">
        <f t="shared" ca="1" si="23"/>
        <v/>
      </c>
      <c r="AA20" s="369" t="str">
        <f t="shared" ca="1" si="24"/>
        <v/>
      </c>
      <c r="AB20" s="344"/>
      <c r="AC20" s="363" t="e">
        <f t="shared" ca="1" si="25"/>
        <v>#N/A</v>
      </c>
      <c r="AD20" s="376" t="e">
        <f t="shared" ca="1" si="26"/>
        <v>#N/A</v>
      </c>
      <c r="AE20" s="377">
        <f t="shared" ca="1" si="5"/>
        <v>0.73421447159011854</v>
      </c>
      <c r="AF20" s="344"/>
      <c r="AG20" s="359">
        <f t="shared" ca="1" si="27"/>
        <v>95.539776248803378</v>
      </c>
      <c r="AH20" s="357">
        <f t="shared" ca="1" si="28"/>
        <v>105.20074030585313</v>
      </c>
    </row>
    <row r="21" spans="1:34" x14ac:dyDescent="0.25">
      <c r="A21" s="402">
        <f t="shared" ca="1" si="6"/>
        <v>0.01</v>
      </c>
      <c r="B21" s="357">
        <f t="shared" ca="1" si="7"/>
        <v>0.17</v>
      </c>
      <c r="C21" s="342"/>
      <c r="D21" s="359">
        <f t="shared" ca="1" si="8"/>
        <v>16.364691079860773</v>
      </c>
      <c r="E21" s="360">
        <f t="shared" ca="1" si="9"/>
        <v>92.813882783851568</v>
      </c>
      <c r="F21" s="357">
        <f t="shared" ca="1" si="10"/>
        <v>94.245530140977053</v>
      </c>
      <c r="G21" s="359">
        <f t="shared" ca="1" si="11"/>
        <v>2.2052556263466587</v>
      </c>
      <c r="H21" s="360">
        <f t="shared" ca="1" si="12"/>
        <v>12.507331034523183</v>
      </c>
      <c r="I21" s="357">
        <f t="shared" ca="1" si="13"/>
        <v>12.700255193683327</v>
      </c>
      <c r="J21" s="359">
        <f t="shared" ca="1" si="14"/>
        <v>0.1506886107768757</v>
      </c>
      <c r="K21" s="360">
        <f t="shared" ca="1" si="15"/>
        <v>0.85464708779615783</v>
      </c>
      <c r="L21" s="357">
        <f t="shared" ca="1" si="0"/>
        <v>0.86782988085011126</v>
      </c>
      <c r="M21" s="359">
        <f t="shared" ca="1" si="16"/>
        <v>1.3962634015954636</v>
      </c>
      <c r="N21" s="357">
        <f t="shared" ca="1" si="17"/>
        <v>80</v>
      </c>
      <c r="O21" s="343"/>
      <c r="P21" s="363">
        <f t="shared" ca="1" si="18"/>
        <v>4</v>
      </c>
      <c r="Q21" s="357">
        <f t="shared" ca="1" si="19"/>
        <v>1187.8928571428571</v>
      </c>
      <c r="R21" s="359">
        <f t="shared" ca="1" si="20"/>
        <v>0.59505385461185212</v>
      </c>
      <c r="S21" s="360">
        <f t="shared" ca="1" si="21"/>
        <v>11.428603978164766</v>
      </c>
      <c r="T21" s="357">
        <f t="shared" ca="1" si="1"/>
        <v>112.11460502579637</v>
      </c>
      <c r="U21" s="364">
        <f t="shared" ca="1" si="2"/>
        <v>19.468496852577218</v>
      </c>
      <c r="V21" s="359">
        <f t="shared" ca="1" si="3"/>
        <v>1.2248953102053866</v>
      </c>
      <c r="W21" s="357">
        <f t="shared" ca="1" si="4"/>
        <v>0.45115316630058128</v>
      </c>
      <c r="X21" s="343"/>
      <c r="Y21" s="367" t="str">
        <f t="shared" ca="1" si="22"/>
        <v/>
      </c>
      <c r="Z21" s="368" t="str">
        <f t="shared" ca="1" si="23"/>
        <v/>
      </c>
      <c r="AA21" s="369" t="str">
        <f t="shared" ca="1" si="24"/>
        <v/>
      </c>
      <c r="AB21" s="344"/>
      <c r="AC21" s="363" t="e">
        <f t="shared" ca="1" si="25"/>
        <v>#N/A</v>
      </c>
      <c r="AD21" s="376" t="e">
        <f t="shared" ca="1" si="26"/>
        <v>#N/A</v>
      </c>
      <c r="AE21" s="377">
        <f t="shared" ca="1" si="5"/>
        <v>0.85464708779615783</v>
      </c>
      <c r="AF21" s="344"/>
      <c r="AG21" s="359">
        <f t="shared" ca="1" si="27"/>
        <v>94.245530136803424</v>
      </c>
      <c r="AH21" s="357">
        <f t="shared" ca="1" si="28"/>
        <v>103.90649419385319</v>
      </c>
    </row>
    <row r="22" spans="1:34" x14ac:dyDescent="0.25">
      <c r="A22" s="402">
        <f t="shared" ca="1" si="6"/>
        <v>0.01</v>
      </c>
      <c r="B22" s="357">
        <f t="shared" ca="1" si="7"/>
        <v>0.18000000000000002</v>
      </c>
      <c r="C22" s="342"/>
      <c r="D22" s="359">
        <f t="shared" ca="1" si="8"/>
        <v>16.139540680955623</v>
      </c>
      <c r="E22" s="360">
        <f t="shared" ca="1" si="9"/>
        <v>91.53692797870319</v>
      </c>
      <c r="F22" s="357">
        <f t="shared" ca="1" si="10"/>
        <v>92.948878192103621</v>
      </c>
      <c r="G22" s="359">
        <f t="shared" ca="1" si="11"/>
        <v>2.3666510331562147</v>
      </c>
      <c r="H22" s="360">
        <f t="shared" ca="1" si="12"/>
        <v>13.422700314310216</v>
      </c>
      <c r="I22" s="357">
        <f t="shared" ca="1" si="13"/>
        <v>13.629743975604345</v>
      </c>
      <c r="J22" s="359">
        <f t="shared" ca="1" si="14"/>
        <v>0.17354814407439006</v>
      </c>
      <c r="K22" s="360">
        <f t="shared" ca="1" si="15"/>
        <v>0.98429724454032486</v>
      </c>
      <c r="L22" s="357">
        <f t="shared" ca="1" si="0"/>
        <v>0.99947987669654526</v>
      </c>
      <c r="M22" s="359">
        <f t="shared" ca="1" si="16"/>
        <v>1.3962634015954636</v>
      </c>
      <c r="N22" s="357">
        <f t="shared" ca="1" si="17"/>
        <v>80</v>
      </c>
      <c r="O22" s="343"/>
      <c r="P22" s="363">
        <f t="shared" ca="1" si="18"/>
        <v>4</v>
      </c>
      <c r="Q22" s="357">
        <f t="shared" ca="1" si="19"/>
        <v>1172.5357142857142</v>
      </c>
      <c r="R22" s="359">
        <f t="shared" ca="1" si="20"/>
        <v>0.58736096631976542</v>
      </c>
      <c r="S22" s="360">
        <f t="shared" ca="1" si="21"/>
        <v>11.422730368501568</v>
      </c>
      <c r="T22" s="357">
        <f t="shared" ca="1" si="1"/>
        <v>112.0569849150004</v>
      </c>
      <c r="U22" s="364">
        <f t="shared" ca="1" si="2"/>
        <v>19.458491225340531</v>
      </c>
      <c r="V22" s="359">
        <f t="shared" ca="1" si="3"/>
        <v>1.2248794295214034</v>
      </c>
      <c r="W22" s="357">
        <f t="shared" ca="1" si="4"/>
        <v>0.51959968599146811</v>
      </c>
      <c r="X22" s="343"/>
      <c r="Y22" s="367" t="str">
        <f t="shared" ca="1" si="22"/>
        <v/>
      </c>
      <c r="Z22" s="368" t="str">
        <f t="shared" ca="1" si="23"/>
        <v/>
      </c>
      <c r="AA22" s="369" t="str">
        <f t="shared" ca="1" si="24"/>
        <v/>
      </c>
      <c r="AB22" s="344"/>
      <c r="AC22" s="363" t="e">
        <f t="shared" ca="1" si="25"/>
        <v>#N/A</v>
      </c>
      <c r="AD22" s="376" t="e">
        <f t="shared" ca="1" si="26"/>
        <v>#N/A</v>
      </c>
      <c r="AE22" s="377">
        <f t="shared" ca="1" si="5"/>
        <v>0.98429724454032486</v>
      </c>
      <c r="AF22" s="344"/>
      <c r="AG22" s="359">
        <f t="shared" ca="1" si="27"/>
        <v>92.948878187976234</v>
      </c>
      <c r="AH22" s="357">
        <f t="shared" ca="1" si="28"/>
        <v>102.609842245026</v>
      </c>
    </row>
    <row r="23" spans="1:34" x14ac:dyDescent="0.25">
      <c r="A23" s="402">
        <f t="shared" ca="1" si="6"/>
        <v>0.01</v>
      </c>
      <c r="B23" s="357">
        <f t="shared" ca="1" si="7"/>
        <v>0.19000000000000003</v>
      </c>
      <c r="C23" s="342"/>
      <c r="D23" s="359">
        <f t="shared" ca="1" si="8"/>
        <v>15.913979582799213</v>
      </c>
      <c r="E23" s="360">
        <f t="shared" ca="1" si="9"/>
        <v>90.257643883519336</v>
      </c>
      <c r="F23" s="357">
        <f t="shared" ca="1" si="10"/>
        <v>91.649861023167659</v>
      </c>
      <c r="G23" s="359">
        <f t="shared" ca="1" si="11"/>
        <v>2.5257908289842068</v>
      </c>
      <c r="H23" s="360">
        <f t="shared" ca="1" si="12"/>
        <v>14.32527675314541</v>
      </c>
      <c r="I23" s="357">
        <f t="shared" ca="1" si="13"/>
        <v>14.546242585836007</v>
      </c>
      <c r="J23" s="359">
        <f t="shared" ca="1" si="14"/>
        <v>0.19801035338509218</v>
      </c>
      <c r="K23" s="360">
        <f t="shared" ca="1" si="15"/>
        <v>1.123037129877603</v>
      </c>
      <c r="L23" s="357">
        <f t="shared" ca="1" si="0"/>
        <v>1.140359809503743</v>
      </c>
      <c r="M23" s="359">
        <f t="shared" ca="1" si="16"/>
        <v>1.3962634015954636</v>
      </c>
      <c r="N23" s="357">
        <f t="shared" ca="1" si="17"/>
        <v>80</v>
      </c>
      <c r="O23" s="343"/>
      <c r="P23" s="363">
        <f t="shared" ca="1" si="18"/>
        <v>4</v>
      </c>
      <c r="Q23" s="357">
        <f t="shared" ca="1" si="19"/>
        <v>1157.1785714285713</v>
      </c>
      <c r="R23" s="359">
        <f t="shared" ca="1" si="20"/>
        <v>0.57966807802767872</v>
      </c>
      <c r="S23" s="360">
        <f t="shared" ca="1" si="21"/>
        <v>11.416933687721292</v>
      </c>
      <c r="T23" s="357">
        <f t="shared" ca="1" si="1"/>
        <v>112.00011947654588</v>
      </c>
      <c r="U23" s="364">
        <f t="shared" ca="1" si="2"/>
        <v>19.448616645580671</v>
      </c>
      <c r="V23" s="359">
        <f t="shared" ca="1" si="3"/>
        <v>1.2248624356760822</v>
      </c>
      <c r="W23" s="357">
        <f t="shared" ca="1" si="4"/>
        <v>0.59181928158104458</v>
      </c>
      <c r="X23" s="343"/>
      <c r="Y23" s="367" t="str">
        <f t="shared" ca="1" si="22"/>
        <v/>
      </c>
      <c r="Z23" s="368" t="str">
        <f t="shared" ca="1" si="23"/>
        <v/>
      </c>
      <c r="AA23" s="369" t="str">
        <f t="shared" ca="1" si="24"/>
        <v/>
      </c>
      <c r="AB23" s="344"/>
      <c r="AC23" s="363" t="e">
        <f t="shared" ca="1" si="25"/>
        <v>#N/A</v>
      </c>
      <c r="AD23" s="376" t="e">
        <f t="shared" ca="1" si="26"/>
        <v>#N/A</v>
      </c>
      <c r="AE23" s="377">
        <f t="shared" ca="1" si="5"/>
        <v>1.123037129877603</v>
      </c>
      <c r="AF23" s="344"/>
      <c r="AG23" s="359">
        <f t="shared" ca="1" si="27"/>
        <v>91.649861019086558</v>
      </c>
      <c r="AH23" s="357">
        <f t="shared" ca="1" si="28"/>
        <v>101.31082507613633</v>
      </c>
    </row>
    <row r="24" spans="1:34" x14ac:dyDescent="0.25">
      <c r="A24" s="402">
        <f t="shared" ca="1" si="6"/>
        <v>0.01</v>
      </c>
      <c r="B24" s="357">
        <f t="shared" ca="1" si="7"/>
        <v>0.20000000000000004</v>
      </c>
      <c r="C24" s="342"/>
      <c r="D24" s="359">
        <f t="shared" ca="1" si="8"/>
        <v>15.688014833618046</v>
      </c>
      <c r="E24" s="360">
        <f t="shared" ca="1" si="9"/>
        <v>88.976070471913289</v>
      </c>
      <c r="F24" s="357">
        <f t="shared" ca="1" si="10"/>
        <v>90.348519224405109</v>
      </c>
      <c r="G24" s="359">
        <f t="shared" ca="1" si="11"/>
        <v>2.6826709773203872</v>
      </c>
      <c r="H24" s="360">
        <f t="shared" ca="1" si="12"/>
        <v>15.215037457864543</v>
      </c>
      <c r="I24" s="357">
        <f t="shared" ca="1" si="13"/>
        <v>15.449727778080048</v>
      </c>
      <c r="J24" s="359">
        <f t="shared" ca="1" si="14"/>
        <v>0.22405266241661514</v>
      </c>
      <c r="K24" s="360">
        <f t="shared" ca="1" si="15"/>
        <v>1.2707387009326527</v>
      </c>
      <c r="L24" s="357">
        <f t="shared" ca="1" si="0"/>
        <v>1.2903396613233198</v>
      </c>
      <c r="M24" s="359">
        <f t="shared" ca="1" si="16"/>
        <v>1.3962634015954636</v>
      </c>
      <c r="N24" s="357">
        <f t="shared" ca="1" si="17"/>
        <v>80</v>
      </c>
      <c r="O24" s="343"/>
      <c r="P24" s="363">
        <f t="shared" ca="1" si="18"/>
        <v>4</v>
      </c>
      <c r="Q24" s="357">
        <f t="shared" ca="1" si="19"/>
        <v>1141.8214285714284</v>
      </c>
      <c r="R24" s="359">
        <f t="shared" ca="1" si="20"/>
        <v>0.57197518973559192</v>
      </c>
      <c r="S24" s="360">
        <f t="shared" ca="1" si="21"/>
        <v>11.411213935823936</v>
      </c>
      <c r="T24" s="357">
        <f t="shared" ca="1" si="1"/>
        <v>111.94400871043281</v>
      </c>
      <c r="U24" s="364">
        <f t="shared" ca="1" si="2"/>
        <v>19.438873113297642</v>
      </c>
      <c r="V24" s="359">
        <f t="shared" ca="1" si="3"/>
        <v>1.2248443443990158</v>
      </c>
      <c r="W24" s="357">
        <f t="shared" ca="1" si="4"/>
        <v>0.66760980614217191</v>
      </c>
      <c r="X24" s="343"/>
      <c r="Y24" s="367" t="str">
        <f t="shared" ca="1" si="22"/>
        <v/>
      </c>
      <c r="Z24" s="368" t="str">
        <f t="shared" ca="1" si="23"/>
        <v/>
      </c>
      <c r="AA24" s="369" t="str">
        <f t="shared" ca="1" si="24"/>
        <v/>
      </c>
      <c r="AB24" s="344"/>
      <c r="AC24" s="363" t="e">
        <f t="shared" ca="1" si="25"/>
        <v>#N/A</v>
      </c>
      <c r="AD24" s="376" t="e">
        <f t="shared" ca="1" si="26"/>
        <v>#N/A</v>
      </c>
      <c r="AE24" s="377">
        <f t="shared" ca="1" si="5"/>
        <v>1.2707387009326527</v>
      </c>
      <c r="AF24" s="344"/>
      <c r="AG24" s="359">
        <f t="shared" ca="1" si="27"/>
        <v>90.348519220370349</v>
      </c>
      <c r="AH24" s="357">
        <f t="shared" ca="1" si="28"/>
        <v>100.00948327742012</v>
      </c>
    </row>
    <row r="25" spans="1:34" x14ac:dyDescent="0.25">
      <c r="A25" s="402">
        <f t="shared" ca="1" si="6"/>
        <v>0.01</v>
      </c>
      <c r="B25" s="357">
        <f t="shared" ca="1" si="7"/>
        <v>0.21000000000000005</v>
      </c>
      <c r="C25" s="342"/>
      <c r="D25" s="359">
        <f t="shared" ca="1" si="8"/>
        <v>15.461653476088093</v>
      </c>
      <c r="E25" s="360">
        <f t="shared" ca="1" si="9"/>
        <v>87.692247686025965</v>
      </c>
      <c r="F25" s="357">
        <f t="shared" ca="1" si="10"/>
        <v>89.044893354093887</v>
      </c>
      <c r="G25" s="359">
        <f t="shared" ca="1" si="11"/>
        <v>2.8372875120812679</v>
      </c>
      <c r="H25" s="360">
        <f t="shared" ca="1" si="12"/>
        <v>16.091959934724802</v>
      </c>
      <c r="I25" s="357">
        <f t="shared" ca="1" si="13"/>
        <v>16.340176711620977</v>
      </c>
      <c r="J25" s="359">
        <f t="shared" ca="1" si="14"/>
        <v>0.25165245486362342</v>
      </c>
      <c r="K25" s="360">
        <f t="shared" ca="1" si="15"/>
        <v>1.4272736878955994</v>
      </c>
      <c r="L25" s="357">
        <f t="shared" ca="1" si="0"/>
        <v>1.4492891837718216</v>
      </c>
      <c r="M25" s="359">
        <f t="shared" ca="1" si="16"/>
        <v>1.3962634015954636</v>
      </c>
      <c r="N25" s="357">
        <f t="shared" ca="1" si="17"/>
        <v>80</v>
      </c>
      <c r="O25" s="343"/>
      <c r="P25" s="363">
        <f t="shared" ca="1" si="18"/>
        <v>4</v>
      </c>
      <c r="Q25" s="357">
        <f t="shared" ca="1" si="19"/>
        <v>1126.4642857142858</v>
      </c>
      <c r="R25" s="359">
        <f t="shared" ca="1" si="20"/>
        <v>0.56428230144350533</v>
      </c>
      <c r="S25" s="360">
        <f t="shared" ca="1" si="21"/>
        <v>11.405571112809501</v>
      </c>
      <c r="T25" s="357">
        <f t="shared" ca="1" si="1"/>
        <v>111.8886526166612</v>
      </c>
      <c r="U25" s="364">
        <f t="shared" ca="1" si="2"/>
        <v>19.429260628491445</v>
      </c>
      <c r="V25" s="359">
        <f t="shared" ca="1" si="3"/>
        <v>1.2248251714496423</v>
      </c>
      <c r="W25" s="357">
        <f t="shared" ca="1" si="4"/>
        <v>0.74677151456313817</v>
      </c>
      <c r="X25" s="343"/>
      <c r="Y25" s="367" t="str">
        <f t="shared" ca="1" si="22"/>
        <v/>
      </c>
      <c r="Z25" s="368" t="str">
        <f t="shared" ca="1" si="23"/>
        <v/>
      </c>
      <c r="AA25" s="369" t="str">
        <f t="shared" ca="1" si="24"/>
        <v/>
      </c>
      <c r="AB25" s="344"/>
      <c r="AC25" s="363" t="e">
        <f t="shared" ca="1" si="25"/>
        <v>#N/A</v>
      </c>
      <c r="AD25" s="376" t="e">
        <f t="shared" ca="1" si="26"/>
        <v>#N/A</v>
      </c>
      <c r="AE25" s="377">
        <f t="shared" ca="1" si="5"/>
        <v>1.4272736878955994</v>
      </c>
      <c r="AF25" s="344"/>
      <c r="AG25" s="359">
        <f t="shared" ca="1" si="27"/>
        <v>89.044893350105497</v>
      </c>
      <c r="AH25" s="357">
        <f t="shared" ca="1" si="28"/>
        <v>98.705857407155264</v>
      </c>
    </row>
    <row r="26" spans="1:34" x14ac:dyDescent="0.25">
      <c r="A26" s="402">
        <f t="shared" ca="1" si="6"/>
        <v>0.01</v>
      </c>
      <c r="B26" s="357">
        <f t="shared" ca="1" si="7"/>
        <v>0.22000000000000006</v>
      </c>
      <c r="C26" s="342"/>
      <c r="D26" s="359">
        <f t="shared" ca="1" si="8"/>
        <v>15.234902546397484</v>
      </c>
      <c r="E26" s="360">
        <f t="shared" ca="1" si="9"/>
        <v>86.406215431210057</v>
      </c>
      <c r="F26" s="357">
        <f t="shared" ca="1" si="10"/>
        <v>87.739023933155948</v>
      </c>
      <c r="G26" s="359">
        <f t="shared" ca="1" si="11"/>
        <v>2.9896365375452429</v>
      </c>
      <c r="H26" s="360">
        <f t="shared" ca="1" si="12"/>
        <v>16.956022089036903</v>
      </c>
      <c r="I26" s="357">
        <f t="shared" ca="1" si="13"/>
        <v>17.217566950952531</v>
      </c>
      <c r="J26" s="359">
        <f t="shared" ca="1" si="14"/>
        <v>0.28078707511175599</v>
      </c>
      <c r="K26" s="360">
        <f t="shared" ca="1" si="15"/>
        <v>1.5925135980144078</v>
      </c>
      <c r="L26" s="357">
        <f t="shared" ca="1" si="0"/>
        <v>1.6170779020846862</v>
      </c>
      <c r="M26" s="359">
        <f t="shared" ca="1" si="16"/>
        <v>1.3962634015954636</v>
      </c>
      <c r="N26" s="357">
        <f t="shared" ca="1" si="17"/>
        <v>80</v>
      </c>
      <c r="O26" s="343"/>
      <c r="P26" s="363">
        <f t="shared" ca="1" si="18"/>
        <v>4</v>
      </c>
      <c r="Q26" s="357">
        <f t="shared" ca="1" si="19"/>
        <v>1111.1071428571427</v>
      </c>
      <c r="R26" s="359">
        <f t="shared" ca="1" si="20"/>
        <v>0.55658941315141852</v>
      </c>
      <c r="S26" s="360">
        <f t="shared" ca="1" si="21"/>
        <v>11.400005218677986</v>
      </c>
      <c r="T26" s="357">
        <f t="shared" ca="1" si="1"/>
        <v>111.83405119523105</v>
      </c>
      <c r="U26" s="364">
        <f t="shared" ca="1" si="2"/>
        <v>19.419779191162075</v>
      </c>
      <c r="V26" s="359">
        <f t="shared" ca="1" si="3"/>
        <v>1.2248049326166164</v>
      </c>
      <c r="W26" s="357">
        <f t="shared" ca="1" si="4"/>
        <v>0.82910709245303105</v>
      </c>
      <c r="X26" s="343"/>
      <c r="Y26" s="367" t="str">
        <f t="shared" ca="1" si="22"/>
        <v/>
      </c>
      <c r="Z26" s="368" t="str">
        <f t="shared" ca="1" si="23"/>
        <v/>
      </c>
      <c r="AA26" s="369" t="str">
        <f t="shared" ca="1" si="24"/>
        <v/>
      </c>
      <c r="AB26" s="344"/>
      <c r="AC26" s="363" t="e">
        <f t="shared" ca="1" si="25"/>
        <v>#N/A</v>
      </c>
      <c r="AD26" s="376" t="e">
        <f t="shared" ca="1" si="26"/>
        <v>#N/A</v>
      </c>
      <c r="AE26" s="377">
        <f t="shared" ca="1" si="5"/>
        <v>1.5925135980144078</v>
      </c>
      <c r="AF26" s="344"/>
      <c r="AG26" s="359">
        <f t="shared" ca="1" si="27"/>
        <v>87.739023929213957</v>
      </c>
      <c r="AH26" s="357">
        <f t="shared" ca="1" si="28"/>
        <v>97.399987986263724</v>
      </c>
    </row>
    <row r="27" spans="1:34" x14ac:dyDescent="0.25">
      <c r="A27" s="402">
        <f t="shared" ca="1" si="6"/>
        <v>0.01</v>
      </c>
      <c r="B27" s="357">
        <f t="shared" ca="1" si="7"/>
        <v>0.23000000000000007</v>
      </c>
      <c r="C27" s="342"/>
      <c r="D27" s="359">
        <f t="shared" ca="1" si="8"/>
        <v>15.007769073314954</v>
      </c>
      <c r="E27" s="360">
        <f t="shared" ca="1" si="9"/>
        <v>85.118013570746868</v>
      </c>
      <c r="F27" s="357">
        <f t="shared" ca="1" si="10"/>
        <v>86.430951439792665</v>
      </c>
      <c r="G27" s="359">
        <f t="shared" ca="1" si="11"/>
        <v>3.1397142282783923</v>
      </c>
      <c r="H27" s="360">
        <f t="shared" ca="1" si="12"/>
        <v>17.807202224744373</v>
      </c>
      <c r="I27" s="357">
        <f t="shared" ca="1" si="13"/>
        <v>18.081876465350454</v>
      </c>
      <c r="J27" s="359">
        <f t="shared" ca="1" si="14"/>
        <v>0.31143382894087418</v>
      </c>
      <c r="K27" s="360">
        <f t="shared" ca="1" si="15"/>
        <v>1.7663297195833143</v>
      </c>
      <c r="L27" s="357">
        <f t="shared" ca="1" si="0"/>
        <v>1.7935751191661986</v>
      </c>
      <c r="M27" s="359">
        <f t="shared" ca="1" si="16"/>
        <v>1.3962634015954636</v>
      </c>
      <c r="N27" s="357">
        <f t="shared" ca="1" si="17"/>
        <v>80</v>
      </c>
      <c r="O27" s="343"/>
      <c r="P27" s="363">
        <f t="shared" ca="1" si="18"/>
        <v>4</v>
      </c>
      <c r="Q27" s="357">
        <f t="shared" ca="1" si="19"/>
        <v>1095.75</v>
      </c>
      <c r="R27" s="359">
        <f t="shared" ca="1" si="20"/>
        <v>0.54889652485933182</v>
      </c>
      <c r="S27" s="360">
        <f t="shared" ca="1" si="21"/>
        <v>11.394516253429392</v>
      </c>
      <c r="T27" s="357">
        <f t="shared" ca="1" si="1"/>
        <v>111.78020444614235</v>
      </c>
      <c r="U27" s="364">
        <f t="shared" ca="1" si="2"/>
        <v>19.410428801309532</v>
      </c>
      <c r="V27" s="359">
        <f t="shared" ca="1" si="3"/>
        <v>1.2247836437171777</v>
      </c>
      <c r="W27" s="357">
        <f t="shared" ca="1" si="4"/>
        <v>0.91442168453115003</v>
      </c>
      <c r="X27" s="343"/>
      <c r="Y27" s="367" t="str">
        <f t="shared" ca="1" si="22"/>
        <v/>
      </c>
      <c r="Z27" s="368" t="str">
        <f t="shared" ca="1" si="23"/>
        <v/>
      </c>
      <c r="AA27" s="369" t="str">
        <f t="shared" ca="1" si="24"/>
        <v/>
      </c>
      <c r="AB27" s="344"/>
      <c r="AC27" s="363" t="e">
        <f t="shared" ca="1" si="25"/>
        <v>#N/A</v>
      </c>
      <c r="AD27" s="376" t="e">
        <f t="shared" ca="1" si="26"/>
        <v>#N/A</v>
      </c>
      <c r="AE27" s="377">
        <f t="shared" ca="1" si="5"/>
        <v>1.7663297195833143</v>
      </c>
      <c r="AF27" s="344"/>
      <c r="AG27" s="359">
        <f t="shared" ca="1" si="27"/>
        <v>86.430951435897114</v>
      </c>
      <c r="AH27" s="357">
        <f t="shared" ca="1" si="28"/>
        <v>96.091915492946882</v>
      </c>
    </row>
    <row r="28" spans="1:34" x14ac:dyDescent="0.25">
      <c r="A28" s="402">
        <f t="shared" ca="1" si="6"/>
        <v>0.01</v>
      </c>
      <c r="B28" s="357">
        <f t="shared" ca="1" si="7"/>
        <v>0.24000000000000007</v>
      </c>
      <c r="C28" s="342"/>
      <c r="D28" s="359">
        <f t="shared" ca="1" si="8"/>
        <v>14.780260077264037</v>
      </c>
      <c r="E28" s="360">
        <f t="shared" ca="1" si="9"/>
        <v>83.827681920595808</v>
      </c>
      <c r="F28" s="357">
        <f t="shared" ca="1" si="10"/>
        <v>85.120716304153305</v>
      </c>
      <c r="G28" s="359">
        <f t="shared" ca="1" si="11"/>
        <v>3.2875168290510328</v>
      </c>
      <c r="H28" s="360">
        <f t="shared" ca="1" si="12"/>
        <v>18.645479043950331</v>
      </c>
      <c r="I28" s="357">
        <f t="shared" ca="1" si="13"/>
        <v>18.933083628391987</v>
      </c>
      <c r="J28" s="359">
        <f t="shared" ca="1" si="14"/>
        <v>0.34356998422752133</v>
      </c>
      <c r="K28" s="360">
        <f t="shared" ca="1" si="15"/>
        <v>1.9485931259267879</v>
      </c>
      <c r="L28" s="357">
        <f t="shared" ca="1" si="0"/>
        <v>1.9786499196349085</v>
      </c>
      <c r="M28" s="359">
        <f t="shared" ca="1" si="16"/>
        <v>1.3962634015954636</v>
      </c>
      <c r="N28" s="357">
        <f t="shared" ca="1" si="17"/>
        <v>80</v>
      </c>
      <c r="O28" s="343"/>
      <c r="P28" s="363">
        <f t="shared" ca="1" si="18"/>
        <v>4</v>
      </c>
      <c r="Q28" s="357">
        <f t="shared" ca="1" si="19"/>
        <v>1080.3928571428571</v>
      </c>
      <c r="R28" s="359">
        <f t="shared" ca="1" si="20"/>
        <v>0.54120363656724513</v>
      </c>
      <c r="S28" s="360">
        <f t="shared" ca="1" si="21"/>
        <v>11.38910421706372</v>
      </c>
      <c r="T28" s="357">
        <f t="shared" ca="1" si="1"/>
        <v>111.7271123693951</v>
      </c>
      <c r="U28" s="364">
        <f t="shared" ca="1" si="2"/>
        <v>19.40120945893382</v>
      </c>
      <c r="V28" s="359">
        <f t="shared" ca="1" si="3"/>
        <v>1.2247613205965264</v>
      </c>
      <c r="W28" s="357">
        <f t="shared" ca="1" si="4"/>
        <v>1.0025229224979726</v>
      </c>
      <c r="X28" s="343"/>
      <c r="Y28" s="367" t="str">
        <f t="shared" ca="1" si="22"/>
        <v/>
      </c>
      <c r="Z28" s="368" t="str">
        <f t="shared" ca="1" si="23"/>
        <v/>
      </c>
      <c r="AA28" s="369" t="str">
        <f t="shared" ca="1" si="24"/>
        <v/>
      </c>
      <c r="AB28" s="344"/>
      <c r="AC28" s="363" t="e">
        <f t="shared" ca="1" si="25"/>
        <v>#N/A</v>
      </c>
      <c r="AD28" s="376" t="e">
        <f t="shared" ca="1" si="26"/>
        <v>#N/A</v>
      </c>
      <c r="AE28" s="377">
        <f t="shared" ca="1" si="5"/>
        <v>1.9485931259267879</v>
      </c>
      <c r="AF28" s="344"/>
      <c r="AG28" s="359">
        <f t="shared" ca="1" si="27"/>
        <v>85.120716300304238</v>
      </c>
      <c r="AH28" s="357">
        <f t="shared" ca="1" si="28"/>
        <v>94.781680357354006</v>
      </c>
    </row>
    <row r="29" spans="1:34" x14ac:dyDescent="0.25">
      <c r="A29" s="402">
        <f t="shared" ca="1" si="6"/>
        <v>0.01</v>
      </c>
      <c r="B29" s="357">
        <f t="shared" ca="1" si="7"/>
        <v>0.25000000000000006</v>
      </c>
      <c r="C29" s="342"/>
      <c r="D29" s="359">
        <f t="shared" ca="1" si="8"/>
        <v>14.552382569403399</v>
      </c>
      <c r="E29" s="360">
        <f t="shared" ca="1" si="9"/>
        <v>82.53526024417863</v>
      </c>
      <c r="F29" s="357">
        <f t="shared" ca="1" si="10"/>
        <v>83.808358903038837</v>
      </c>
      <c r="G29" s="359">
        <f t="shared" ca="1" si="11"/>
        <v>3.4330406547450667</v>
      </c>
      <c r="H29" s="360">
        <f t="shared" ca="1" si="12"/>
        <v>19.470831646392117</v>
      </c>
      <c r="I29" s="357">
        <f t="shared" ca="1" si="13"/>
        <v>19.771167217422374</v>
      </c>
      <c r="J29" s="359">
        <f t="shared" ca="1" si="14"/>
        <v>0.37717277164650181</v>
      </c>
      <c r="K29" s="360">
        <f t="shared" ca="1" si="15"/>
        <v>2.1391746793785003</v>
      </c>
      <c r="L29" s="357">
        <f t="shared" ca="1" si="0"/>
        <v>2.1721711738639784</v>
      </c>
      <c r="M29" s="359">
        <f t="shared" ca="1" si="16"/>
        <v>1.3962634015954636</v>
      </c>
      <c r="N29" s="357">
        <f t="shared" ca="1" si="17"/>
        <v>80</v>
      </c>
      <c r="O29" s="343"/>
      <c r="P29" s="363">
        <f t="shared" ca="1" si="18"/>
        <v>4</v>
      </c>
      <c r="Q29" s="357">
        <f t="shared" ca="1" si="19"/>
        <v>1065.0357142857142</v>
      </c>
      <c r="R29" s="359">
        <f t="shared" ca="1" si="20"/>
        <v>0.53351074827515843</v>
      </c>
      <c r="S29" s="360">
        <f t="shared" ca="1" si="21"/>
        <v>11.383769109580967</v>
      </c>
      <c r="T29" s="357">
        <f t="shared" ca="1" si="1"/>
        <v>111.6747749649893</v>
      </c>
      <c r="U29" s="364">
        <f t="shared" ca="1" si="2"/>
        <v>19.392121164034933</v>
      </c>
      <c r="V29" s="359">
        <f t="shared" ca="1" si="3"/>
        <v>1.2247379791271971</v>
      </c>
      <c r="W29" s="357">
        <f t="shared" ca="1" si="4"/>
        <v>1.093220952385378</v>
      </c>
      <c r="X29" s="343"/>
      <c r="Y29" s="367" t="str">
        <f t="shared" ca="1" si="22"/>
        <v/>
      </c>
      <c r="Z29" s="368" t="str">
        <f t="shared" ca="1" si="23"/>
        <v/>
      </c>
      <c r="AA29" s="369" t="str">
        <f t="shared" ca="1" si="24"/>
        <v/>
      </c>
      <c r="AB29" s="344"/>
      <c r="AC29" s="363" t="e">
        <f t="shared" ca="1" si="25"/>
        <v>#N/A</v>
      </c>
      <c r="AD29" s="376" t="e">
        <f t="shared" ca="1" si="26"/>
        <v>#N/A</v>
      </c>
      <c r="AE29" s="377">
        <f t="shared" ca="1" si="5"/>
        <v>2.1391746793785003</v>
      </c>
      <c r="AF29" s="344"/>
      <c r="AG29" s="359">
        <f t="shared" ca="1" si="27"/>
        <v>83.808358899236282</v>
      </c>
      <c r="AH29" s="357">
        <f t="shared" ca="1" si="28"/>
        <v>93.469322956286049</v>
      </c>
    </row>
    <row r="30" spans="1:34" x14ac:dyDescent="0.25">
      <c r="A30" s="402">
        <f t="shared" ca="1" si="6"/>
        <v>0.01</v>
      </c>
      <c r="B30" s="357">
        <f t="shared" ca="1" si="7"/>
        <v>0.26000000000000006</v>
      </c>
      <c r="C30" s="342"/>
      <c r="D30" s="359">
        <f t="shared" ca="1" si="8"/>
        <v>14.324143550713416</v>
      </c>
      <c r="E30" s="360">
        <f t="shared" ca="1" si="9"/>
        <v>81.240788247198978</v>
      </c>
      <c r="F30" s="357">
        <f t="shared" ca="1" si="10"/>
        <v>82.493919554641536</v>
      </c>
      <c r="G30" s="359">
        <f t="shared" ca="1" si="11"/>
        <v>3.5762820902522008</v>
      </c>
      <c r="H30" s="360">
        <f t="shared" ca="1" si="12"/>
        <v>20.283239528864108</v>
      </c>
      <c r="I30" s="357">
        <f t="shared" ca="1" si="13"/>
        <v>20.596106412968791</v>
      </c>
      <c r="J30" s="359">
        <f t="shared" ca="1" si="14"/>
        <v>0.41221938537148817</v>
      </c>
      <c r="K30" s="360">
        <f t="shared" ca="1" si="15"/>
        <v>2.3379450352547813</v>
      </c>
      <c r="L30" s="357">
        <f t="shared" ca="1" si="0"/>
        <v>2.3740075420159323</v>
      </c>
      <c r="M30" s="359">
        <f t="shared" ca="1" si="16"/>
        <v>1.3962634015954636</v>
      </c>
      <c r="N30" s="357">
        <f t="shared" ca="1" si="17"/>
        <v>80</v>
      </c>
      <c r="O30" s="343"/>
      <c r="P30" s="363">
        <f t="shared" ca="1" si="18"/>
        <v>4</v>
      </c>
      <c r="Q30" s="357">
        <f t="shared" ca="1" si="19"/>
        <v>1049.6785714285713</v>
      </c>
      <c r="R30" s="359">
        <f t="shared" ca="1" si="20"/>
        <v>0.52581785998307162</v>
      </c>
      <c r="S30" s="360">
        <f t="shared" ca="1" si="21"/>
        <v>11.378510930981136</v>
      </c>
      <c r="T30" s="357">
        <f t="shared" ca="1" si="1"/>
        <v>111.62319223292495</v>
      </c>
      <c r="U30" s="364">
        <f t="shared" ca="1" si="2"/>
        <v>19.38316391661288</v>
      </c>
      <c r="V30" s="359">
        <f t="shared" ca="1" si="3"/>
        <v>1.2247136352084385</v>
      </c>
      <c r="W30" s="357">
        <f t="shared" ca="1" si="4"/>
        <v>1.1863284613840361</v>
      </c>
      <c r="X30" s="343"/>
      <c r="Y30" s="367" t="str">
        <f t="shared" ca="1" si="22"/>
        <v/>
      </c>
      <c r="Z30" s="368" t="str">
        <f t="shared" ca="1" si="23"/>
        <v/>
      </c>
      <c r="AA30" s="369" t="str">
        <f t="shared" ca="1" si="24"/>
        <v/>
      </c>
      <c r="AB30" s="344"/>
      <c r="AC30" s="363" t="e">
        <f t="shared" ca="1" si="25"/>
        <v>#N/A</v>
      </c>
      <c r="AD30" s="376" t="e">
        <f t="shared" ca="1" si="26"/>
        <v>#N/A</v>
      </c>
      <c r="AE30" s="377">
        <f t="shared" ca="1" si="5"/>
        <v>2.3379450352547813</v>
      </c>
      <c r="AF30" s="344"/>
      <c r="AG30" s="359">
        <f t="shared" ca="1" si="27"/>
        <v>82.493919550885522</v>
      </c>
      <c r="AH30" s="357">
        <f t="shared" ca="1" si="28"/>
        <v>92.15488360793529</v>
      </c>
    </row>
    <row r="31" spans="1:34" x14ac:dyDescent="0.25">
      <c r="A31" s="402">
        <f t="shared" ca="1" si="6"/>
        <v>0.01</v>
      </c>
      <c r="B31" s="357">
        <f t="shared" ca="1" si="7"/>
        <v>0.27000000000000007</v>
      </c>
      <c r="C31" s="342"/>
      <c r="D31" s="359">
        <f t="shared" ca="1" si="8"/>
        <v>14.210288907799454</v>
      </c>
      <c r="E31" s="360">
        <f t="shared" ca="1" si="9"/>
        <v>80.595054663463699</v>
      </c>
      <c r="F31" s="357">
        <f t="shared" ca="1" si="10"/>
        <v>81.838225463714878</v>
      </c>
      <c r="G31" s="359">
        <f t="shared" ca="1" si="11"/>
        <v>3.7183849793301955</v>
      </c>
      <c r="H31" s="360">
        <f t="shared" ca="1" si="12"/>
        <v>21.089190075498745</v>
      </c>
      <c r="I31" s="357">
        <f t="shared" ca="1" si="13"/>
        <v>21.414488667605937</v>
      </c>
      <c r="J31" s="359">
        <f t="shared" ca="1" si="14"/>
        <v>0.44869272071940014</v>
      </c>
      <c r="K31" s="360">
        <f t="shared" ca="1" si="15"/>
        <v>2.5448071832765953</v>
      </c>
      <c r="L31" s="357">
        <f t="shared" ca="1" si="0"/>
        <v>2.5840605174188038</v>
      </c>
      <c r="M31" s="359">
        <f t="shared" ca="1" si="16"/>
        <v>1.3962634015954636</v>
      </c>
      <c r="N31" s="357">
        <f t="shared" ca="1" si="17"/>
        <v>80</v>
      </c>
      <c r="O31" s="343"/>
      <c r="P31" s="363">
        <f t="shared" ca="1" si="18"/>
        <v>5</v>
      </c>
      <c r="Q31" s="357">
        <f t="shared" ca="1" si="19"/>
        <v>1041.8333333333333</v>
      </c>
      <c r="R31" s="359">
        <f t="shared" ca="1" si="20"/>
        <v>0.52188792712688159</v>
      </c>
      <c r="S31" s="360">
        <f t="shared" ca="1" si="21"/>
        <v>11.373292051709868</v>
      </c>
      <c r="T31" s="357">
        <f t="shared" ca="1" si="1"/>
        <v>111.57199502727381</v>
      </c>
      <c r="U31" s="364">
        <f t="shared" ca="1" si="2"/>
        <v>19.374273615149921</v>
      </c>
      <c r="V31" s="359">
        <f t="shared" ca="1" si="3"/>
        <v>1.2246883007807694</v>
      </c>
      <c r="W31" s="357">
        <f t="shared" ca="1" si="4"/>
        <v>1.2824520304007625</v>
      </c>
      <c r="X31" s="343"/>
      <c r="Y31" s="367" t="str">
        <f t="shared" ca="1" si="22"/>
        <v/>
      </c>
      <c r="Z31" s="368" t="str">
        <f t="shared" ca="1" si="23"/>
        <v/>
      </c>
      <c r="AA31" s="369" t="str">
        <f t="shared" ca="1" si="24"/>
        <v/>
      </c>
      <c r="AB31" s="344"/>
      <c r="AC31" s="363" t="e">
        <f t="shared" ca="1" si="25"/>
        <v>#N/A</v>
      </c>
      <c r="AD31" s="376" t="e">
        <f t="shared" ca="1" si="26"/>
        <v>#N/A</v>
      </c>
      <c r="AE31" s="377">
        <f t="shared" ca="1" si="5"/>
        <v>2.5448071832765953</v>
      </c>
      <c r="AF31" s="344"/>
      <c r="AG31" s="359">
        <f t="shared" ca="1" si="27"/>
        <v>81.838225459981743</v>
      </c>
      <c r="AH31" s="357">
        <f t="shared" ca="1" si="28"/>
        <v>91.49918951703151</v>
      </c>
    </row>
    <row r="32" spans="1:34" x14ac:dyDescent="0.25">
      <c r="A32" s="402">
        <f t="shared" ca="1" si="6"/>
        <v>0.01</v>
      </c>
      <c r="B32" s="357">
        <f t="shared" ca="1" si="7"/>
        <v>0.28000000000000008</v>
      </c>
      <c r="C32" s="342"/>
      <c r="D32" s="359">
        <f t="shared" ca="1" si="8"/>
        <v>14.211020683732411</v>
      </c>
      <c r="E32" s="360">
        <f t="shared" ca="1" si="9"/>
        <v>80.599205395998553</v>
      </c>
      <c r="F32" s="357">
        <f t="shared" ca="1" si="10"/>
        <v>81.842440208853944</v>
      </c>
      <c r="G32" s="359">
        <f t="shared" ca="1" si="11"/>
        <v>3.8604951861675199</v>
      </c>
      <c r="H32" s="360">
        <f t="shared" ca="1" si="12"/>
        <v>21.895182129458732</v>
      </c>
      <c r="I32" s="357">
        <f t="shared" ca="1" si="13"/>
        <v>22.232913069694479</v>
      </c>
      <c r="J32" s="359">
        <f t="shared" ca="1" si="14"/>
        <v>0.48658712154688871</v>
      </c>
      <c r="K32" s="360">
        <f t="shared" ca="1" si="15"/>
        <v>2.7597290443013827</v>
      </c>
      <c r="L32" s="357">
        <f t="shared" ca="1" si="0"/>
        <v>2.8022975261053045</v>
      </c>
      <c r="M32" s="359">
        <f t="shared" ca="1" si="16"/>
        <v>1.3962634015954636</v>
      </c>
      <c r="N32" s="357">
        <f t="shared" ca="1" si="17"/>
        <v>80</v>
      </c>
      <c r="O32" s="343"/>
      <c r="P32" s="363">
        <f t="shared" ca="1" si="18"/>
        <v>5</v>
      </c>
      <c r="Q32" s="357">
        <f t="shared" ca="1" si="19"/>
        <v>1041.5</v>
      </c>
      <c r="R32" s="359">
        <f t="shared" ca="1" si="20"/>
        <v>0.52172094970658833</v>
      </c>
      <c r="S32" s="360">
        <f t="shared" ca="1" si="21"/>
        <v>11.368074842212803</v>
      </c>
      <c r="T32" s="357">
        <f t="shared" ca="1" si="1"/>
        <v>111.5208142021076</v>
      </c>
      <c r="U32" s="364">
        <f t="shared" ca="1" si="2"/>
        <v>19.365386158128317</v>
      </c>
      <c r="V32" s="359">
        <f t="shared" ca="1" si="3"/>
        <v>1.2246619798342768</v>
      </c>
      <c r="W32" s="357">
        <f t="shared" ca="1" si="4"/>
        <v>1.3823216744316973</v>
      </c>
      <c r="X32" s="343"/>
      <c r="Y32" s="367" t="str">
        <f t="shared" ca="1" si="22"/>
        <v/>
      </c>
      <c r="Z32" s="368" t="str">
        <f t="shared" ca="1" si="23"/>
        <v/>
      </c>
      <c r="AA32" s="369" t="str">
        <f t="shared" ca="1" si="24"/>
        <v/>
      </c>
      <c r="AB32" s="344"/>
      <c r="AC32" s="363" t="e">
        <f t="shared" ca="1" si="25"/>
        <v>#N/A</v>
      </c>
      <c r="AD32" s="376" t="e">
        <f t="shared" ca="1" si="26"/>
        <v>#N/A</v>
      </c>
      <c r="AE32" s="377">
        <f t="shared" ca="1" si="5"/>
        <v>2.7597290443013827</v>
      </c>
      <c r="AF32" s="344"/>
      <c r="AG32" s="359">
        <f t="shared" ca="1" si="27"/>
        <v>81.842440205119971</v>
      </c>
      <c r="AH32" s="357">
        <f t="shared" ca="1" si="28"/>
        <v>91.503404262169724</v>
      </c>
    </row>
    <row r="33" spans="1:34" x14ac:dyDescent="0.25">
      <c r="A33" s="402">
        <f t="shared" ca="1" si="6"/>
        <v>0.01</v>
      </c>
      <c r="B33" s="357">
        <f t="shared" ca="1" si="7"/>
        <v>0.29000000000000009</v>
      </c>
      <c r="C33" s="342"/>
      <c r="D33" s="359">
        <f t="shared" ca="1" si="8"/>
        <v>14.211693548869182</v>
      </c>
      <c r="E33" s="360">
        <f t="shared" ca="1" si="9"/>
        <v>80.603022028718229</v>
      </c>
      <c r="F33" s="357">
        <f t="shared" ca="1" si="10"/>
        <v>81.84631570015236</v>
      </c>
      <c r="G33" s="359">
        <f t="shared" ca="1" si="11"/>
        <v>4.0026121216562114</v>
      </c>
      <c r="H33" s="360">
        <f t="shared" ca="1" si="12"/>
        <v>22.701212349745916</v>
      </c>
      <c r="I33" s="357">
        <f t="shared" ca="1" si="13"/>
        <v>23.051376226696004</v>
      </c>
      <c r="J33" s="359">
        <f t="shared" ca="1" si="14"/>
        <v>0.52590265808600734</v>
      </c>
      <c r="K33" s="360">
        <f t="shared" ca="1" si="15"/>
        <v>2.9827110166974058</v>
      </c>
      <c r="L33" s="357">
        <f t="shared" ca="1" si="0"/>
        <v>3.0287189725872552</v>
      </c>
      <c r="M33" s="359">
        <f t="shared" ca="1" si="16"/>
        <v>1.3962634015954636</v>
      </c>
      <c r="N33" s="357">
        <f t="shared" ca="1" si="17"/>
        <v>80</v>
      </c>
      <c r="O33" s="343"/>
      <c r="P33" s="363">
        <f t="shared" ca="1" si="18"/>
        <v>5</v>
      </c>
      <c r="Q33" s="357">
        <f t="shared" ca="1" si="19"/>
        <v>1041.1666666666667</v>
      </c>
      <c r="R33" s="359">
        <f t="shared" ca="1" si="20"/>
        <v>0.52155397228629496</v>
      </c>
      <c r="S33" s="360">
        <f t="shared" ca="1" si="21"/>
        <v>11.362859302489939</v>
      </c>
      <c r="T33" s="357">
        <f t="shared" ca="1" si="1"/>
        <v>111.46964975742631</v>
      </c>
      <c r="U33" s="364">
        <f t="shared" ca="1" si="2"/>
        <v>19.35650154554807</v>
      </c>
      <c r="V33" s="359">
        <f t="shared" ca="1" si="3"/>
        <v>1.2246346723837898</v>
      </c>
      <c r="W33" s="357">
        <f t="shared" ca="1" si="4"/>
        <v>1.4859370516084029</v>
      </c>
      <c r="X33" s="343"/>
      <c r="Y33" s="367" t="str">
        <f t="shared" ca="1" si="22"/>
        <v/>
      </c>
      <c r="Z33" s="368" t="str">
        <f t="shared" ca="1" si="23"/>
        <v/>
      </c>
      <c r="AA33" s="369" t="str">
        <f t="shared" ca="1" si="24"/>
        <v/>
      </c>
      <c r="AB33" s="344"/>
      <c r="AC33" s="363" t="e">
        <f t="shared" ca="1" si="25"/>
        <v>#N/A</v>
      </c>
      <c r="AD33" s="376" t="e">
        <f t="shared" ca="1" si="26"/>
        <v>#N/A</v>
      </c>
      <c r="AE33" s="377">
        <f t="shared" ca="1" si="5"/>
        <v>2.9827110166974058</v>
      </c>
      <c r="AF33" s="344"/>
      <c r="AG33" s="359">
        <f t="shared" ca="1" si="27"/>
        <v>81.84631569641752</v>
      </c>
      <c r="AH33" s="357">
        <f t="shared" ca="1" si="28"/>
        <v>91.507279753467287</v>
      </c>
    </row>
    <row r="34" spans="1:34" x14ac:dyDescent="0.25">
      <c r="A34" s="402">
        <f t="shared" ca="1" si="6"/>
        <v>0.01</v>
      </c>
      <c r="B34" s="357">
        <f t="shared" ca="1" si="7"/>
        <v>0.3000000000000001</v>
      </c>
      <c r="C34" s="342"/>
      <c r="D34" s="359">
        <f t="shared" ca="1" si="8"/>
        <v>14.212307426982647</v>
      </c>
      <c r="E34" s="360">
        <f t="shared" ca="1" si="9"/>
        <v>80.606504129316917</v>
      </c>
      <c r="F34" s="357">
        <f t="shared" ca="1" si="10"/>
        <v>81.849851498635303</v>
      </c>
      <c r="G34" s="359">
        <f t="shared" ca="1" si="11"/>
        <v>4.1447351959260379</v>
      </c>
      <c r="H34" s="360">
        <f t="shared" ca="1" si="12"/>
        <v>23.507277391039086</v>
      </c>
      <c r="I34" s="357">
        <f t="shared" ca="1" si="13"/>
        <v>23.869874741682356</v>
      </c>
      <c r="J34" s="359">
        <f t="shared" ca="1" si="14"/>
        <v>0.56663939467391855</v>
      </c>
      <c r="K34" s="360">
        <f t="shared" ca="1" si="15"/>
        <v>3.2137534654013309</v>
      </c>
      <c r="L34" s="357">
        <f t="shared" ca="1" si="0"/>
        <v>3.2633252274291462</v>
      </c>
      <c r="M34" s="359">
        <f t="shared" ca="1" si="16"/>
        <v>1.3962634015954636</v>
      </c>
      <c r="N34" s="357">
        <f t="shared" ca="1" si="17"/>
        <v>80</v>
      </c>
      <c r="O34" s="343"/>
      <c r="P34" s="363">
        <f t="shared" ca="1" si="18"/>
        <v>5</v>
      </c>
      <c r="Q34" s="357">
        <f t="shared" ca="1" si="19"/>
        <v>1040.8333333333333</v>
      </c>
      <c r="R34" s="359">
        <f t="shared" ca="1" si="20"/>
        <v>0.5213869948660016</v>
      </c>
      <c r="S34" s="360">
        <f t="shared" ca="1" si="21"/>
        <v>11.357645432541279</v>
      </c>
      <c r="T34" s="357">
        <f t="shared" ca="1" si="1"/>
        <v>111.41850169322996</v>
      </c>
      <c r="U34" s="364">
        <f t="shared" ca="1" si="2"/>
        <v>19.347619777409182</v>
      </c>
      <c r="V34" s="359">
        <f t="shared" ca="1" si="3"/>
        <v>1.2246063784506191</v>
      </c>
      <c r="W34" s="357">
        <f t="shared" ca="1" si="4"/>
        <v>1.5932977392563514</v>
      </c>
      <c r="X34" s="343"/>
      <c r="Y34" s="367" t="str">
        <f t="shared" ca="1" si="22"/>
        <v/>
      </c>
      <c r="Z34" s="368" t="str">
        <f t="shared" ca="1" si="23"/>
        <v/>
      </c>
      <c r="AA34" s="369" t="str">
        <f t="shared" ca="1" si="24"/>
        <v/>
      </c>
      <c r="AB34" s="344"/>
      <c r="AC34" s="363" t="e">
        <f t="shared" ca="1" si="25"/>
        <v>#N/A</v>
      </c>
      <c r="AD34" s="376" t="e">
        <f t="shared" ca="1" si="26"/>
        <v>#N/A</v>
      </c>
      <c r="AE34" s="377">
        <f t="shared" ca="1" si="5"/>
        <v>3.2137534654013309</v>
      </c>
      <c r="AF34" s="344"/>
      <c r="AG34" s="359">
        <f t="shared" ca="1" si="27"/>
        <v>81.849851494899568</v>
      </c>
      <c r="AH34" s="357">
        <f t="shared" ca="1" si="28"/>
        <v>91.510815551949335</v>
      </c>
    </row>
    <row r="35" spans="1:34" x14ac:dyDescent="0.25">
      <c r="A35" s="402">
        <f t="shared" ca="1" si="6"/>
        <v>0.01</v>
      </c>
      <c r="B35" s="357">
        <f t="shared" ca="1" si="7"/>
        <v>0.31000000000000011</v>
      </c>
      <c r="C35" s="342"/>
      <c r="D35" s="359">
        <f t="shared" ca="1" si="8"/>
        <v>14.212862242993715</v>
      </c>
      <c r="E35" s="360">
        <f t="shared" ca="1" si="9"/>
        <v>80.609651271999468</v>
      </c>
      <c r="F35" s="357">
        <f t="shared" ca="1" si="10"/>
        <v>81.853047171939068</v>
      </c>
      <c r="G35" s="359">
        <f t="shared" ca="1" si="11"/>
        <v>4.2868638183559753</v>
      </c>
      <c r="H35" s="360">
        <f t="shared" ca="1" si="12"/>
        <v>24.313373903759082</v>
      </c>
      <c r="I35" s="357">
        <f t="shared" ca="1" si="13"/>
        <v>24.688405213401751</v>
      </c>
      <c r="J35" s="359">
        <f t="shared" ca="1" si="14"/>
        <v>0.6087973897453286</v>
      </c>
      <c r="K35" s="360">
        <f t="shared" ca="1" si="15"/>
        <v>3.4528567218753219</v>
      </c>
      <c r="L35" s="357">
        <f t="shared" ca="1" si="0"/>
        <v>3.5061166272045656</v>
      </c>
      <c r="M35" s="359">
        <f t="shared" ca="1" si="16"/>
        <v>1.3962634015954636</v>
      </c>
      <c r="N35" s="357">
        <f t="shared" ca="1" si="17"/>
        <v>80</v>
      </c>
      <c r="O35" s="343"/>
      <c r="P35" s="363">
        <f t="shared" ca="1" si="18"/>
        <v>5</v>
      </c>
      <c r="Q35" s="357">
        <f t="shared" ca="1" si="19"/>
        <v>1040.5</v>
      </c>
      <c r="R35" s="359">
        <f t="shared" ca="1" si="20"/>
        <v>0.52122001744570823</v>
      </c>
      <c r="S35" s="360">
        <f t="shared" ca="1" si="21"/>
        <v>11.352433232366822</v>
      </c>
      <c r="T35" s="357">
        <f t="shared" ca="1" si="1"/>
        <v>111.36737000951854</v>
      </c>
      <c r="U35" s="364">
        <f t="shared" ca="1" si="2"/>
        <v>19.338740853711652</v>
      </c>
      <c r="V35" s="359">
        <f t="shared" ca="1" si="3"/>
        <v>1.2245770980625601</v>
      </c>
      <c r="W35" s="357">
        <f t="shared" ca="1" si="4"/>
        <v>1.7044032338062978</v>
      </c>
      <c r="X35" s="343"/>
      <c r="Y35" s="367" t="str">
        <f t="shared" ca="1" si="22"/>
        <v/>
      </c>
      <c r="Z35" s="368" t="str">
        <f t="shared" ca="1" si="23"/>
        <v/>
      </c>
      <c r="AA35" s="369" t="str">
        <f t="shared" ca="1" si="24"/>
        <v/>
      </c>
      <c r="AB35" s="344"/>
      <c r="AC35" s="363" t="e">
        <f t="shared" ca="1" si="25"/>
        <v>#N/A</v>
      </c>
      <c r="AD35" s="376" t="e">
        <f t="shared" ca="1" si="26"/>
        <v>#N/A</v>
      </c>
      <c r="AE35" s="377">
        <f t="shared" ca="1" si="5"/>
        <v>3.4528567218753219</v>
      </c>
      <c r="AF35" s="344"/>
      <c r="AG35" s="359">
        <f t="shared" ca="1" si="27"/>
        <v>81.853047168202451</v>
      </c>
      <c r="AH35" s="357">
        <f t="shared" ca="1" si="28"/>
        <v>91.514011225252219</v>
      </c>
    </row>
    <row r="36" spans="1:34" x14ac:dyDescent="0.25">
      <c r="A36" s="402">
        <f t="shared" ca="1" si="6"/>
        <v>0.01</v>
      </c>
      <c r="B36" s="357">
        <f t="shared" ca="1" si="7"/>
        <v>0.32000000000000012</v>
      </c>
      <c r="C36" s="342"/>
      <c r="D36" s="359">
        <f t="shared" ca="1" si="8"/>
        <v>14.213357922975403</v>
      </c>
      <c r="E36" s="360">
        <f t="shared" ca="1" si="9"/>
        <v>80.612463037504767</v>
      </c>
      <c r="F36" s="357">
        <f t="shared" ca="1" si="10"/>
        <v>81.855902294334768</v>
      </c>
      <c r="G36" s="359">
        <f t="shared" ca="1" si="11"/>
        <v>4.4289973975857295</v>
      </c>
      <c r="H36" s="360">
        <f t="shared" ca="1" si="12"/>
        <v>25.119498534134131</v>
      </c>
      <c r="I36" s="357">
        <f t="shared" ca="1" si="13"/>
        <v>25.506964236345102</v>
      </c>
      <c r="J36" s="359">
        <f t="shared" ca="1" si="14"/>
        <v>0.6523766958250371</v>
      </c>
      <c r="K36" s="360">
        <f t="shared" ca="1" si="15"/>
        <v>3.700021084064788</v>
      </c>
      <c r="L36" s="357">
        <f t="shared" ca="1" si="0"/>
        <v>3.7570934744532991</v>
      </c>
      <c r="M36" s="359">
        <f t="shared" ca="1" si="16"/>
        <v>1.3962634015954636</v>
      </c>
      <c r="N36" s="357">
        <f t="shared" ca="1" si="17"/>
        <v>80</v>
      </c>
      <c r="O36" s="343"/>
      <c r="P36" s="363">
        <f t="shared" ca="1" si="18"/>
        <v>5</v>
      </c>
      <c r="Q36" s="357">
        <f t="shared" ca="1" si="19"/>
        <v>1040.1666666666667</v>
      </c>
      <c r="R36" s="359">
        <f t="shared" ca="1" si="20"/>
        <v>0.52105304002541497</v>
      </c>
      <c r="S36" s="360">
        <f t="shared" ca="1" si="21"/>
        <v>11.347222701966569</v>
      </c>
      <c r="T36" s="357">
        <f t="shared" ca="1" si="1"/>
        <v>111.31625470629204</v>
      </c>
      <c r="U36" s="364">
        <f t="shared" ca="1" si="2"/>
        <v>19.32986477445548</v>
      </c>
      <c r="V36" s="359">
        <f t="shared" ca="1" si="3"/>
        <v>1.2245468312538981</v>
      </c>
      <c r="W36" s="357">
        <f t="shared" ca="1" si="4"/>
        <v>1.8192529507092132</v>
      </c>
      <c r="X36" s="343"/>
      <c r="Y36" s="367" t="str">
        <f t="shared" ca="1" si="22"/>
        <v>Sortie de rampe</v>
      </c>
      <c r="Z36" s="368" t="str">
        <f t="shared" ca="1" si="23"/>
        <v/>
      </c>
      <c r="AA36" s="369" t="str">
        <f t="shared" ca="1" si="24"/>
        <v/>
      </c>
      <c r="AB36" s="344"/>
      <c r="AC36" s="363" t="e">
        <f t="shared" ca="1" si="25"/>
        <v>#N/A</v>
      </c>
      <c r="AD36" s="376" t="e">
        <f t="shared" ca="1" si="26"/>
        <v>#N/A</v>
      </c>
      <c r="AE36" s="377">
        <f t="shared" ca="1" si="5"/>
        <v>3.700021084064788</v>
      </c>
      <c r="AF36" s="344"/>
      <c r="AG36" s="359">
        <f t="shared" ca="1" si="27"/>
        <v>81.855902290597243</v>
      </c>
      <c r="AH36" s="357">
        <f t="shared" ca="1" si="28"/>
        <v>91.51686634764701</v>
      </c>
    </row>
    <row r="37" spans="1:34" x14ac:dyDescent="0.25">
      <c r="A37" s="402">
        <f t="shared" ca="1" si="6"/>
        <v>0.01</v>
      </c>
      <c r="B37" s="357">
        <f t="shared" ca="1" si="7"/>
        <v>0.33000000000000013</v>
      </c>
      <c r="C37" s="342"/>
      <c r="D37" s="359">
        <f t="shared" ca="1" si="8"/>
        <v>14.213794394156913</v>
      </c>
      <c r="E37" s="360">
        <f t="shared" ca="1" si="9"/>
        <v>80.614939013128705</v>
      </c>
      <c r="F37" s="357">
        <f t="shared" ca="1" si="10"/>
        <v>81.858416446751676</v>
      </c>
      <c r="G37" s="359">
        <f t="shared" ca="1" si="11"/>
        <v>4.5711353415272988</v>
      </c>
      <c r="H37" s="360">
        <f t="shared" ca="1" si="12"/>
        <v>25.925647924265419</v>
      </c>
      <c r="I37" s="357">
        <f t="shared" ca="1" si="13"/>
        <v>26.325548400812618</v>
      </c>
      <c r="J37" s="359">
        <f t="shared" ca="1" si="14"/>
        <v>0.6973773595206022</v>
      </c>
      <c r="K37" s="360">
        <f t="shared" ca="1" si="15"/>
        <v>3.9552468163567855</v>
      </c>
      <c r="L37" s="357">
        <f t="shared" ca="1" si="0"/>
        <v>4.0162560376390868</v>
      </c>
      <c r="M37" s="359">
        <f t="shared" ca="1" si="16"/>
        <v>1.3962634015954636</v>
      </c>
      <c r="N37" s="357">
        <f t="shared" ca="1" si="17"/>
        <v>80</v>
      </c>
      <c r="O37" s="343"/>
      <c r="P37" s="363">
        <f t="shared" ca="1" si="18"/>
        <v>5</v>
      </c>
      <c r="Q37" s="357">
        <f t="shared" ca="1" si="19"/>
        <v>1039.8333333333333</v>
      </c>
      <c r="R37" s="359">
        <f t="shared" ca="1" si="20"/>
        <v>0.52088606260512149</v>
      </c>
      <c r="S37" s="360">
        <f t="shared" ca="1" si="21"/>
        <v>11.342013841340517</v>
      </c>
      <c r="T37" s="357">
        <f t="shared" ca="1" si="1"/>
        <v>111.26515578355048</v>
      </c>
      <c r="U37" s="364">
        <f t="shared" ca="1" si="2"/>
        <v>0</v>
      </c>
      <c r="V37" s="359">
        <f t="shared" ca="1" si="3"/>
        <v>1.2245155780654122</v>
      </c>
      <c r="W37" s="357">
        <f t="shared" ca="1" si="4"/>
        <v>1.9378462243547807</v>
      </c>
      <c r="X37" s="343"/>
      <c r="Y37" s="367" t="str">
        <f t="shared" ca="1" si="22"/>
        <v/>
      </c>
      <c r="Z37" s="368" t="str">
        <f t="shared" ca="1" si="23"/>
        <v/>
      </c>
      <c r="AA37" s="369" t="str">
        <f t="shared" ca="1" si="24"/>
        <v/>
      </c>
      <c r="AB37" s="344"/>
      <c r="AC37" s="363" t="e">
        <f t="shared" ca="1" si="25"/>
        <v>#N/A</v>
      </c>
      <c r="AD37" s="376" t="e">
        <f t="shared" ca="1" si="26"/>
        <v>#N/A</v>
      </c>
      <c r="AE37" s="377">
        <f t="shared" ca="1" si="5"/>
        <v>3.9552468163567855</v>
      </c>
      <c r="AF37" s="344"/>
      <c r="AG37" s="359">
        <f t="shared" ca="1" si="27"/>
        <v>81.85841644301324</v>
      </c>
      <c r="AH37" s="357">
        <f t="shared" ca="1" si="28"/>
        <v>91.519380500063008</v>
      </c>
    </row>
    <row r="38" spans="1:34" x14ac:dyDescent="0.25">
      <c r="A38" s="402">
        <f t="shared" ca="1" si="6"/>
        <v>0.01</v>
      </c>
      <c r="B38" s="357">
        <f t="shared" ca="1" si="7"/>
        <v>0.34000000000000014</v>
      </c>
      <c r="C38" s="342"/>
      <c r="D38" s="359">
        <f t="shared" ca="1" si="8"/>
        <v>15.892550942601636</v>
      </c>
      <c r="E38" s="360">
        <f t="shared" ca="1" si="9"/>
        <v>80.321135228124916</v>
      </c>
      <c r="F38" s="357">
        <f t="shared" ca="1" si="10"/>
        <v>81.878311779114725</v>
      </c>
      <c r="G38" s="359">
        <f t="shared" ca="1" si="11"/>
        <v>4.7300608509533149</v>
      </c>
      <c r="H38" s="360">
        <f t="shared" ca="1" si="12"/>
        <v>26.728859276546668</v>
      </c>
      <c r="I38" s="357">
        <f t="shared" ca="1" si="13"/>
        <v>27.144159480064143</v>
      </c>
      <c r="J38" s="359">
        <f t="shared" ca="1" si="14"/>
        <v>0.74388334048300531</v>
      </c>
      <c r="K38" s="360">
        <f t="shared" ca="1" si="15"/>
        <v>4.218519352360846</v>
      </c>
      <c r="L38" s="357">
        <f t="shared" ca="1" si="0"/>
        <v>4.2836045511334406</v>
      </c>
      <c r="M38" s="359">
        <f t="shared" ca="1" si="16"/>
        <v>1.3956451140838606</v>
      </c>
      <c r="N38" s="357">
        <f t="shared" ca="1" si="17"/>
        <v>79.9645747350595</v>
      </c>
      <c r="O38" s="343"/>
      <c r="P38" s="363">
        <f t="shared" ca="1" si="18"/>
        <v>5</v>
      </c>
      <c r="Q38" s="357">
        <f t="shared" ca="1" si="19"/>
        <v>1039.5</v>
      </c>
      <c r="R38" s="359">
        <f t="shared" ca="1" si="20"/>
        <v>0.52071908518482812</v>
      </c>
      <c r="S38" s="360">
        <f t="shared" ca="1" si="21"/>
        <v>11.336806650488668</v>
      </c>
      <c r="T38" s="357">
        <f t="shared" ca="1" si="1"/>
        <v>111.21407324129385</v>
      </c>
      <c r="U38" s="364">
        <f t="shared" ca="1" si="2"/>
        <v>0</v>
      </c>
      <c r="V38" s="359">
        <f t="shared" ca="1" si="3"/>
        <v>1.2244833403562709</v>
      </c>
      <c r="W38" s="357">
        <f t="shared" ca="1" si="4"/>
        <v>2.0601830984187721</v>
      </c>
      <c r="X38" s="343"/>
      <c r="Y38" s="367" t="str">
        <f t="shared" ca="1" si="22"/>
        <v/>
      </c>
      <c r="Z38" s="368" t="str">
        <f t="shared" ca="1" si="23"/>
        <v/>
      </c>
      <c r="AA38" s="369" t="str">
        <f t="shared" ca="1" si="24"/>
        <v/>
      </c>
      <c r="AB38" s="344"/>
      <c r="AC38" s="363" t="e">
        <f t="shared" ca="1" si="25"/>
        <v>#N/A</v>
      </c>
      <c r="AD38" s="376" t="e">
        <f t="shared" ca="1" si="26"/>
        <v>#N/A</v>
      </c>
      <c r="AE38" s="377">
        <f t="shared" ca="1" si="5"/>
        <v>4.218519352360846</v>
      </c>
      <c r="AF38" s="344"/>
      <c r="AG38" s="359">
        <f t="shared" ca="1" si="27"/>
        <v>81.860589213061047</v>
      </c>
      <c r="AH38" s="357">
        <f t="shared" ca="1" si="28"/>
        <v>91.5215532701108</v>
      </c>
    </row>
    <row r="39" spans="1:34" x14ac:dyDescent="0.25">
      <c r="A39" s="402">
        <f t="shared" ca="1" si="6"/>
        <v>0.01</v>
      </c>
      <c r="B39" s="357">
        <f t="shared" ca="1" si="7"/>
        <v>0.35000000000000014</v>
      </c>
      <c r="C39" s="342"/>
      <c r="D39" s="359">
        <f t="shared" ca="1" si="8"/>
        <v>15.948593906016781</v>
      </c>
      <c r="E39" s="360">
        <f t="shared" ca="1" si="9"/>
        <v>80.313094734985597</v>
      </c>
      <c r="F39" s="357">
        <f t="shared" ca="1" si="10"/>
        <v>81.881321639857575</v>
      </c>
      <c r="G39" s="359">
        <f t="shared" ca="1" si="11"/>
        <v>4.8895467900134824</v>
      </c>
      <c r="H39" s="360">
        <f t="shared" ca="1" si="12"/>
        <v>27.531990223896525</v>
      </c>
      <c r="I39" s="357">
        <f t="shared" ca="1" si="13"/>
        <v>27.962799457501838</v>
      </c>
      <c r="J39" s="359">
        <f t="shared" ca="1" si="14"/>
        <v>0.79198137868783935</v>
      </c>
      <c r="K39" s="360">
        <f t="shared" ca="1" si="15"/>
        <v>4.4898235998630618</v>
      </c>
      <c r="L39" s="357">
        <f t="shared" ca="1" si="0"/>
        <v>4.5591392238092041</v>
      </c>
      <c r="M39" s="359">
        <f t="shared" ca="1" si="16"/>
        <v>1.3950337798505226</v>
      </c>
      <c r="N39" s="357">
        <f t="shared" ca="1" si="17"/>
        <v>79.929547863617373</v>
      </c>
      <c r="O39" s="343"/>
      <c r="P39" s="363">
        <f t="shared" ca="1" si="18"/>
        <v>5</v>
      </c>
      <c r="Q39" s="357">
        <f t="shared" ca="1" si="19"/>
        <v>1039.1666666666667</v>
      </c>
      <c r="R39" s="359">
        <f t="shared" ca="1" si="20"/>
        <v>0.52055210776453487</v>
      </c>
      <c r="S39" s="360">
        <f t="shared" ca="1" si="21"/>
        <v>11.331601129411023</v>
      </c>
      <c r="T39" s="357">
        <f t="shared" ca="1" si="1"/>
        <v>111.16300707952215</v>
      </c>
      <c r="U39" s="364">
        <f t="shared" ca="1" si="2"/>
        <v>0</v>
      </c>
      <c r="V39" s="359">
        <f t="shared" ca="1" si="3"/>
        <v>1.2244501200522153</v>
      </c>
      <c r="W39" s="357">
        <f t="shared" ca="1" si="4"/>
        <v>2.1862636646084272</v>
      </c>
      <c r="X39" s="343"/>
      <c r="Y39" s="367" t="str">
        <f t="shared" ca="1" si="22"/>
        <v/>
      </c>
      <c r="Z39" s="368" t="str">
        <f t="shared" ca="1" si="23"/>
        <v/>
      </c>
      <c r="AA39" s="369" t="str">
        <f t="shared" ca="1" si="24"/>
        <v/>
      </c>
      <c r="AB39" s="344"/>
      <c r="AC39" s="363" t="e">
        <f t="shared" ca="1" si="25"/>
        <v>#N/A</v>
      </c>
      <c r="AD39" s="376" t="e">
        <f t="shared" ca="1" si="26"/>
        <v>#N/A</v>
      </c>
      <c r="AE39" s="377">
        <f t="shared" ca="1" si="5"/>
        <v>4.4898235998630618</v>
      </c>
      <c r="AF39" s="344"/>
      <c r="AG39" s="359">
        <f t="shared" ca="1" si="27"/>
        <v>81.863475217569814</v>
      </c>
      <c r="AH39" s="357">
        <f t="shared" ca="1" si="28"/>
        <v>91.523384182351037</v>
      </c>
    </row>
    <row r="40" spans="1:34" x14ac:dyDescent="0.25">
      <c r="A40" s="402">
        <f t="shared" ca="1" si="6"/>
        <v>0.01</v>
      </c>
      <c r="B40" s="357">
        <f t="shared" ca="1" si="7"/>
        <v>0.36000000000000015</v>
      </c>
      <c r="C40" s="342"/>
      <c r="D40" s="359">
        <f t="shared" ca="1" si="8"/>
        <v>16.003946545954069</v>
      </c>
      <c r="E40" s="360">
        <f t="shared" ca="1" si="9"/>
        <v>80.304793613776781</v>
      </c>
      <c r="F40" s="357">
        <f t="shared" ca="1" si="10"/>
        <v>81.88398001072639</v>
      </c>
      <c r="G40" s="359">
        <f t="shared" ca="1" si="11"/>
        <v>5.0495862554730229</v>
      </c>
      <c r="H40" s="360">
        <f t="shared" ca="1" si="12"/>
        <v>28.335038160034294</v>
      </c>
      <c r="I40" s="357">
        <f t="shared" ca="1" si="13"/>
        <v>28.781464675760713</v>
      </c>
      <c r="J40" s="359">
        <f t="shared" ca="1" si="14"/>
        <v>0.84167704391527187</v>
      </c>
      <c r="K40" s="360">
        <f t="shared" ca="1" si="15"/>
        <v>4.7691587417827161</v>
      </c>
      <c r="L40" s="357">
        <f t="shared" ca="1" si="0"/>
        <v>4.8428602447909279</v>
      </c>
      <c r="M40" s="359">
        <f t="shared" ca="1" si="16"/>
        <v>1.3944377828140733</v>
      </c>
      <c r="N40" s="357">
        <f t="shared" ca="1" si="17"/>
        <v>79.89539974882652</v>
      </c>
      <c r="O40" s="343"/>
      <c r="P40" s="363">
        <f t="shared" ca="1" si="18"/>
        <v>5</v>
      </c>
      <c r="Q40" s="357">
        <f t="shared" ca="1" si="19"/>
        <v>1038.8333333333333</v>
      </c>
      <c r="R40" s="359">
        <f t="shared" ca="1" si="20"/>
        <v>0.52038513034424139</v>
      </c>
      <c r="S40" s="360">
        <f t="shared" ca="1" si="21"/>
        <v>11.326397278107581</v>
      </c>
      <c r="T40" s="357">
        <f t="shared" ca="1" si="1"/>
        <v>111.11195729823538</v>
      </c>
      <c r="U40" s="364">
        <f t="shared" ca="1" si="2"/>
        <v>0</v>
      </c>
      <c r="V40" s="359">
        <f t="shared" ca="1" si="3"/>
        <v>1.2244159173332796</v>
      </c>
      <c r="W40" s="357">
        <f t="shared" ca="1" si="4"/>
        <v>2.3160871224626058</v>
      </c>
      <c r="X40" s="343"/>
      <c r="Y40" s="367" t="str">
        <f t="shared" ca="1" si="22"/>
        <v/>
      </c>
      <c r="Z40" s="368" t="str">
        <f t="shared" ca="1" si="23"/>
        <v/>
      </c>
      <c r="AA40" s="369" t="str">
        <f t="shared" ca="1" si="24"/>
        <v/>
      </c>
      <c r="AB40" s="344"/>
      <c r="AC40" s="363" t="e">
        <f t="shared" ca="1" si="25"/>
        <v>#N/A</v>
      </c>
      <c r="AD40" s="376" t="e">
        <f t="shared" ca="1" si="26"/>
        <v>#N/A</v>
      </c>
      <c r="AE40" s="377">
        <f t="shared" ca="1" si="5"/>
        <v>4.7691587417827161</v>
      </c>
      <c r="AF40" s="344"/>
      <c r="AG40" s="359">
        <f t="shared" ca="1" si="27"/>
        <v>81.86601064914845</v>
      </c>
      <c r="AH40" s="357">
        <f t="shared" ca="1" si="28"/>
        <v>91.524872756531821</v>
      </c>
    </row>
    <row r="41" spans="1:34" x14ac:dyDescent="0.25">
      <c r="A41" s="402">
        <f t="shared" ca="1" si="6"/>
        <v>0.01</v>
      </c>
      <c r="B41" s="357">
        <f t="shared" ca="1" si="7"/>
        <v>0.37000000000000016</v>
      </c>
      <c r="C41" s="342"/>
      <c r="D41" s="359">
        <f t="shared" ca="1" si="8"/>
        <v>16.057852882053854</v>
      </c>
      <c r="E41" s="360">
        <f t="shared" ca="1" si="9"/>
        <v>80.29636736585266</v>
      </c>
      <c r="F41" s="357">
        <f t="shared" ca="1" si="10"/>
        <v>81.886270224828621</v>
      </c>
      <c r="G41" s="359">
        <f t="shared" ca="1" si="11"/>
        <v>5.2101647842935614</v>
      </c>
      <c r="H41" s="360">
        <f t="shared" ca="1" si="12"/>
        <v>29.138001833692822</v>
      </c>
      <c r="I41" s="357">
        <f t="shared" ca="1" si="13"/>
        <v>29.600151485081611</v>
      </c>
      <c r="J41" s="359">
        <f t="shared" ca="1" si="14"/>
        <v>0.89297579911410474</v>
      </c>
      <c r="K41" s="360">
        <f t="shared" ca="1" si="15"/>
        <v>5.0565239417513519</v>
      </c>
      <c r="L41" s="357">
        <f t="shared" ca="1" si="0"/>
        <v>5.1347677796866433</v>
      </c>
      <c r="M41" s="359">
        <f t="shared" ca="1" si="16"/>
        <v>1.3938563252801039</v>
      </c>
      <c r="N41" s="357">
        <f t="shared" ca="1" si="17"/>
        <v>79.862084686163996</v>
      </c>
      <c r="O41" s="343"/>
      <c r="P41" s="363">
        <f t="shared" ca="1" si="18"/>
        <v>5</v>
      </c>
      <c r="Q41" s="357">
        <f t="shared" ca="1" si="19"/>
        <v>1038.5</v>
      </c>
      <c r="R41" s="359">
        <f t="shared" ca="1" si="20"/>
        <v>0.52021815292394813</v>
      </c>
      <c r="S41" s="360">
        <f t="shared" ca="1" si="21"/>
        <v>11.321195096578341</v>
      </c>
      <c r="T41" s="357">
        <f t="shared" ca="1" si="1"/>
        <v>111.06092389743354</v>
      </c>
      <c r="U41" s="364">
        <f t="shared" ca="1" si="2"/>
        <v>0</v>
      </c>
      <c r="V41" s="359">
        <f t="shared" ca="1" si="3"/>
        <v>1.2243807323842117</v>
      </c>
      <c r="W41" s="357">
        <f t="shared" ca="1" si="4"/>
        <v>2.4496525878659172</v>
      </c>
      <c r="X41" s="343"/>
      <c r="Y41" s="367" t="str">
        <f t="shared" ca="1" si="22"/>
        <v/>
      </c>
      <c r="Z41" s="368" t="str">
        <f t="shared" ca="1" si="23"/>
        <v/>
      </c>
      <c r="AA41" s="369" t="str">
        <f t="shared" ca="1" si="24"/>
        <v/>
      </c>
      <c r="AB41" s="344"/>
      <c r="AC41" s="363" t="e">
        <f t="shared" ca="1" si="25"/>
        <v>#N/A</v>
      </c>
      <c r="AD41" s="376" t="e">
        <f t="shared" ca="1" si="26"/>
        <v>#N/A</v>
      </c>
      <c r="AE41" s="377">
        <f t="shared" ca="1" si="5"/>
        <v>5.0565239417513519</v>
      </c>
      <c r="AF41" s="344"/>
      <c r="AG41" s="359">
        <f t="shared" ca="1" si="27"/>
        <v>81.868180552104448</v>
      </c>
      <c r="AH41" s="357">
        <f t="shared" ca="1" si="28"/>
        <v>91.526018590626364</v>
      </c>
    </row>
    <row r="42" spans="1:34" x14ac:dyDescent="0.25">
      <c r="A42" s="402">
        <f t="shared" ca="1" si="6"/>
        <v>0.01</v>
      </c>
      <c r="B42" s="357">
        <f t="shared" ca="1" si="7"/>
        <v>0.38000000000000017</v>
      </c>
      <c r="C42" s="342"/>
      <c r="D42" s="359">
        <f t="shared" ca="1" si="8"/>
        <v>16.110384480348337</v>
      </c>
      <c r="E42" s="360">
        <f t="shared" ca="1" si="9"/>
        <v>80.287805341013737</v>
      </c>
      <c r="F42" s="357">
        <f t="shared" ca="1" si="10"/>
        <v>81.888193132961248</v>
      </c>
      <c r="G42" s="359">
        <f t="shared" ca="1" si="11"/>
        <v>5.3712686290970444</v>
      </c>
      <c r="H42" s="360">
        <f t="shared" ca="1" si="12"/>
        <v>29.940879887102959</v>
      </c>
      <c r="I42" s="357">
        <f t="shared" ca="1" si="13"/>
        <v>30.418856242466589</v>
      </c>
      <c r="J42" s="359">
        <f t="shared" ca="1" si="14"/>
        <v>0.94588296618105772</v>
      </c>
      <c r="K42" s="360">
        <f t="shared" ca="1" si="15"/>
        <v>5.3519183503553309</v>
      </c>
      <c r="L42" s="357">
        <f t="shared" ca="1" si="0"/>
        <v>5.4348619683099226</v>
      </c>
      <c r="M42" s="359">
        <f t="shared" ca="1" si="16"/>
        <v>1.3932886713150192</v>
      </c>
      <c r="N42" s="357">
        <f t="shared" ca="1" si="17"/>
        <v>79.829560509740773</v>
      </c>
      <c r="O42" s="343"/>
      <c r="P42" s="363">
        <f t="shared" ca="1" si="18"/>
        <v>5</v>
      </c>
      <c r="Q42" s="357">
        <f t="shared" ca="1" si="19"/>
        <v>1038.1666666666667</v>
      </c>
      <c r="R42" s="359">
        <f t="shared" ca="1" si="20"/>
        <v>0.52005117550365476</v>
      </c>
      <c r="S42" s="360">
        <f t="shared" ca="1" si="21"/>
        <v>11.315994584823304</v>
      </c>
      <c r="T42" s="357">
        <f t="shared" ca="1" si="1"/>
        <v>111.00990687711662</v>
      </c>
      <c r="U42" s="364">
        <f t="shared" ca="1" si="2"/>
        <v>0</v>
      </c>
      <c r="V42" s="359">
        <f t="shared" ca="1" si="3"/>
        <v>1.2243445653937064</v>
      </c>
      <c r="W42" s="357">
        <f t="shared" ca="1" si="4"/>
        <v>2.5869590930921436</v>
      </c>
      <c r="X42" s="343"/>
      <c r="Y42" s="367" t="str">
        <f t="shared" ca="1" si="22"/>
        <v/>
      </c>
      <c r="Z42" s="368" t="str">
        <f t="shared" ca="1" si="23"/>
        <v/>
      </c>
      <c r="AA42" s="369" t="str">
        <f t="shared" ca="1" si="24"/>
        <v/>
      </c>
      <c r="AB42" s="344"/>
      <c r="AC42" s="363" t="e">
        <f t="shared" ca="1" si="25"/>
        <v>#N/A</v>
      </c>
      <c r="AD42" s="376" t="e">
        <f t="shared" ca="1" si="26"/>
        <v>#N/A</v>
      </c>
      <c r="AE42" s="377">
        <f t="shared" ca="1" si="5"/>
        <v>5.3519183503553309</v>
      </c>
      <c r="AF42" s="344"/>
      <c r="AG42" s="359">
        <f t="shared" ca="1" si="27"/>
        <v>81.869985643551175</v>
      </c>
      <c r="AH42" s="357">
        <f t="shared" ca="1" si="28"/>
        <v>91.526821289564367</v>
      </c>
    </row>
    <row r="43" spans="1:34" x14ac:dyDescent="0.25">
      <c r="A43" s="402">
        <f t="shared" ca="1" si="6"/>
        <v>0.01</v>
      </c>
      <c r="B43" s="357">
        <f t="shared" ca="1" si="7"/>
        <v>0.39000000000000018</v>
      </c>
      <c r="C43" s="342"/>
      <c r="D43" s="359">
        <f t="shared" ca="1" si="8"/>
        <v>16.161607338253837</v>
      </c>
      <c r="E43" s="360">
        <f t="shared" ca="1" si="9"/>
        <v>80.279097662301524</v>
      </c>
      <c r="F43" s="357">
        <f t="shared" ca="1" si="10"/>
        <v>81.889749500344948</v>
      </c>
      <c r="G43" s="359">
        <f t="shared" ca="1" si="11"/>
        <v>5.5328847024795831</v>
      </c>
      <c r="H43" s="360">
        <f t="shared" ca="1" si="12"/>
        <v>30.743670863725974</v>
      </c>
      <c r="I43" s="357">
        <f t="shared" ca="1" si="13"/>
        <v>31.237575310962374</v>
      </c>
      <c r="J43" s="359">
        <f t="shared" ca="1" si="14"/>
        <v>1.0004037328389408</v>
      </c>
      <c r="K43" s="360">
        <f t="shared" ca="1" si="15"/>
        <v>5.6553411041094757</v>
      </c>
      <c r="L43" s="357">
        <f t="shared" ca="1" si="0"/>
        <v>5.743142922869696</v>
      </c>
      <c r="M43" s="359">
        <f t="shared" ca="1" si="16"/>
        <v>1.3927341404728257</v>
      </c>
      <c r="N43" s="357">
        <f t="shared" ca="1" si="17"/>
        <v>79.797788232873245</v>
      </c>
      <c r="O43" s="343"/>
      <c r="P43" s="363">
        <f t="shared" ca="1" si="18"/>
        <v>5</v>
      </c>
      <c r="Q43" s="357">
        <f t="shared" ca="1" si="19"/>
        <v>1037.8333333333333</v>
      </c>
      <c r="R43" s="359">
        <f t="shared" ca="1" si="20"/>
        <v>0.51988419808336139</v>
      </c>
      <c r="S43" s="360">
        <f t="shared" ca="1" si="21"/>
        <v>11.310795742842471</v>
      </c>
      <c r="T43" s="357">
        <f t="shared" ca="1" si="1"/>
        <v>110.95890623728464</v>
      </c>
      <c r="U43" s="364">
        <f t="shared" ca="1" si="2"/>
        <v>0</v>
      </c>
      <c r="V43" s="359">
        <f t="shared" ca="1" si="3"/>
        <v>1.224307416554528</v>
      </c>
      <c r="W43" s="357">
        <f t="shared" ca="1" si="4"/>
        <v>2.7280055868500526</v>
      </c>
      <c r="X43" s="343"/>
      <c r="Y43" s="367" t="str">
        <f t="shared" ca="1" si="22"/>
        <v/>
      </c>
      <c r="Z43" s="368" t="str">
        <f t="shared" ca="1" si="23"/>
        <v/>
      </c>
      <c r="AA43" s="369" t="str">
        <f t="shared" ca="1" si="24"/>
        <v/>
      </c>
      <c r="AB43" s="344"/>
      <c r="AC43" s="363" t="e">
        <f t="shared" ca="1" si="25"/>
        <v>#N/A</v>
      </c>
      <c r="AD43" s="376" t="e">
        <f t="shared" ca="1" si="26"/>
        <v>#N/A</v>
      </c>
      <c r="AE43" s="377">
        <f t="shared" ca="1" si="5"/>
        <v>5.6553411041094757</v>
      </c>
      <c r="AF43" s="344"/>
      <c r="AG43" s="359">
        <f t="shared" ca="1" si="27"/>
        <v>81.871426564912241</v>
      </c>
      <c r="AH43" s="357">
        <f t="shared" ca="1" si="28"/>
        <v>91.527280465244914</v>
      </c>
    </row>
    <row r="44" spans="1:34" x14ac:dyDescent="0.25">
      <c r="A44" s="402">
        <f t="shared" ca="1" si="6"/>
        <v>0.01</v>
      </c>
      <c r="B44" s="357">
        <f t="shared" ca="1" si="7"/>
        <v>0.40000000000000019</v>
      </c>
      <c r="C44" s="342"/>
      <c r="D44" s="359">
        <f t="shared" ca="1" si="8"/>
        <v>16.21158245117795</v>
      </c>
      <c r="E44" s="360">
        <f t="shared" ca="1" si="9"/>
        <v>80.27023515035647</v>
      </c>
      <c r="F44" s="357">
        <f t="shared" ca="1" si="10"/>
        <v>81.890940015760378</v>
      </c>
      <c r="G44" s="359">
        <f t="shared" ca="1" si="11"/>
        <v>5.6950005269913628</v>
      </c>
      <c r="H44" s="360">
        <f t="shared" ca="1" si="12"/>
        <v>31.54637321522954</v>
      </c>
      <c r="I44" s="357">
        <f t="shared" ca="1" si="13"/>
        <v>32.056305059020509</v>
      </c>
      <c r="J44" s="359">
        <f t="shared" ca="1" si="14"/>
        <v>1.0565431589862955</v>
      </c>
      <c r="K44" s="360">
        <f t="shared" ca="1" si="15"/>
        <v>5.9667913245042534</v>
      </c>
      <c r="L44" s="357">
        <f t="shared" ca="1" si="0"/>
        <v>6.0596107265219574</v>
      </c>
      <c r="M44" s="359">
        <f t="shared" ca="1" si="16"/>
        <v>1.3921921023028547</v>
      </c>
      <c r="N44" s="357">
        <f t="shared" ca="1" si="17"/>
        <v>79.766731733398913</v>
      </c>
      <c r="O44" s="343"/>
      <c r="P44" s="363">
        <f t="shared" ca="1" si="18"/>
        <v>5</v>
      </c>
      <c r="Q44" s="357">
        <f t="shared" ca="1" si="19"/>
        <v>1037.5</v>
      </c>
      <c r="R44" s="359">
        <f t="shared" ca="1" si="20"/>
        <v>0.51971722066306802</v>
      </c>
      <c r="S44" s="360">
        <f t="shared" ca="1" si="21"/>
        <v>11.305598570635841</v>
      </c>
      <c r="T44" s="357">
        <f t="shared" ca="1" si="1"/>
        <v>110.9079219779376</v>
      </c>
      <c r="U44" s="364">
        <f t="shared" ca="1" si="2"/>
        <v>0</v>
      </c>
      <c r="V44" s="359">
        <f t="shared" ca="1" si="3"/>
        <v>1.2242692860636273</v>
      </c>
      <c r="W44" s="357">
        <f t="shared" ca="1" si="4"/>
        <v>2.8727909343250504</v>
      </c>
      <c r="X44" s="343"/>
      <c r="Y44" s="367" t="str">
        <f t="shared" ca="1" si="22"/>
        <v/>
      </c>
      <c r="Z44" s="368" t="str">
        <f t="shared" ca="1" si="23"/>
        <v/>
      </c>
      <c r="AA44" s="369" t="str">
        <f t="shared" ca="1" si="24"/>
        <v/>
      </c>
      <c r="AB44" s="344"/>
      <c r="AC44" s="363" t="e">
        <f t="shared" ca="1" si="25"/>
        <v>#N/A</v>
      </c>
      <c r="AD44" s="376" t="e">
        <f t="shared" ca="1" si="26"/>
        <v>#N/A</v>
      </c>
      <c r="AE44" s="377">
        <f t="shared" ca="1" si="5"/>
        <v>5.9667913245042534</v>
      </c>
      <c r="AF44" s="344"/>
      <c r="AG44" s="359">
        <f t="shared" ca="1" si="27"/>
        <v>81.872503890083891</v>
      </c>
      <c r="AH44" s="357">
        <f t="shared" ca="1" si="28"/>
        <v>91.527395736549053</v>
      </c>
    </row>
    <row r="45" spans="1:34" x14ac:dyDescent="0.25">
      <c r="A45" s="402">
        <f t="shared" ca="1" si="6"/>
        <v>0.01</v>
      </c>
      <c r="B45" s="357">
        <f t="shared" ca="1" si="7"/>
        <v>0.4100000000000002</v>
      </c>
      <c r="C45" s="342"/>
      <c r="D45" s="359">
        <f t="shared" ca="1" si="8"/>
        <v>16.260366308531019</v>
      </c>
      <c r="E45" s="360">
        <f t="shared" ca="1" si="9"/>
        <v>80.261209256982369</v>
      </c>
      <c r="F45" s="357">
        <f t="shared" ca="1" si="10"/>
        <v>81.891765299575283</v>
      </c>
      <c r="G45" s="359">
        <f t="shared" ca="1" si="11"/>
        <v>5.8576041900766729</v>
      </c>
      <c r="H45" s="360">
        <f t="shared" ca="1" si="12"/>
        <v>32.348985307799367</v>
      </c>
      <c r="I45" s="357">
        <f t="shared" ca="1" si="13"/>
        <v>32.875041859925034</v>
      </c>
      <c r="J45" s="359">
        <f t="shared" ca="1" si="14"/>
        <v>1.1143061825716356</v>
      </c>
      <c r="K45" s="360">
        <f t="shared" ca="1" si="15"/>
        <v>6.2862681171193984</v>
      </c>
      <c r="L45" s="357">
        <f t="shared" ca="1" si="0"/>
        <v>6.3842654322035539</v>
      </c>
      <c r="M45" s="359">
        <f t="shared" ca="1" si="16"/>
        <v>1.3916619715241949</v>
      </c>
      <c r="N45" s="357">
        <f t="shared" ca="1" si="17"/>
        <v>79.736357477191717</v>
      </c>
      <c r="O45" s="343"/>
      <c r="P45" s="363">
        <f t="shared" ca="1" si="18"/>
        <v>5</v>
      </c>
      <c r="Q45" s="357">
        <f t="shared" ca="1" si="19"/>
        <v>1037.1666666666667</v>
      </c>
      <c r="R45" s="359">
        <f t="shared" ca="1" si="20"/>
        <v>0.51955024324277477</v>
      </c>
      <c r="S45" s="360">
        <f t="shared" ca="1" si="21"/>
        <v>11.300403068203412</v>
      </c>
      <c r="T45" s="357">
        <f t="shared" ca="1" si="1"/>
        <v>110.85695409907548</v>
      </c>
      <c r="U45" s="364">
        <f t="shared" ca="1" si="2"/>
        <v>0</v>
      </c>
      <c r="V45" s="359">
        <f t="shared" ca="1" si="3"/>
        <v>1.2242301741222463</v>
      </c>
      <c r="W45" s="357">
        <f t="shared" ca="1" si="4"/>
        <v>3.0213139172174635</v>
      </c>
      <c r="X45" s="343"/>
      <c r="Y45" s="367" t="str">
        <f t="shared" ca="1" si="22"/>
        <v/>
      </c>
      <c r="Z45" s="368" t="str">
        <f t="shared" ca="1" si="23"/>
        <v/>
      </c>
      <c r="AA45" s="369" t="str">
        <f t="shared" ca="1" si="24"/>
        <v/>
      </c>
      <c r="AB45" s="344"/>
      <c r="AC45" s="363" t="e">
        <f t="shared" ca="1" si="25"/>
        <v>#N/A</v>
      </c>
      <c r="AD45" s="376" t="e">
        <f t="shared" ca="1" si="26"/>
        <v>#N/A</v>
      </c>
      <c r="AE45" s="377">
        <f t="shared" ca="1" si="5"/>
        <v>6.2862681171193984</v>
      </c>
      <c r="AF45" s="344"/>
      <c r="AG45" s="359">
        <f t="shared" ca="1" si="27"/>
        <v>81.873218132606354</v>
      </c>
      <c r="AH45" s="357">
        <f t="shared" ca="1" si="28"/>
        <v>91.527166729352643</v>
      </c>
    </row>
    <row r="46" spans="1:34" x14ac:dyDescent="0.25">
      <c r="A46" s="402">
        <f t="shared" ca="1" si="6"/>
        <v>0.01</v>
      </c>
      <c r="B46" s="357">
        <f t="shared" ca="1" si="7"/>
        <v>0.42000000000000021</v>
      </c>
      <c r="C46" s="342"/>
      <c r="D46" s="359">
        <f t="shared" ca="1" si="8"/>
        <v>16.308011329473736</v>
      </c>
      <c r="E46" s="360">
        <f t="shared" ca="1" si="9"/>
        <v>80.252012006595862</v>
      </c>
      <c r="F46" s="357">
        <f t="shared" ca="1" si="10"/>
        <v>81.892225910821651</v>
      </c>
      <c r="G46" s="359">
        <f t="shared" ca="1" si="11"/>
        <v>6.0206843033714099</v>
      </c>
      <c r="H46" s="360">
        <f t="shared" ca="1" si="12"/>
        <v>33.151505427865324</v>
      </c>
      <c r="I46" s="357">
        <f t="shared" ca="1" si="13"/>
        <v>33.693782091279793</v>
      </c>
      <c r="J46" s="359">
        <f t="shared" ca="1" si="14"/>
        <v>1.173697625038876</v>
      </c>
      <c r="K46" s="360">
        <f t="shared" ca="1" si="15"/>
        <v>6.6137705707977217</v>
      </c>
      <c r="L46" s="357">
        <f t="shared" ca="1" si="0"/>
        <v>6.7171070616874884</v>
      </c>
      <c r="M46" s="359">
        <f t="shared" ca="1" si="16"/>
        <v>1.3911432037716913</v>
      </c>
      <c r="N46" s="357">
        <f t="shared" ca="1" si="17"/>
        <v>79.706634274425781</v>
      </c>
      <c r="O46" s="343"/>
      <c r="P46" s="363">
        <f t="shared" ca="1" si="18"/>
        <v>5</v>
      </c>
      <c r="Q46" s="357">
        <f t="shared" ca="1" si="19"/>
        <v>1036.8333333333333</v>
      </c>
      <c r="R46" s="359">
        <f t="shared" ca="1" si="20"/>
        <v>0.51938326582248129</v>
      </c>
      <c r="S46" s="360">
        <f t="shared" ca="1" si="21"/>
        <v>11.295209235545187</v>
      </c>
      <c r="T46" s="357">
        <f t="shared" ca="1" si="1"/>
        <v>110.80600260069829</v>
      </c>
      <c r="U46" s="364">
        <f t="shared" ca="1" si="2"/>
        <v>0</v>
      </c>
      <c r="V46" s="359">
        <f t="shared" ca="1" si="3"/>
        <v>1.2241900809360207</v>
      </c>
      <c r="W46" s="357">
        <f t="shared" ca="1" si="4"/>
        <v>3.1735732337781082</v>
      </c>
      <c r="X46" s="343"/>
      <c r="Y46" s="367" t="str">
        <f t="shared" ca="1" si="22"/>
        <v/>
      </c>
      <c r="Z46" s="368" t="str">
        <f t="shared" ca="1" si="23"/>
        <v/>
      </c>
      <c r="AA46" s="369" t="str">
        <f t="shared" ca="1" si="24"/>
        <v/>
      </c>
      <c r="AB46" s="344"/>
      <c r="AC46" s="363" t="e">
        <f t="shared" ca="1" si="25"/>
        <v>#N/A</v>
      </c>
      <c r="AD46" s="376" t="e">
        <f t="shared" ca="1" si="26"/>
        <v>#N/A</v>
      </c>
      <c r="AE46" s="377">
        <f t="shared" ca="1" si="5"/>
        <v>6.6137705707977217</v>
      </c>
      <c r="AF46" s="344"/>
      <c r="AG46" s="359">
        <f t="shared" ca="1" si="27"/>
        <v>81.873569751986594</v>
      </c>
      <c r="AH46" s="357">
        <f t="shared" ca="1" si="28"/>
        <v>91.526593076539569</v>
      </c>
    </row>
    <row r="47" spans="1:34" x14ac:dyDescent="0.25">
      <c r="A47" s="402">
        <f t="shared" ca="1" si="6"/>
        <v>0.01</v>
      </c>
      <c r="B47" s="357">
        <f t="shared" ca="1" si="7"/>
        <v>0.43000000000000022</v>
      </c>
      <c r="C47" s="342"/>
      <c r="D47" s="359">
        <f t="shared" ca="1" si="8"/>
        <v>16.354566247006236</v>
      </c>
      <c r="E47" s="360">
        <f t="shared" ca="1" si="9"/>
        <v>80.242635944456694</v>
      </c>
      <c r="F47" s="357">
        <f t="shared" ca="1" si="10"/>
        <v>81.892322353455882</v>
      </c>
      <c r="G47" s="359">
        <f t="shared" ca="1" si="11"/>
        <v>6.1842299658414719</v>
      </c>
      <c r="H47" s="360">
        <f t="shared" ca="1" si="12"/>
        <v>33.953931787309891</v>
      </c>
      <c r="I47" s="357">
        <f t="shared" ca="1" si="13"/>
        <v>34.512522134548568</v>
      </c>
      <c r="J47" s="359">
        <f t="shared" ca="1" si="14"/>
        <v>1.2347221963849404</v>
      </c>
      <c r="K47" s="360">
        <f t="shared" ca="1" si="15"/>
        <v>6.9492977568735981</v>
      </c>
      <c r="L47" s="357">
        <f t="shared" ca="1" si="0"/>
        <v>7.0581356048133612</v>
      </c>
      <c r="M47" s="359">
        <f t="shared" ca="1" si="16"/>
        <v>1.3906352918338711</v>
      </c>
      <c r="N47" s="357">
        <f t="shared" ca="1" si="17"/>
        <v>79.677533064024374</v>
      </c>
      <c r="O47" s="343"/>
      <c r="P47" s="363">
        <f t="shared" ca="1" si="18"/>
        <v>5</v>
      </c>
      <c r="Q47" s="357">
        <f t="shared" ca="1" si="19"/>
        <v>1036.5</v>
      </c>
      <c r="R47" s="359">
        <f t="shared" ca="1" si="20"/>
        <v>0.51921628840218792</v>
      </c>
      <c r="S47" s="360">
        <f t="shared" ca="1" si="21"/>
        <v>11.290017072661165</v>
      </c>
      <c r="T47" s="357">
        <f t="shared" ca="1" si="1"/>
        <v>110.75506748280603</v>
      </c>
      <c r="U47" s="364">
        <f t="shared" ca="1" si="2"/>
        <v>0</v>
      </c>
      <c r="V47" s="359">
        <f t="shared" ca="1" si="3"/>
        <v>1.2241490067150693</v>
      </c>
      <c r="W47" s="357">
        <f t="shared" ca="1" si="4"/>
        <v>3.3295674988417465</v>
      </c>
      <c r="X47" s="343"/>
      <c r="Y47" s="367" t="str">
        <f t="shared" ca="1" si="22"/>
        <v/>
      </c>
      <c r="Z47" s="368" t="str">
        <f t="shared" ca="1" si="23"/>
        <v/>
      </c>
      <c r="AA47" s="369" t="str">
        <f t="shared" ca="1" si="24"/>
        <v/>
      </c>
      <c r="AB47" s="344"/>
      <c r="AC47" s="363" t="e">
        <f t="shared" ca="1" si="25"/>
        <v>#N/A</v>
      </c>
      <c r="AD47" s="376" t="e">
        <f t="shared" ca="1" si="26"/>
        <v>#N/A</v>
      </c>
      <c r="AE47" s="377">
        <f t="shared" ca="1" si="5"/>
        <v>6.9492977568735981</v>
      </c>
      <c r="AF47" s="344"/>
      <c r="AG47" s="359">
        <f t="shared" ca="1" si="27"/>
        <v>81.873559159291602</v>
      </c>
      <c r="AH47" s="357">
        <f t="shared" ca="1" si="28"/>
        <v>91.52567441801547</v>
      </c>
    </row>
    <row r="48" spans="1:34" x14ac:dyDescent="0.25">
      <c r="A48" s="402">
        <f t="shared" ca="1" si="6"/>
        <v>0.01</v>
      </c>
      <c r="B48" s="357">
        <f t="shared" ca="1" si="7"/>
        <v>0.44000000000000022</v>
      </c>
      <c r="C48" s="342"/>
      <c r="D48" s="359">
        <f t="shared" ca="1" si="8"/>
        <v>16.400076447600856</v>
      </c>
      <c r="E48" s="360">
        <f t="shared" ca="1" si="9"/>
        <v>80.23307409075116</v>
      </c>
      <c r="F48" s="357">
        <f t="shared" ca="1" si="10"/>
        <v>81.89205508191327</v>
      </c>
      <c r="G48" s="359">
        <f t="shared" ca="1" si="11"/>
        <v>6.3482307303174803</v>
      </c>
      <c r="H48" s="360">
        <f t="shared" ca="1" si="12"/>
        <v>34.756262528217405</v>
      </c>
      <c r="I48" s="357">
        <f t="shared" ca="1" si="13"/>
        <v>35.331258374642083</v>
      </c>
      <c r="J48" s="359">
        <f t="shared" ca="1" si="14"/>
        <v>1.2973844998657351</v>
      </c>
      <c r="K48" s="360">
        <f t="shared" ca="1" si="15"/>
        <v>7.2928487284512347</v>
      </c>
      <c r="L48" s="357">
        <f t="shared" ca="1" si="0"/>
        <v>7.4073510188571898</v>
      </c>
      <c r="M48" s="359">
        <f t="shared" ca="1" si="16"/>
        <v>1.390137762315844</v>
      </c>
      <c r="N48" s="357">
        <f t="shared" ca="1" si="17"/>
        <v>79.649026722458231</v>
      </c>
      <c r="O48" s="343"/>
      <c r="P48" s="363">
        <f t="shared" ca="1" si="18"/>
        <v>5</v>
      </c>
      <c r="Q48" s="357">
        <f t="shared" ca="1" si="19"/>
        <v>1036.1666666666667</v>
      </c>
      <c r="R48" s="359">
        <f t="shared" ca="1" si="20"/>
        <v>0.51904931098189466</v>
      </c>
      <c r="S48" s="360">
        <f t="shared" ca="1" si="21"/>
        <v>11.284826579551346</v>
      </c>
      <c r="T48" s="357">
        <f t="shared" ca="1" si="1"/>
        <v>110.70414874539871</v>
      </c>
      <c r="U48" s="364">
        <f t="shared" ca="1" si="2"/>
        <v>0</v>
      </c>
      <c r="V48" s="359">
        <f t="shared" ca="1" si="3"/>
        <v>1.2241069516740821</v>
      </c>
      <c r="W48" s="357">
        <f t="shared" ca="1" si="4"/>
        <v>3.4892952438589493</v>
      </c>
      <c r="X48" s="343"/>
      <c r="Y48" s="367" t="str">
        <f t="shared" ca="1" si="22"/>
        <v/>
      </c>
      <c r="Z48" s="368" t="str">
        <f t="shared" ca="1" si="23"/>
        <v/>
      </c>
      <c r="AA48" s="369" t="str">
        <f t="shared" ca="1" si="24"/>
        <v/>
      </c>
      <c r="AB48" s="344"/>
      <c r="AC48" s="363" t="e">
        <f t="shared" ca="1" si="25"/>
        <v>#N/A</v>
      </c>
      <c r="AD48" s="376" t="e">
        <f t="shared" ca="1" si="26"/>
        <v>#N/A</v>
      </c>
      <c r="AE48" s="377">
        <f t="shared" ca="1" si="5"/>
        <v>7.2928487284512347</v>
      </c>
      <c r="AF48" s="344"/>
      <c r="AG48" s="359">
        <f t="shared" ca="1" si="27"/>
        <v>81.873186722111171</v>
      </c>
      <c r="AH48" s="357">
        <f t="shared" ca="1" si="28"/>
        <v>91.524410400721266</v>
      </c>
    </row>
    <row r="49" spans="1:34" x14ac:dyDescent="0.25">
      <c r="A49" s="402">
        <f t="shared" ca="1" si="6"/>
        <v>0.01</v>
      </c>
      <c r="B49" s="357">
        <f t="shared" ca="1" si="7"/>
        <v>0.45000000000000023</v>
      </c>
      <c r="C49" s="342"/>
      <c r="D49" s="359">
        <f t="shared" ca="1" si="8"/>
        <v>16.444584272433076</v>
      </c>
      <c r="E49" s="360">
        <f t="shared" ca="1" si="9"/>
        <v>80.223319899747153</v>
      </c>
      <c r="F49" s="357">
        <f t="shared" ca="1" si="10"/>
        <v>81.891424506051436</v>
      </c>
      <c r="G49" s="359">
        <f t="shared" ca="1" si="11"/>
        <v>6.5126765730418112</v>
      </c>
      <c r="H49" s="360">
        <f t="shared" ca="1" si="12"/>
        <v>35.558495727214876</v>
      </c>
      <c r="I49" s="357">
        <f t="shared" ca="1" si="13"/>
        <v>36.149987199546921</v>
      </c>
      <c r="J49" s="359">
        <f t="shared" ca="1" si="14"/>
        <v>1.3616890363825316</v>
      </c>
      <c r="K49" s="360">
        <f t="shared" ca="1" si="15"/>
        <v>7.6444225197283959</v>
      </c>
      <c r="L49" s="357">
        <f t="shared" ca="1" si="0"/>
        <v>7.7647532280127889</v>
      </c>
      <c r="M49" s="359">
        <f t="shared" ca="1" si="16"/>
        <v>1.3896501726706418</v>
      </c>
      <c r="N49" s="357">
        <f t="shared" ca="1" si="17"/>
        <v>79.621089893653874</v>
      </c>
      <c r="O49" s="343"/>
      <c r="P49" s="363">
        <f t="shared" ca="1" si="18"/>
        <v>5</v>
      </c>
      <c r="Q49" s="357">
        <f t="shared" ca="1" si="19"/>
        <v>1035.8333333333333</v>
      </c>
      <c r="R49" s="359">
        <f t="shared" ca="1" si="20"/>
        <v>0.51888233356160118</v>
      </c>
      <c r="S49" s="360">
        <f t="shared" ca="1" si="21"/>
        <v>11.279637756215731</v>
      </c>
      <c r="T49" s="357">
        <f t="shared" ca="1" si="1"/>
        <v>110.65324638847633</v>
      </c>
      <c r="U49" s="364">
        <f t="shared" ca="1" si="2"/>
        <v>0</v>
      </c>
      <c r="V49" s="359">
        <f t="shared" ca="1" si="3"/>
        <v>1.2240639160324012</v>
      </c>
      <c r="W49" s="357">
        <f t="shared" ca="1" si="4"/>
        <v>3.6527549169268623</v>
      </c>
      <c r="X49" s="343"/>
      <c r="Y49" s="367" t="str">
        <f t="shared" ca="1" si="22"/>
        <v/>
      </c>
      <c r="Z49" s="368" t="str">
        <f t="shared" ca="1" si="23"/>
        <v/>
      </c>
      <c r="AA49" s="369" t="str">
        <f t="shared" ca="1" si="24"/>
        <v/>
      </c>
      <c r="AB49" s="344"/>
      <c r="AC49" s="363" t="e">
        <f t="shared" ca="1" si="25"/>
        <v>#N/A</v>
      </c>
      <c r="AD49" s="376" t="e">
        <f t="shared" ca="1" si="26"/>
        <v>#N/A</v>
      </c>
      <c r="AE49" s="377">
        <f t="shared" ca="1" si="5"/>
        <v>7.6444225197283959</v>
      </c>
      <c r="AF49" s="344"/>
      <c r="AG49" s="359">
        <f t="shared" ca="1" si="27"/>
        <v>81.872452768974952</v>
      </c>
      <c r="AH49" s="357">
        <f t="shared" ca="1" si="28"/>
        <v>91.522800678647073</v>
      </c>
    </row>
    <row r="50" spans="1:34" x14ac:dyDescent="0.25">
      <c r="A50" s="402">
        <f t="shared" ca="1" si="6"/>
        <v>0.01</v>
      </c>
      <c r="B50" s="357">
        <f t="shared" ca="1" si="7"/>
        <v>0.46000000000000024</v>
      </c>
      <c r="C50" s="342"/>
      <c r="D50" s="359">
        <f t="shared" ca="1" si="8"/>
        <v>16.488129285322628</v>
      </c>
      <c r="E50" s="360">
        <f t="shared" ca="1" si="9"/>
        <v>80.2133672233591</v>
      </c>
      <c r="F50" s="357">
        <f t="shared" ca="1" si="10"/>
        <v>81.89043099556244</v>
      </c>
      <c r="G50" s="359">
        <f t="shared" ca="1" si="11"/>
        <v>6.6775578658950376</v>
      </c>
      <c r="H50" s="360">
        <f t="shared" ca="1" si="12"/>
        <v>36.36062939944847</v>
      </c>
      <c r="I50" s="357">
        <f t="shared" ca="1" si="13"/>
        <v>36.968704999991722</v>
      </c>
      <c r="J50" s="359">
        <f t="shared" ca="1" si="14"/>
        <v>1.4276402085772157</v>
      </c>
      <c r="K50" s="360">
        <f t="shared" ca="1" si="15"/>
        <v>8.0040181453617123</v>
      </c>
      <c r="L50" s="357">
        <f t="shared" ca="1" si="0"/>
        <v>8.1303421229629649</v>
      </c>
      <c r="M50" s="359">
        <f t="shared" ca="1" si="16"/>
        <v>1.3891721085510724</v>
      </c>
      <c r="N50" s="357">
        <f t="shared" ca="1" si="17"/>
        <v>79.593698837265904</v>
      </c>
      <c r="O50" s="343"/>
      <c r="P50" s="363">
        <f t="shared" ca="1" si="18"/>
        <v>5</v>
      </c>
      <c r="Q50" s="357">
        <f t="shared" ca="1" si="19"/>
        <v>1035.5</v>
      </c>
      <c r="R50" s="359">
        <f t="shared" ca="1" si="20"/>
        <v>0.51871535614130793</v>
      </c>
      <c r="S50" s="360">
        <f t="shared" ca="1" si="21"/>
        <v>11.274450602654317</v>
      </c>
      <c r="T50" s="357">
        <f t="shared" ca="1" si="1"/>
        <v>110.60236041203886</v>
      </c>
      <c r="U50" s="364">
        <f t="shared" ca="1" si="2"/>
        <v>0</v>
      </c>
      <c r="V50" s="359">
        <f t="shared" ca="1" si="3"/>
        <v>1.2240199000140968</v>
      </c>
      <c r="W50" s="357">
        <f t="shared" ca="1" si="4"/>
        <v>3.8199448828192639</v>
      </c>
      <c r="X50" s="343"/>
      <c r="Y50" s="367" t="str">
        <f t="shared" ca="1" si="22"/>
        <v/>
      </c>
      <c r="Z50" s="368" t="str">
        <f t="shared" ca="1" si="23"/>
        <v/>
      </c>
      <c r="AA50" s="369" t="str">
        <f t="shared" ca="1" si="24"/>
        <v/>
      </c>
      <c r="AB50" s="344"/>
      <c r="AC50" s="363" t="e">
        <f t="shared" ca="1" si="25"/>
        <v>#N/A</v>
      </c>
      <c r="AD50" s="376" t="e">
        <f t="shared" ca="1" si="26"/>
        <v>#N/A</v>
      </c>
      <c r="AE50" s="377">
        <f t="shared" ca="1" si="5"/>
        <v>8.0040181453617123</v>
      </c>
      <c r="AF50" s="344"/>
      <c r="AG50" s="359">
        <f t="shared" ca="1" si="27"/>
        <v>81.87135759329486</v>
      </c>
      <c r="AH50" s="357">
        <f t="shared" ca="1" si="28"/>
        <v>91.520844912846385</v>
      </c>
    </row>
    <row r="51" spans="1:34" x14ac:dyDescent="0.25">
      <c r="A51" s="402">
        <f t="shared" ca="1" si="6"/>
        <v>0.01</v>
      </c>
      <c r="B51" s="357">
        <f t="shared" ca="1" si="7"/>
        <v>0.47000000000000025</v>
      </c>
      <c r="C51" s="342"/>
      <c r="D51" s="359">
        <f t="shared" ca="1" si="8"/>
        <v>16.530748511717778</v>
      </c>
      <c r="E51" s="360">
        <f t="shared" ca="1" si="9"/>
        <v>80.203210278558785</v>
      </c>
      <c r="F51" s="357">
        <f t="shared" ca="1" si="10"/>
        <v>81.889074883920728</v>
      </c>
      <c r="G51" s="359">
        <f t="shared" ca="1" si="11"/>
        <v>6.8428653510122155</v>
      </c>
      <c r="H51" s="360">
        <f t="shared" ca="1" si="12"/>
        <v>37.162661502234059</v>
      </c>
      <c r="I51" s="357">
        <f t="shared" ca="1" si="13"/>
        <v>37.787408169146943</v>
      </c>
      <c r="J51" s="359">
        <f t="shared" ca="1" si="14"/>
        <v>1.4952423246617521</v>
      </c>
      <c r="K51" s="360">
        <f t="shared" ca="1" si="15"/>
        <v>8.3716345998701254</v>
      </c>
      <c r="L51" s="357">
        <f t="shared" ca="1" si="0"/>
        <v>8.5041175605234027</v>
      </c>
      <c r="M51" s="359">
        <f t="shared" ca="1" si="16"/>
        <v>1.3887031814412907</v>
      </c>
      <c r="N51" s="357">
        <f t="shared" ca="1" si="17"/>
        <v>79.566831292976147</v>
      </c>
      <c r="O51" s="343"/>
      <c r="P51" s="363">
        <f t="shared" ca="1" si="18"/>
        <v>5</v>
      </c>
      <c r="Q51" s="357">
        <f t="shared" ca="1" si="19"/>
        <v>1035.1666666666667</v>
      </c>
      <c r="R51" s="359">
        <f t="shared" ca="1" si="20"/>
        <v>0.51854837872101456</v>
      </c>
      <c r="S51" s="360">
        <f t="shared" ca="1" si="21"/>
        <v>11.269265118867107</v>
      </c>
      <c r="T51" s="357">
        <f t="shared" ca="1" si="1"/>
        <v>110.55149081608633</v>
      </c>
      <c r="U51" s="364">
        <f t="shared" ca="1" si="2"/>
        <v>0</v>
      </c>
      <c r="V51" s="359">
        <f t="shared" ca="1" si="3"/>
        <v>1.2239749038480368</v>
      </c>
      <c r="W51" s="357">
        <f t="shared" ca="1" si="4"/>
        <v>3.9908634230163038</v>
      </c>
      <c r="X51" s="343"/>
      <c r="Y51" s="367" t="str">
        <f t="shared" ca="1" si="22"/>
        <v/>
      </c>
      <c r="Z51" s="368" t="str">
        <f t="shared" ca="1" si="23"/>
        <v/>
      </c>
      <c r="AA51" s="369" t="str">
        <f t="shared" ca="1" si="24"/>
        <v/>
      </c>
      <c r="AB51" s="344"/>
      <c r="AC51" s="363" t="e">
        <f t="shared" ca="1" si="25"/>
        <v>#N/A</v>
      </c>
      <c r="AD51" s="376" t="e">
        <f t="shared" ca="1" si="26"/>
        <v>#N/A</v>
      </c>
      <c r="AE51" s="377">
        <f t="shared" ca="1" si="5"/>
        <v>8.3716345998701254</v>
      </c>
      <c r="AF51" s="344"/>
      <c r="AG51" s="359">
        <f t="shared" ca="1" si="27"/>
        <v>81.86990145689289</v>
      </c>
      <c r="AH51" s="357">
        <f t="shared" ca="1" si="28"/>
        <v>91.518542771449873</v>
      </c>
    </row>
    <row r="52" spans="1:34" x14ac:dyDescent="0.25">
      <c r="A52" s="402">
        <f t="shared" ca="1" si="6"/>
        <v>0.01</v>
      </c>
      <c r="B52" s="357">
        <f t="shared" ca="1" si="7"/>
        <v>0.48000000000000026</v>
      </c>
      <c r="C52" s="342"/>
      <c r="D52" s="359">
        <f t="shared" ca="1" si="8"/>
        <v>16.572476652411083</v>
      </c>
      <c r="E52" s="360">
        <f t="shared" ca="1" si="9"/>
        <v>80.192843618152949</v>
      </c>
      <c r="F52" s="357">
        <f t="shared" ca="1" si="10"/>
        <v>81.887356471925784</v>
      </c>
      <c r="G52" s="359">
        <f t="shared" ca="1" si="11"/>
        <v>7.0085901175363263</v>
      </c>
      <c r="H52" s="360">
        <f t="shared" ca="1" si="12"/>
        <v>37.964589938415585</v>
      </c>
      <c r="I52" s="357">
        <f t="shared" ca="1" si="13"/>
        <v>38.606093102354627</v>
      </c>
      <c r="J52" s="359">
        <f t="shared" ca="1" si="14"/>
        <v>1.5644996020044948</v>
      </c>
      <c r="K52" s="360">
        <f t="shared" ca="1" si="15"/>
        <v>8.7472708570733744</v>
      </c>
      <c r="L52" s="357">
        <f t="shared" ca="1" si="0"/>
        <v>8.8860793633456474</v>
      </c>
      <c r="M52" s="359">
        <f t="shared" ca="1" si="16"/>
        <v>1.3882430265332475</v>
      </c>
      <c r="N52" s="357">
        <f t="shared" ca="1" si="17"/>
        <v>79.540466358823039</v>
      </c>
      <c r="O52" s="343"/>
      <c r="P52" s="363">
        <f t="shared" ca="1" si="18"/>
        <v>5</v>
      </c>
      <c r="Q52" s="357">
        <f t="shared" ca="1" si="19"/>
        <v>1034.8333333333333</v>
      </c>
      <c r="R52" s="359">
        <f t="shared" ca="1" si="20"/>
        <v>0.51838140130072119</v>
      </c>
      <c r="S52" s="360">
        <f t="shared" ca="1" si="21"/>
        <v>11.2640813048541</v>
      </c>
      <c r="T52" s="357">
        <f t="shared" ca="1" si="1"/>
        <v>110.50063760061873</v>
      </c>
      <c r="U52" s="364">
        <f t="shared" ca="1" si="2"/>
        <v>0</v>
      </c>
      <c r="V52" s="359">
        <f t="shared" ca="1" si="3"/>
        <v>1.2239289277679546</v>
      </c>
      <c r="W52" s="357">
        <f t="shared" ca="1" si="4"/>
        <v>4.1655087357342646</v>
      </c>
      <c r="X52" s="343"/>
      <c r="Y52" s="367" t="str">
        <f t="shared" ca="1" si="22"/>
        <v/>
      </c>
      <c r="Z52" s="368" t="str">
        <f t="shared" ca="1" si="23"/>
        <v/>
      </c>
      <c r="AA52" s="369" t="str">
        <f t="shared" ca="1" si="24"/>
        <v/>
      </c>
      <c r="AB52" s="344"/>
      <c r="AC52" s="363" t="e">
        <f t="shared" ca="1" si="25"/>
        <v>#N/A</v>
      </c>
      <c r="AD52" s="376" t="e">
        <f t="shared" ca="1" si="26"/>
        <v>#N/A</v>
      </c>
      <c r="AE52" s="377">
        <f t="shared" ca="1" si="5"/>
        <v>8.7472708570733744</v>
      </c>
      <c r="AF52" s="344"/>
      <c r="AG52" s="359">
        <f t="shared" ca="1" si="27"/>
        <v>81.868084593166998</v>
      </c>
      <c r="AH52" s="357">
        <f t="shared" ca="1" si="28"/>
        <v>91.515893929679805</v>
      </c>
    </row>
    <row r="53" spans="1:34" x14ac:dyDescent="0.25">
      <c r="A53" s="402">
        <f t="shared" ca="1" si="6"/>
        <v>0.01</v>
      </c>
      <c r="B53" s="357">
        <f t="shared" ca="1" si="7"/>
        <v>0.49000000000000027</v>
      </c>
      <c r="C53" s="342"/>
      <c r="D53" s="359">
        <f t="shared" ca="1" si="8"/>
        <v>16.613346275136049</v>
      </c>
      <c r="E53" s="360">
        <f t="shared" ca="1" si="9"/>
        <v>80.182262104515161</v>
      </c>
      <c r="F53" s="357">
        <f t="shared" ca="1" si="10"/>
        <v>81.88527603088815</v>
      </c>
      <c r="G53" s="359">
        <f t="shared" ca="1" si="11"/>
        <v>7.1747235802876865</v>
      </c>
      <c r="H53" s="360">
        <f t="shared" ca="1" si="12"/>
        <v>38.76641255946074</v>
      </c>
      <c r="I53" s="357">
        <f t="shared" ca="1" si="13"/>
        <v>39.424756196885369</v>
      </c>
      <c r="J53" s="359">
        <f t="shared" ca="1" si="14"/>
        <v>1.6354161704936148</v>
      </c>
      <c r="K53" s="360">
        <f t="shared" ca="1" si="15"/>
        <v>9.1309258695627555</v>
      </c>
      <c r="L53" s="357">
        <f t="shared" ca="1" si="0"/>
        <v>9.2762273196683989</v>
      </c>
      <c r="M53" s="359">
        <f t="shared" ca="1" si="16"/>
        <v>1.3877913008181393</v>
      </c>
      <c r="N53" s="357">
        <f t="shared" ca="1" si="17"/>
        <v>79.514584381849815</v>
      </c>
      <c r="O53" s="343"/>
      <c r="P53" s="363">
        <f t="shared" ca="1" si="18"/>
        <v>5</v>
      </c>
      <c r="Q53" s="357">
        <f t="shared" ca="1" si="19"/>
        <v>1034.5</v>
      </c>
      <c r="R53" s="359">
        <f t="shared" ca="1" si="20"/>
        <v>0.51821442388042782</v>
      </c>
      <c r="S53" s="360">
        <f t="shared" ca="1" si="21"/>
        <v>11.258899160615297</v>
      </c>
      <c r="T53" s="357">
        <f t="shared" ca="1" si="1"/>
        <v>110.44980076563607</v>
      </c>
      <c r="U53" s="364">
        <f t="shared" ca="1" si="2"/>
        <v>0</v>
      </c>
      <c r="V53" s="359">
        <f t="shared" ca="1" si="3"/>
        <v>1.2238819720125125</v>
      </c>
      <c r="W53" s="357">
        <f t="shared" ca="1" si="4"/>
        <v>4.3438789359556624</v>
      </c>
      <c r="X53" s="343"/>
      <c r="Y53" s="367" t="str">
        <f t="shared" ca="1" si="22"/>
        <v/>
      </c>
      <c r="Z53" s="368" t="str">
        <f t="shared" ca="1" si="23"/>
        <v/>
      </c>
      <c r="AA53" s="369" t="str">
        <f t="shared" ca="1" si="24"/>
        <v/>
      </c>
      <c r="AB53" s="344"/>
      <c r="AC53" s="363" t="e">
        <f t="shared" ca="1" si="25"/>
        <v>#N/A</v>
      </c>
      <c r="AD53" s="376" t="e">
        <f t="shared" ca="1" si="26"/>
        <v>#N/A</v>
      </c>
      <c r="AE53" s="377">
        <f t="shared" ca="1" si="5"/>
        <v>9.1309258695627555</v>
      </c>
      <c r="AF53" s="344"/>
      <c r="AG53" s="359">
        <f t="shared" ca="1" si="27"/>
        <v>81.865907209938342</v>
      </c>
      <c r="AH53" s="357">
        <f t="shared" ca="1" si="28"/>
        <v>91.512898069864079</v>
      </c>
    </row>
    <row r="54" spans="1:34" x14ac:dyDescent="0.25">
      <c r="A54" s="402">
        <f t="shared" ca="1" si="6"/>
        <v>0.01</v>
      </c>
      <c r="B54" s="357">
        <f t="shared" ca="1" si="7"/>
        <v>0.50000000000000022</v>
      </c>
      <c r="C54" s="342"/>
      <c r="D54" s="359">
        <f t="shared" ca="1" si="8"/>
        <v>16.653387986745287</v>
      </c>
      <c r="E54" s="360">
        <f t="shared" ca="1" si="9"/>
        <v>80.171460885918677</v>
      </c>
      <c r="F54" s="357">
        <f t="shared" ca="1" si="10"/>
        <v>81.882833805502003</v>
      </c>
      <c r="G54" s="359">
        <f t="shared" ca="1" si="11"/>
        <v>7.3412574601551395</v>
      </c>
      <c r="H54" s="360">
        <f t="shared" ca="1" si="12"/>
        <v>39.568127168319926</v>
      </c>
      <c r="I54" s="357">
        <f t="shared" ca="1" si="13"/>
        <v>40.243393851719574</v>
      </c>
      <c r="J54" s="359">
        <f t="shared" ca="1" si="14"/>
        <v>1.7079960756958288</v>
      </c>
      <c r="K54" s="360">
        <f t="shared" ca="1" si="15"/>
        <v>9.5225985682016585</v>
      </c>
      <c r="L54" s="357">
        <f t="shared" ca="1" si="0"/>
        <v>9.6745611831084428</v>
      </c>
      <c r="M54" s="359">
        <f t="shared" ca="1" si="16"/>
        <v>1.3873476813671655</v>
      </c>
      <c r="N54" s="357">
        <f t="shared" ca="1" si="17"/>
        <v>79.489166859599095</v>
      </c>
      <c r="O54" s="343"/>
      <c r="P54" s="363">
        <f t="shared" ca="1" si="18"/>
        <v>5</v>
      </c>
      <c r="Q54" s="357">
        <f t="shared" ca="1" si="19"/>
        <v>1034.1666666666667</v>
      </c>
      <c r="R54" s="359">
        <f t="shared" ca="1" si="20"/>
        <v>0.51804744646013456</v>
      </c>
      <c r="S54" s="360">
        <f t="shared" ca="1" si="21"/>
        <v>11.253718686150695</v>
      </c>
      <c r="T54" s="357">
        <f t="shared" ca="1" si="1"/>
        <v>110.39898031113832</v>
      </c>
      <c r="U54" s="364">
        <f t="shared" ca="1" si="2"/>
        <v>0</v>
      </c>
      <c r="V54" s="359">
        <f t="shared" ca="1" si="3"/>
        <v>1.2238340368253584</v>
      </c>
      <c r="W54" s="357">
        <f t="shared" ca="1" si="4"/>
        <v>4.525972055459901</v>
      </c>
      <c r="X54" s="343"/>
      <c r="Y54" s="367" t="str">
        <f t="shared" ca="1" si="22"/>
        <v/>
      </c>
      <c r="Z54" s="368" t="str">
        <f t="shared" ca="1" si="23"/>
        <v/>
      </c>
      <c r="AA54" s="369" t="str">
        <f t="shared" ca="1" si="24"/>
        <v/>
      </c>
      <c r="AB54" s="344"/>
      <c r="AC54" s="363" t="e">
        <f t="shared" ca="1" si="25"/>
        <v>#N/A</v>
      </c>
      <c r="AD54" s="376" t="e">
        <f t="shared" ca="1" si="26"/>
        <v>#N/A</v>
      </c>
      <c r="AE54" s="377">
        <f t="shared" ca="1" si="5"/>
        <v>9.5225985682016585</v>
      </c>
      <c r="AF54" s="344"/>
      <c r="AG54" s="359">
        <f t="shared" ca="1" si="27"/>
        <v>81.863369492018535</v>
      </c>
      <c r="AH54" s="357">
        <f t="shared" ca="1" si="28"/>
        <v>91.509554881450413</v>
      </c>
    </row>
    <row r="55" spans="1:34" x14ac:dyDescent="0.25">
      <c r="A55" s="402">
        <f t="shared" ca="1" si="6"/>
        <v>0.01</v>
      </c>
      <c r="B55" s="357">
        <f t="shared" ca="1" si="7"/>
        <v>0.51000000000000023</v>
      </c>
      <c r="C55" s="342"/>
      <c r="D55" s="359">
        <f t="shared" ca="1" si="8"/>
        <v>16.692630588292307</v>
      </c>
      <c r="E55" s="360">
        <f t="shared" ca="1" si="9"/>
        <v>80.160435375165136</v>
      </c>
      <c r="F55" s="357">
        <f t="shared" ca="1" si="10"/>
        <v>81.880030016440628</v>
      </c>
      <c r="G55" s="359">
        <f t="shared" ca="1" si="11"/>
        <v>7.5081837660380621</v>
      </c>
      <c r="H55" s="360">
        <f t="shared" ca="1" si="12"/>
        <v>40.369731522071575</v>
      </c>
      <c r="I55" s="357">
        <f t="shared" ca="1" si="13"/>
        <v>41.062002467350965</v>
      </c>
      <c r="J55" s="359">
        <f t="shared" ca="1" si="14"/>
        <v>1.7822432818267948</v>
      </c>
      <c r="K55" s="360">
        <f t="shared" ca="1" si="15"/>
        <v>9.9222878616536168</v>
      </c>
      <c r="L55" s="357">
        <f t="shared" ca="1" si="0"/>
        <v>10.081080672484248</v>
      </c>
      <c r="M55" s="359">
        <f t="shared" ca="1" si="16"/>
        <v>1.3869118637794198</v>
      </c>
      <c r="N55" s="357">
        <f t="shared" ca="1" si="17"/>
        <v>79.464196351183702</v>
      </c>
      <c r="O55" s="343"/>
      <c r="P55" s="363">
        <f t="shared" ca="1" si="18"/>
        <v>5</v>
      </c>
      <c r="Q55" s="357">
        <f t="shared" ca="1" si="19"/>
        <v>1033.8333333333333</v>
      </c>
      <c r="R55" s="359">
        <f t="shared" ca="1" si="20"/>
        <v>0.51788046903984108</v>
      </c>
      <c r="S55" s="360">
        <f t="shared" ca="1" si="21"/>
        <v>11.248539881460296</v>
      </c>
      <c r="T55" s="357">
        <f t="shared" ca="1" si="1"/>
        <v>110.34817623712551</v>
      </c>
      <c r="U55" s="364">
        <f t="shared" ca="1" si="2"/>
        <v>0</v>
      </c>
      <c r="V55" s="359">
        <f t="shared" ca="1" si="3"/>
        <v>1.2237851224551834</v>
      </c>
      <c r="W55" s="357">
        <f t="shared" ca="1" si="4"/>
        <v>4.7117860428548139</v>
      </c>
      <c r="X55" s="343"/>
      <c r="Y55" s="367" t="str">
        <f t="shared" ca="1" si="22"/>
        <v/>
      </c>
      <c r="Z55" s="368" t="str">
        <f t="shared" ca="1" si="23"/>
        <v/>
      </c>
      <c r="AA55" s="369" t="str">
        <f t="shared" ca="1" si="24"/>
        <v/>
      </c>
      <c r="AB55" s="344"/>
      <c r="AC55" s="363" t="e">
        <f t="shared" ca="1" si="25"/>
        <v>#N/A</v>
      </c>
      <c r="AD55" s="376" t="e">
        <f t="shared" ca="1" si="26"/>
        <v>#N/A</v>
      </c>
      <c r="AE55" s="377">
        <f t="shared" ca="1" si="5"/>
        <v>9.9222878616536168</v>
      </c>
      <c r="AF55" s="344"/>
      <c r="AG55" s="359">
        <f t="shared" ca="1" si="27"/>
        <v>81.860471603529405</v>
      </c>
      <c r="AH55" s="357">
        <f t="shared" ca="1" si="28"/>
        <v>91.505864061020475</v>
      </c>
    </row>
    <row r="56" spans="1:34" x14ac:dyDescent="0.25">
      <c r="A56" s="402">
        <f t="shared" ca="1" si="6"/>
        <v>0.01</v>
      </c>
      <c r="B56" s="357">
        <f t="shared" ca="1" si="7"/>
        <v>0.52000000000000024</v>
      </c>
      <c r="C56" s="342"/>
      <c r="D56" s="359">
        <f t="shared" ca="1" si="8"/>
        <v>16.73110121502102</v>
      </c>
      <c r="E56" s="360">
        <f t="shared" ca="1" si="9"/>
        <v>80.149181230245347</v>
      </c>
      <c r="F56" s="357">
        <f t="shared" ca="1" si="10"/>
        <v>81.876864862707038</v>
      </c>
      <c r="G56" s="359">
        <f t="shared" ca="1" si="11"/>
        <v>7.6754947781882725</v>
      </c>
      <c r="H56" s="360">
        <f t="shared" ca="1" si="12"/>
        <v>41.171223334374027</v>
      </c>
      <c r="I56" s="357">
        <f t="shared" ca="1" si="13"/>
        <v>41.880578445610084</v>
      </c>
      <c r="J56" s="359">
        <f t="shared" ca="1" si="14"/>
        <v>1.8581616745479266</v>
      </c>
      <c r="K56" s="360">
        <f t="shared" ca="1" si="15"/>
        <v>10.329992635935845</v>
      </c>
      <c r="L56" s="357">
        <f t="shared" ca="1" si="0"/>
        <v>10.495785471666593</v>
      </c>
      <c r="M56" s="359">
        <f t="shared" ca="1" si="16"/>
        <v>1.3864835607777208</v>
      </c>
      <c r="N56" s="357">
        <f t="shared" ca="1" si="17"/>
        <v>79.43965639683357</v>
      </c>
      <c r="O56" s="343"/>
      <c r="P56" s="363">
        <f t="shared" ca="1" si="18"/>
        <v>5</v>
      </c>
      <c r="Q56" s="357">
        <f t="shared" ca="1" si="19"/>
        <v>1033.5</v>
      </c>
      <c r="R56" s="359">
        <f t="shared" ca="1" si="20"/>
        <v>0.51771349161954783</v>
      </c>
      <c r="S56" s="360">
        <f t="shared" ca="1" si="21"/>
        <v>11.243362746544101</v>
      </c>
      <c r="T56" s="357">
        <f t="shared" ca="1" si="1"/>
        <v>110.29738854359763</v>
      </c>
      <c r="U56" s="364">
        <f t="shared" ca="1" si="2"/>
        <v>0</v>
      </c>
      <c r="V56" s="359">
        <f t="shared" ca="1" si="3"/>
        <v>1.2237352291557733</v>
      </c>
      <c r="W56" s="357">
        <f t="shared" ca="1" si="4"/>
        <v>4.9013187636092574</v>
      </c>
      <c r="X56" s="343"/>
      <c r="Y56" s="367" t="str">
        <f t="shared" ca="1" si="22"/>
        <v/>
      </c>
      <c r="Z56" s="368" t="str">
        <f t="shared" ca="1" si="23"/>
        <v/>
      </c>
      <c r="AA56" s="369" t="str">
        <f t="shared" ca="1" si="24"/>
        <v/>
      </c>
      <c r="AB56" s="344"/>
      <c r="AC56" s="363" t="e">
        <f t="shared" ca="1" si="25"/>
        <v>#N/A</v>
      </c>
      <c r="AD56" s="376" t="e">
        <f t="shared" ca="1" si="26"/>
        <v>#N/A</v>
      </c>
      <c r="AE56" s="377">
        <f t="shared" ca="1" si="5"/>
        <v>10.329992635935845</v>
      </c>
      <c r="AF56" s="344"/>
      <c r="AG56" s="359">
        <f t="shared" ca="1" si="27"/>
        <v>81.857213690004087</v>
      </c>
      <c r="AH56" s="357">
        <f t="shared" ca="1" si="28"/>
        <v>91.501825312304035</v>
      </c>
    </row>
    <row r="57" spans="1:34" x14ac:dyDescent="0.25">
      <c r="A57" s="402">
        <f t="shared" ca="1" si="6"/>
        <v>0.01</v>
      </c>
      <c r="B57" s="357">
        <f t="shared" ca="1" si="7"/>
        <v>0.53000000000000025</v>
      </c>
      <c r="C57" s="342"/>
      <c r="D57" s="359">
        <f t="shared" ca="1" si="8"/>
        <v>16.768825462997405</v>
      </c>
      <c r="E57" s="360">
        <f t="shared" ca="1" si="9"/>
        <v>80.137694336802667</v>
      </c>
      <c r="F57" s="357">
        <f t="shared" ca="1" si="10"/>
        <v>81.873338523766606</v>
      </c>
      <c r="G57" s="359">
        <f t="shared" ca="1" si="11"/>
        <v>7.8431830328182466</v>
      </c>
      <c r="H57" s="360">
        <f t="shared" ca="1" si="12"/>
        <v>41.972600277742053</v>
      </c>
      <c r="I57" s="357">
        <f t="shared" ca="1" si="13"/>
        <v>42.699118189505981</v>
      </c>
      <c r="J57" s="359">
        <f t="shared" ca="1" si="14"/>
        <v>1.9357550636029592</v>
      </c>
      <c r="K57" s="360">
        <f t="shared" ca="1" si="15"/>
        <v>10.745711753996426</v>
      </c>
      <c r="L57" s="357">
        <f t="shared" ca="1" si="0"/>
        <v>10.918675229451669</v>
      </c>
      <c r="M57" s="359">
        <f t="shared" ca="1" si="16"/>
        <v>1.3860625009357184</v>
      </c>
      <c r="N57" s="357">
        <f t="shared" ca="1" si="17"/>
        <v>79.415531444964387</v>
      </c>
      <c r="O57" s="343"/>
      <c r="P57" s="363">
        <f t="shared" ca="1" si="18"/>
        <v>5</v>
      </c>
      <c r="Q57" s="357">
        <f t="shared" ca="1" si="19"/>
        <v>1033.1666666666667</v>
      </c>
      <c r="R57" s="359">
        <f t="shared" ca="1" si="20"/>
        <v>0.51754651419925446</v>
      </c>
      <c r="S57" s="360">
        <f t="shared" ca="1" si="21"/>
        <v>11.238187281402109</v>
      </c>
      <c r="T57" s="357">
        <f t="shared" ca="1" si="1"/>
        <v>110.24661723055469</v>
      </c>
      <c r="U57" s="364">
        <f t="shared" ca="1" si="2"/>
        <v>0</v>
      </c>
      <c r="V57" s="359">
        <f t="shared" ca="1" si="3"/>
        <v>1.2236843571860581</v>
      </c>
      <c r="W57" s="357">
        <f t="shared" ca="1" si="4"/>
        <v>5.094568000086964</v>
      </c>
      <c r="X57" s="343"/>
      <c r="Y57" s="367" t="str">
        <f t="shared" ca="1" si="22"/>
        <v/>
      </c>
      <c r="Z57" s="368" t="str">
        <f t="shared" ca="1" si="23"/>
        <v/>
      </c>
      <c r="AA57" s="369" t="str">
        <f t="shared" ca="1" si="24"/>
        <v/>
      </c>
      <c r="AB57" s="344"/>
      <c r="AC57" s="363" t="e">
        <f t="shared" ca="1" si="25"/>
        <v>#N/A</v>
      </c>
      <c r="AD57" s="376" t="e">
        <f t="shared" ca="1" si="26"/>
        <v>#N/A</v>
      </c>
      <c r="AE57" s="377">
        <f t="shared" ca="1" si="5"/>
        <v>10.745711753996426</v>
      </c>
      <c r="AF57" s="344"/>
      <c r="AG57" s="359">
        <f t="shared" ca="1" si="27"/>
        <v>81.853595880293327</v>
      </c>
      <c r="AH57" s="357">
        <f t="shared" ca="1" si="28"/>
        <v>91.497438346192808</v>
      </c>
    </row>
    <row r="58" spans="1:34" x14ac:dyDescent="0.25">
      <c r="A58" s="402">
        <f t="shared" ca="1" si="6"/>
        <v>0.01</v>
      </c>
      <c r="B58" s="357">
        <f t="shared" ca="1" si="7"/>
        <v>0.54000000000000026</v>
      </c>
      <c r="C58" s="342"/>
      <c r="D58" s="359">
        <f t="shared" ca="1" si="8"/>
        <v>16.805827503889194</v>
      </c>
      <c r="E58" s="360">
        <f t="shared" ca="1" si="9"/>
        <v>80.125970792200505</v>
      </c>
      <c r="F58" s="357">
        <f t="shared" ca="1" si="10"/>
        <v>81.869451161486651</v>
      </c>
      <c r="G58" s="359">
        <f t="shared" ca="1" si="11"/>
        <v>8.0112413078571389</v>
      </c>
      <c r="H58" s="360">
        <f t="shared" ca="1" si="12"/>
        <v>42.77385998566406</v>
      </c>
      <c r="I58" s="357">
        <f t="shared" ca="1" si="13"/>
        <v>43.517618103084523</v>
      </c>
      <c r="J58" s="359">
        <f t="shared" ca="1" si="14"/>
        <v>2.015027185306336</v>
      </c>
      <c r="K58" s="360">
        <f t="shared" ca="1" si="15"/>
        <v>11.169444055313457</v>
      </c>
      <c r="L58" s="357">
        <f t="shared" ca="1" si="0"/>
        <v>11.349749559452873</v>
      </c>
      <c r="M58" s="359">
        <f t="shared" ca="1" si="16"/>
        <v>1.3856484275217642</v>
      </c>
      <c r="N58" s="357">
        <f t="shared" ca="1" si="17"/>
        <v>79.39180678593624</v>
      </c>
      <c r="O58" s="343"/>
      <c r="P58" s="363">
        <f t="shared" ca="1" si="18"/>
        <v>5</v>
      </c>
      <c r="Q58" s="357">
        <f t="shared" ca="1" si="19"/>
        <v>1032.8333333333333</v>
      </c>
      <c r="R58" s="359">
        <f t="shared" ca="1" si="20"/>
        <v>0.51737953677896098</v>
      </c>
      <c r="S58" s="360">
        <f t="shared" ca="1" si="21"/>
        <v>11.233013486034318</v>
      </c>
      <c r="T58" s="357">
        <f t="shared" ca="1" si="1"/>
        <v>110.19586229799667</v>
      </c>
      <c r="U58" s="364">
        <f t="shared" ca="1" si="2"/>
        <v>0</v>
      </c>
      <c r="V58" s="359">
        <f t="shared" ca="1" si="3"/>
        <v>1.2236325068101581</v>
      </c>
      <c r="W58" s="357">
        <f t="shared" ca="1" si="4"/>
        <v>5.2915314515818697</v>
      </c>
      <c r="X58" s="343"/>
      <c r="Y58" s="367" t="str">
        <f t="shared" ca="1" si="22"/>
        <v/>
      </c>
      <c r="Z58" s="368" t="str">
        <f t="shared" ca="1" si="23"/>
        <v/>
      </c>
      <c r="AA58" s="369" t="str">
        <f t="shared" ca="1" si="24"/>
        <v/>
      </c>
      <c r="AB58" s="344"/>
      <c r="AC58" s="363" t="e">
        <f t="shared" ca="1" si="25"/>
        <v>#N/A</v>
      </c>
      <c r="AD58" s="376" t="e">
        <f t="shared" ca="1" si="26"/>
        <v>#N/A</v>
      </c>
      <c r="AE58" s="377">
        <f t="shared" ca="1" si="5"/>
        <v>11.169444055313457</v>
      </c>
      <c r="AF58" s="344"/>
      <c r="AG58" s="359">
        <f t="shared" ca="1" si="27"/>
        <v>81.849618288299268</v>
      </c>
      <c r="AH58" s="357">
        <f t="shared" ca="1" si="28"/>
        <v>91.492702880754493</v>
      </c>
    </row>
    <row r="59" spans="1:34" x14ac:dyDescent="0.25">
      <c r="A59" s="402">
        <f t="shared" ca="1" si="6"/>
        <v>0.01</v>
      </c>
      <c r="B59" s="357">
        <f t="shared" ca="1" si="7"/>
        <v>0.55000000000000027</v>
      </c>
      <c r="C59" s="342"/>
      <c r="D59" s="359">
        <f t="shared" ca="1" si="8"/>
        <v>16.842130189204603</v>
      </c>
      <c r="E59" s="360">
        <f t="shared" ca="1" si="9"/>
        <v>80.11400689101923</v>
      </c>
      <c r="F59" s="357">
        <f t="shared" ca="1" si="10"/>
        <v>81.865202921903233</v>
      </c>
      <c r="G59" s="359">
        <f t="shared" ca="1" si="11"/>
        <v>8.1796626097491849</v>
      </c>
      <c r="H59" s="360">
        <f t="shared" ca="1" si="12"/>
        <v>43.575000054574254</v>
      </c>
      <c r="I59" s="357">
        <f t="shared" ca="1" si="13"/>
        <v>44.336074591301774</v>
      </c>
      <c r="J59" s="359">
        <f t="shared" ca="1" si="14"/>
        <v>2.0959817048943674</v>
      </c>
      <c r="K59" s="360">
        <f t="shared" ca="1" si="15"/>
        <v>11.601188355514649</v>
      </c>
      <c r="L59" s="357">
        <f t="shared" ca="1" si="0"/>
        <v>11.78900804000831</v>
      </c>
      <c r="M59" s="359">
        <f t="shared" ca="1" si="16"/>
        <v>1.3852410974468827</v>
      </c>
      <c r="N59" s="357">
        <f t="shared" ca="1" si="17"/>
        <v>79.368468491776781</v>
      </c>
      <c r="O59" s="343"/>
      <c r="P59" s="363">
        <f t="shared" ca="1" si="18"/>
        <v>5</v>
      </c>
      <c r="Q59" s="357">
        <f t="shared" ca="1" si="19"/>
        <v>1032.5</v>
      </c>
      <c r="R59" s="359">
        <f t="shared" ca="1" si="20"/>
        <v>0.51721255935866772</v>
      </c>
      <c r="S59" s="360">
        <f t="shared" ca="1" si="21"/>
        <v>11.227841360440731</v>
      </c>
      <c r="T59" s="357">
        <f t="shared" ca="1" si="1"/>
        <v>110.14512374592358</v>
      </c>
      <c r="U59" s="364">
        <f t="shared" ca="1" si="2"/>
        <v>0</v>
      </c>
      <c r="V59" s="359">
        <f t="shared" ca="1" si="3"/>
        <v>1.2235796782974293</v>
      </c>
      <c r="W59" s="357">
        <f t="shared" ca="1" si="4"/>
        <v>5.4922067343550589</v>
      </c>
      <c r="X59" s="343"/>
      <c r="Y59" s="367" t="str">
        <f t="shared" ca="1" si="22"/>
        <v/>
      </c>
      <c r="Z59" s="368" t="str">
        <f t="shared" ca="1" si="23"/>
        <v/>
      </c>
      <c r="AA59" s="369" t="str">
        <f t="shared" ca="1" si="24"/>
        <v/>
      </c>
      <c r="AB59" s="344"/>
      <c r="AC59" s="363" t="e">
        <f t="shared" ca="1" si="25"/>
        <v>#N/A</v>
      </c>
      <c r="AD59" s="376" t="e">
        <f t="shared" ca="1" si="26"/>
        <v>#N/A</v>
      </c>
      <c r="AE59" s="377">
        <f t="shared" ca="1" si="5"/>
        <v>11.601188355514649</v>
      </c>
      <c r="AF59" s="344"/>
      <c r="AG59" s="359">
        <f t="shared" ca="1" si="27"/>
        <v>81.845281014555169</v>
      </c>
      <c r="AH59" s="357">
        <f t="shared" ca="1" si="28"/>
        <v>91.487618641246698</v>
      </c>
    </row>
    <row r="60" spans="1:34" x14ac:dyDescent="0.25">
      <c r="A60" s="402">
        <f t="shared" ca="1" si="6"/>
        <v>0.01</v>
      </c>
      <c r="B60" s="357">
        <f t="shared" ca="1" si="7"/>
        <v>0.56000000000000028</v>
      </c>
      <c r="C60" s="342"/>
      <c r="D60" s="359">
        <f t="shared" ca="1" si="8"/>
        <v>16.877755145134319</v>
      </c>
      <c r="E60" s="360">
        <f t="shared" ca="1" si="9"/>
        <v>80.101799111830346</v>
      </c>
      <c r="F60" s="357">
        <f t="shared" ca="1" si="10"/>
        <v>81.860593936833453</v>
      </c>
      <c r="G60" s="359">
        <f t="shared" ca="1" si="11"/>
        <v>8.3484401612005286</v>
      </c>
      <c r="H60" s="360">
        <f t="shared" ca="1" si="12"/>
        <v>44.376018045692554</v>
      </c>
      <c r="I60" s="357">
        <f t="shared" ca="1" si="13"/>
        <v>45.154484059911226</v>
      </c>
      <c r="J60" s="359">
        <f t="shared" ca="1" si="14"/>
        <v>2.178622218749116</v>
      </c>
      <c r="K60" s="360">
        <f t="shared" ca="1" si="15"/>
        <v>12.040943446015984</v>
      </c>
      <c r="L60" s="357">
        <f t="shared" ca="1" si="0"/>
        <v>12.236450214101415</v>
      </c>
      <c r="M60" s="359">
        <f t="shared" ca="1" si="16"/>
        <v>1.3848402803057496</v>
      </c>
      <c r="N60" s="357">
        <f t="shared" ca="1" si="17"/>
        <v>79.345503361233341</v>
      </c>
      <c r="O60" s="343"/>
      <c r="P60" s="363">
        <f t="shared" ca="1" si="18"/>
        <v>5</v>
      </c>
      <c r="Q60" s="357">
        <f t="shared" ca="1" si="19"/>
        <v>1032.1666666666667</v>
      </c>
      <c r="R60" s="359">
        <f t="shared" ca="1" si="20"/>
        <v>0.51704558193837435</v>
      </c>
      <c r="S60" s="360">
        <f t="shared" ca="1" si="21"/>
        <v>11.222670904621348</v>
      </c>
      <c r="T60" s="357">
        <f t="shared" ca="1" si="1"/>
        <v>110.09440157433542</v>
      </c>
      <c r="U60" s="364">
        <f t="shared" ca="1" si="2"/>
        <v>0</v>
      </c>
      <c r="V60" s="359">
        <f t="shared" ca="1" si="3"/>
        <v>1.2235258719225037</v>
      </c>
      <c r="W60" s="357">
        <f t="shared" ca="1" si="4"/>
        <v>5.6965913816734908</v>
      </c>
      <c r="X60" s="343"/>
      <c r="Y60" s="367" t="str">
        <f t="shared" ca="1" si="22"/>
        <v/>
      </c>
      <c r="Z60" s="368" t="str">
        <f t="shared" ca="1" si="23"/>
        <v/>
      </c>
      <c r="AA60" s="369" t="str">
        <f t="shared" ca="1" si="24"/>
        <v/>
      </c>
      <c r="AB60" s="344"/>
      <c r="AC60" s="363" t="e">
        <f t="shared" ca="1" si="25"/>
        <v>#N/A</v>
      </c>
      <c r="AD60" s="376" t="e">
        <f t="shared" ca="1" si="26"/>
        <v>#N/A</v>
      </c>
      <c r="AE60" s="377">
        <f t="shared" ca="1" si="5"/>
        <v>12.040943446015984</v>
      </c>
      <c r="AF60" s="344"/>
      <c r="AG60" s="359">
        <f t="shared" ca="1" si="27"/>
        <v>81.840584147666689</v>
      </c>
      <c r="AH60" s="357">
        <f t="shared" ca="1" si="28"/>
        <v>91.48218536013033</v>
      </c>
    </row>
    <row r="61" spans="1:34" x14ac:dyDescent="0.25">
      <c r="A61" s="402">
        <f t="shared" ca="1" si="6"/>
        <v>0.01</v>
      </c>
      <c r="B61" s="357">
        <f t="shared" ca="1" si="7"/>
        <v>0.57000000000000028</v>
      </c>
      <c r="C61" s="342"/>
      <c r="D61" s="359">
        <f t="shared" ca="1" si="8"/>
        <v>16.912722858998826</v>
      </c>
      <c r="E61" s="360">
        <f t="shared" ca="1" si="9"/>
        <v>80.089344105115075</v>
      </c>
      <c r="F61" s="357">
        <f t="shared" ca="1" si="10"/>
        <v>81.855624325350007</v>
      </c>
      <c r="G61" s="359">
        <f t="shared" ca="1" si="11"/>
        <v>8.517567389790516</v>
      </c>
      <c r="H61" s="360">
        <f t="shared" ca="1" si="12"/>
        <v>45.176911486743705</v>
      </c>
      <c r="I61" s="357">
        <f t="shared" ca="1" si="13"/>
        <v>45.972842915363614</v>
      </c>
      <c r="J61" s="359">
        <f t="shared" ca="1" si="14"/>
        <v>2.2629522565040712</v>
      </c>
      <c r="K61" s="360">
        <f t="shared" ca="1" si="15"/>
        <v>12.488708093678165</v>
      </c>
      <c r="L61" s="357">
        <f t="shared" ca="1" si="0"/>
        <v>12.692075589292688</v>
      </c>
      <c r="M61" s="359">
        <f t="shared" ca="1" si="16"/>
        <v>1.3844457575009492</v>
      </c>
      <c r="N61" s="357">
        <f t="shared" ca="1" si="17"/>
        <v>79.322898869596628</v>
      </c>
      <c r="O61" s="343"/>
      <c r="P61" s="363">
        <f t="shared" ca="1" si="18"/>
        <v>5</v>
      </c>
      <c r="Q61" s="357">
        <f t="shared" ca="1" si="19"/>
        <v>1031.8333333333333</v>
      </c>
      <c r="R61" s="359">
        <f t="shared" ca="1" si="20"/>
        <v>0.51687860451808099</v>
      </c>
      <c r="S61" s="360">
        <f t="shared" ca="1" si="21"/>
        <v>11.217502118576167</v>
      </c>
      <c r="T61" s="357">
        <f t="shared" ca="1" si="1"/>
        <v>110.04369578323221</v>
      </c>
      <c r="U61" s="364">
        <f t="shared" ca="1" si="2"/>
        <v>0</v>
      </c>
      <c r="V61" s="359">
        <f t="shared" ca="1" si="3"/>
        <v>1.2234710879653297</v>
      </c>
      <c r="W61" s="357">
        <f t="shared" ca="1" si="4"/>
        <v>5.9046828438506447</v>
      </c>
      <c r="X61" s="343"/>
      <c r="Y61" s="367" t="str">
        <f t="shared" ca="1" si="22"/>
        <v/>
      </c>
      <c r="Z61" s="368" t="str">
        <f t="shared" ca="1" si="23"/>
        <v/>
      </c>
      <c r="AA61" s="369" t="str">
        <f t="shared" ca="1" si="24"/>
        <v/>
      </c>
      <c r="AB61" s="344"/>
      <c r="AC61" s="363" t="e">
        <f t="shared" ca="1" si="25"/>
        <v>#N/A</v>
      </c>
      <c r="AD61" s="376" t="e">
        <f t="shared" ca="1" si="26"/>
        <v>#N/A</v>
      </c>
      <c r="AE61" s="377">
        <f t="shared" ca="1" si="5"/>
        <v>12.488708093678165</v>
      </c>
      <c r="AF61" s="344"/>
      <c r="AG61" s="359">
        <f t="shared" ca="1" si="27"/>
        <v>81.835527765630545</v>
      </c>
      <c r="AH61" s="357">
        <f t="shared" ca="1" si="28"/>
        <v>91.476402777083393</v>
      </c>
    </row>
    <row r="62" spans="1:34" x14ac:dyDescent="0.25">
      <c r="A62" s="402">
        <f t="shared" ca="1" si="6"/>
        <v>0.01</v>
      </c>
      <c r="B62" s="357">
        <f t="shared" ca="1" si="7"/>
        <v>0.58000000000000029</v>
      </c>
      <c r="C62" s="342"/>
      <c r="D62" s="359">
        <f t="shared" ca="1" si="8"/>
        <v>16.947052758179829</v>
      </c>
      <c r="E62" s="360">
        <f t="shared" ca="1" si="9"/>
        <v>80.076638682209037</v>
      </c>
      <c r="F62" s="357">
        <f t="shared" ca="1" si="10"/>
        <v>81.850294195131553</v>
      </c>
      <c r="G62" s="359">
        <f t="shared" ca="1" si="11"/>
        <v>8.6870379173723151</v>
      </c>
      <c r="H62" s="360">
        <f t="shared" ca="1" si="12"/>
        <v>45.977677873565796</v>
      </c>
      <c r="I62" s="357">
        <f t="shared" ca="1" si="13"/>
        <v>46.791147564718329</v>
      </c>
      <c r="J62" s="359">
        <f t="shared" ca="1" si="14"/>
        <v>2.3489752830398851</v>
      </c>
      <c r="K62" s="360">
        <f t="shared" ca="1" si="15"/>
        <v>12.944481040479712</v>
      </c>
      <c r="L62" s="357">
        <f t="shared" ca="1" si="0"/>
        <v>13.155883637660795</v>
      </c>
      <c r="M62" s="359">
        <f t="shared" ca="1" si="16"/>
        <v>1.3840573214419483</v>
      </c>
      <c r="N62" s="357">
        <f t="shared" ca="1" si="17"/>
        <v>79.30064312280517</v>
      </c>
      <c r="O62" s="343"/>
      <c r="P62" s="363">
        <f t="shared" ca="1" si="18"/>
        <v>5</v>
      </c>
      <c r="Q62" s="357">
        <f t="shared" ca="1" si="19"/>
        <v>1031.5</v>
      </c>
      <c r="R62" s="359">
        <f t="shared" ca="1" si="20"/>
        <v>0.51671162709778762</v>
      </c>
      <c r="S62" s="360">
        <f t="shared" ca="1" si="21"/>
        <v>11.21233500230519</v>
      </c>
      <c r="T62" s="357">
        <f t="shared" ca="1" si="1"/>
        <v>109.99300637261392</v>
      </c>
      <c r="U62" s="364">
        <f t="shared" ca="1" si="2"/>
        <v>0</v>
      </c>
      <c r="V62" s="359">
        <f t="shared" ca="1" si="3"/>
        <v>1.2234153267112087</v>
      </c>
      <c r="W62" s="357">
        <f t="shared" ca="1" si="4"/>
        <v>6.1164784882892045</v>
      </c>
      <c r="X62" s="343"/>
      <c r="Y62" s="367" t="str">
        <f t="shared" ca="1" si="22"/>
        <v/>
      </c>
      <c r="Z62" s="368" t="str">
        <f t="shared" ca="1" si="23"/>
        <v/>
      </c>
      <c r="AA62" s="369" t="str">
        <f t="shared" ca="1" si="24"/>
        <v/>
      </c>
      <c r="AB62" s="344"/>
      <c r="AC62" s="363" t="e">
        <f t="shared" ca="1" si="25"/>
        <v>#N/A</v>
      </c>
      <c r="AD62" s="376" t="e">
        <f t="shared" ca="1" si="26"/>
        <v>#N/A</v>
      </c>
      <c r="AE62" s="377">
        <f t="shared" ca="1" si="5"/>
        <v>12.944481040479712</v>
      </c>
      <c r="AF62" s="344"/>
      <c r="AG62" s="359">
        <f t="shared" ca="1" si="27"/>
        <v>81.830111937041877</v>
      </c>
      <c r="AH62" s="357">
        <f t="shared" ca="1" si="28"/>
        <v>91.470270639014345</v>
      </c>
    </row>
    <row r="63" spans="1:34" x14ac:dyDescent="0.25">
      <c r="A63" s="402">
        <f t="shared" ca="1" si="6"/>
        <v>0.01</v>
      </c>
      <c r="B63" s="357">
        <f t="shared" ca="1" si="7"/>
        <v>0.5900000000000003</v>
      </c>
      <c r="C63" s="342"/>
      <c r="D63" s="359">
        <f t="shared" ca="1" si="8"/>
        <v>16.980763282309258</v>
      </c>
      <c r="E63" s="360">
        <f t="shared" ca="1" si="9"/>
        <v>80.063679805169869</v>
      </c>
      <c r="F63" s="357">
        <f t="shared" ca="1" si="10"/>
        <v>81.844603643701447</v>
      </c>
      <c r="G63" s="359">
        <f t="shared" ca="1" si="11"/>
        <v>8.8568455501954073</v>
      </c>
      <c r="H63" s="360">
        <f t="shared" ca="1" si="12"/>
        <v>46.778314671617494</v>
      </c>
      <c r="I63" s="357">
        <f t="shared" ca="1" si="13"/>
        <v>47.609394415565518</v>
      </c>
      <c r="J63" s="359">
        <f t="shared" ca="1" si="14"/>
        <v>2.436694700377724</v>
      </c>
      <c r="K63" s="360">
        <f t="shared" ca="1" si="15"/>
        <v>13.408261003205627</v>
      </c>
      <c r="L63" s="357">
        <f t="shared" ca="1" si="0"/>
        <v>13.62787379575162</v>
      </c>
      <c r="M63" s="359">
        <f t="shared" ca="1" si="16"/>
        <v>1.3836747748112395</v>
      </c>
      <c r="N63" s="357">
        <f t="shared" ca="1" si="17"/>
        <v>79.278724815398604</v>
      </c>
      <c r="O63" s="343"/>
      <c r="P63" s="363">
        <f t="shared" ca="1" si="18"/>
        <v>5</v>
      </c>
      <c r="Q63" s="357">
        <f t="shared" ca="1" si="19"/>
        <v>1031.1666666666667</v>
      </c>
      <c r="R63" s="359">
        <f t="shared" ca="1" si="20"/>
        <v>0.51654464967749436</v>
      </c>
      <c r="S63" s="360">
        <f t="shared" ca="1" si="21"/>
        <v>11.207169555808415</v>
      </c>
      <c r="T63" s="357">
        <f t="shared" ca="1" si="1"/>
        <v>109.94233334248055</v>
      </c>
      <c r="U63" s="364">
        <f t="shared" ca="1" si="2"/>
        <v>0</v>
      </c>
      <c r="V63" s="359">
        <f t="shared" ca="1" si="3"/>
        <v>1.2233585884508307</v>
      </c>
      <c r="W63" s="357">
        <f t="shared" ca="1" si="4"/>
        <v>6.3319755995259381</v>
      </c>
      <c r="X63" s="343"/>
      <c r="Y63" s="367" t="str">
        <f t="shared" ca="1" si="22"/>
        <v/>
      </c>
      <c r="Z63" s="368" t="str">
        <f t="shared" ca="1" si="23"/>
        <v/>
      </c>
      <c r="AA63" s="369" t="str">
        <f t="shared" ca="1" si="24"/>
        <v/>
      </c>
      <c r="AB63" s="344"/>
      <c r="AC63" s="363" t="e">
        <f t="shared" ca="1" si="25"/>
        <v>#N/A</v>
      </c>
      <c r="AD63" s="376" t="e">
        <f t="shared" ca="1" si="26"/>
        <v>#N/A</v>
      </c>
      <c r="AE63" s="377">
        <f t="shared" ca="1" si="5"/>
        <v>13.408261003205627</v>
      </c>
      <c r="AF63" s="344"/>
      <c r="AG63" s="359">
        <f t="shared" ca="1" si="27"/>
        <v>81.824336722202105</v>
      </c>
      <c r="AH63" s="357">
        <f t="shared" ca="1" si="28"/>
        <v>91.463788700075298</v>
      </c>
    </row>
    <row r="64" spans="1:34" x14ac:dyDescent="0.25">
      <c r="A64" s="402">
        <f t="shared" ca="1" si="6"/>
        <v>0.01</v>
      </c>
      <c r="B64" s="357">
        <f t="shared" ca="1" si="7"/>
        <v>0.60000000000000031</v>
      </c>
      <c r="C64" s="342"/>
      <c r="D64" s="359">
        <f t="shared" ca="1" si="8"/>
        <v>17.013871949397281</v>
      </c>
      <c r="E64" s="360">
        <f t="shared" ca="1" si="9"/>
        <v>80.050464577476163</v>
      </c>
      <c r="F64" s="357">
        <f t="shared" ca="1" si="10"/>
        <v>81.838552759565914</v>
      </c>
      <c r="G64" s="359">
        <f t="shared" ca="1" si="11"/>
        <v>9.0269842696893807</v>
      </c>
      <c r="H64" s="360">
        <f t="shared" ca="1" si="12"/>
        <v>47.578819317392252</v>
      </c>
      <c r="I64" s="357">
        <f t="shared" ca="1" si="13"/>
        <v>48.427579875957846</v>
      </c>
      <c r="J64" s="359">
        <f t="shared" ca="1" si="14"/>
        <v>2.5261138494771478</v>
      </c>
      <c r="K64" s="360">
        <f t="shared" ca="1" si="15"/>
        <v>13.880046673150677</v>
      </c>
      <c r="L64" s="357">
        <f t="shared" ca="1" si="0"/>
        <v>14.108045464534108</v>
      </c>
      <c r="M64" s="359">
        <f t="shared" ca="1" si="16"/>
        <v>1.3832979298909804</v>
      </c>
      <c r="N64" s="357">
        <f t="shared" ca="1" si="17"/>
        <v>79.25713319193683</v>
      </c>
      <c r="O64" s="343"/>
      <c r="P64" s="363">
        <f t="shared" ca="1" si="18"/>
        <v>5</v>
      </c>
      <c r="Q64" s="357">
        <f t="shared" ca="1" si="19"/>
        <v>1030.8333333333333</v>
      </c>
      <c r="R64" s="359">
        <f t="shared" ca="1" si="20"/>
        <v>0.51637767225720088</v>
      </c>
      <c r="S64" s="360">
        <f t="shared" ca="1" si="21"/>
        <v>11.202005779085843</v>
      </c>
      <c r="T64" s="357">
        <f t="shared" ca="1" si="1"/>
        <v>109.89167669283212</v>
      </c>
      <c r="U64" s="364">
        <f t="shared" ca="1" si="2"/>
        <v>0</v>
      </c>
      <c r="V64" s="359">
        <f t="shared" ca="1" si="3"/>
        <v>1.2233008734803088</v>
      </c>
      <c r="W64" s="357">
        <f t="shared" ca="1" si="4"/>
        <v>6.5511713792788129</v>
      </c>
      <c r="X64" s="343"/>
      <c r="Y64" s="367" t="str">
        <f t="shared" ca="1" si="22"/>
        <v/>
      </c>
      <c r="Z64" s="368" t="str">
        <f t="shared" ca="1" si="23"/>
        <v/>
      </c>
      <c r="AA64" s="369" t="str">
        <f t="shared" ca="1" si="24"/>
        <v/>
      </c>
      <c r="AB64" s="344"/>
      <c r="AC64" s="363" t="e">
        <f t="shared" ca="1" si="25"/>
        <v>#N/A</v>
      </c>
      <c r="AD64" s="376" t="e">
        <f t="shared" ca="1" si="26"/>
        <v>#N/A</v>
      </c>
      <c r="AE64" s="377">
        <f t="shared" ca="1" si="5"/>
        <v>13.880046673150677</v>
      </c>
      <c r="AF64" s="344"/>
      <c r="AG64" s="359">
        <f t="shared" ca="1" si="27"/>
        <v>81.8182021741369</v>
      </c>
      <c r="AH64" s="357">
        <f t="shared" ca="1" si="28"/>
        <v>91.456956721675013</v>
      </c>
    </row>
    <row r="65" spans="1:34" x14ac:dyDescent="0.25">
      <c r="A65" s="402">
        <f t="shared" ca="1" si="6"/>
        <v>0.01</v>
      </c>
      <c r="B65" s="357">
        <f t="shared" ca="1" si="7"/>
        <v>0.61000000000000032</v>
      </c>
      <c r="C65" s="342"/>
      <c r="D65" s="359">
        <f t="shared" ca="1" si="8"/>
        <v>17.046395416502296</v>
      </c>
      <c r="E65" s="360">
        <f t="shared" ca="1" si="9"/>
        <v>80.036990235477006</v>
      </c>
      <c r="F65" s="357">
        <f t="shared" ca="1" si="10"/>
        <v>81.83214162326189</v>
      </c>
      <c r="G65" s="359">
        <f t="shared" ca="1" si="11"/>
        <v>9.1974482238544031</v>
      </c>
      <c r="H65" s="360">
        <f t="shared" ca="1" si="12"/>
        <v>48.379189219747019</v>
      </c>
      <c r="I65" s="357">
        <f t="shared" ca="1" si="13"/>
        <v>49.245700354351428</v>
      </c>
      <c r="J65" s="359">
        <f t="shared" ca="1" si="14"/>
        <v>2.6172360119448665</v>
      </c>
      <c r="K65" s="360">
        <f t="shared" ca="1" si="15"/>
        <v>14.359836715836373</v>
      </c>
      <c r="L65" s="357">
        <f t="shared" ca="1" si="0"/>
        <v>14.596398009361879</v>
      </c>
      <c r="M65" s="359">
        <f t="shared" ca="1" si="16"/>
        <v>1.38292660794422</v>
      </c>
      <c r="N65" s="357">
        <f t="shared" ca="1" si="17"/>
        <v>79.235858011546867</v>
      </c>
      <c r="O65" s="343"/>
      <c r="P65" s="363">
        <f t="shared" ca="1" si="18"/>
        <v>5</v>
      </c>
      <c r="Q65" s="357">
        <f t="shared" ca="1" si="19"/>
        <v>1030.5</v>
      </c>
      <c r="R65" s="359">
        <f t="shared" ca="1" si="20"/>
        <v>0.51621069483690762</v>
      </c>
      <c r="S65" s="360">
        <f t="shared" ca="1" si="21"/>
        <v>11.196843672137474</v>
      </c>
      <c r="T65" s="357">
        <f t="shared" ca="1" si="1"/>
        <v>109.84103642366863</v>
      </c>
      <c r="U65" s="364">
        <f t="shared" ca="1" si="2"/>
        <v>0</v>
      </c>
      <c r="V65" s="359">
        <f t="shared" ca="1" si="3"/>
        <v>1.2232421821012101</v>
      </c>
      <c r="W65" s="357">
        <f t="shared" ca="1" si="4"/>
        <v>6.7740629464965316</v>
      </c>
      <c r="X65" s="343"/>
      <c r="Y65" s="367" t="str">
        <f t="shared" ca="1" si="22"/>
        <v/>
      </c>
      <c r="Z65" s="368" t="str">
        <f t="shared" ca="1" si="23"/>
        <v/>
      </c>
      <c r="AA65" s="369" t="str">
        <f t="shared" ca="1" si="24"/>
        <v/>
      </c>
      <c r="AB65" s="344"/>
      <c r="AC65" s="363" t="e">
        <f t="shared" ca="1" si="25"/>
        <v>#N/A</v>
      </c>
      <c r="AD65" s="376" t="e">
        <f t="shared" ca="1" si="26"/>
        <v>#N/A</v>
      </c>
      <c r="AE65" s="377">
        <f t="shared" ca="1" si="5"/>
        <v>14.359836715836373</v>
      </c>
      <c r="AF65" s="344"/>
      <c r="AG65" s="359">
        <f t="shared" ca="1" si="27"/>
        <v>81.811708339533382</v>
      </c>
      <c r="AH65" s="357">
        <f t="shared" ca="1" si="28"/>
        <v>91.44977447249201</v>
      </c>
    </row>
    <row r="66" spans="1:34" x14ac:dyDescent="0.25">
      <c r="A66" s="402">
        <f t="shared" ca="1" si="6"/>
        <v>0.01</v>
      </c>
      <c r="B66" s="357">
        <f t="shared" ca="1" si="7"/>
        <v>0.62000000000000033</v>
      </c>
      <c r="C66" s="342"/>
      <c r="D66" s="359">
        <f t="shared" ca="1" si="8"/>
        <v>17.078349535476207</v>
      </c>
      <c r="E66" s="360">
        <f t="shared" ca="1" si="9"/>
        <v>80.023254140519398</v>
      </c>
      <c r="F66" s="357">
        <f t="shared" ca="1" si="10"/>
        <v>81.825370308322192</v>
      </c>
      <c r="G66" s="359">
        <f t="shared" ca="1" si="11"/>
        <v>9.3682317192091649</v>
      </c>
      <c r="H66" s="360">
        <f t="shared" ca="1" si="12"/>
        <v>49.179421761152213</v>
      </c>
      <c r="I66" s="357">
        <f t="shared" ca="1" si="13"/>
        <v>50.063752259554903</v>
      </c>
      <c r="J66" s="359">
        <f t="shared" ca="1" si="14"/>
        <v>2.7100644116601842</v>
      </c>
      <c r="K66" s="360">
        <f t="shared" ca="1" si="15"/>
        <v>14.84762977074087</v>
      </c>
      <c r="L66" s="357">
        <f t="shared" ca="1" si="0"/>
        <v>15.092930759939822</v>
      </c>
      <c r="M66" s="359">
        <f t="shared" ca="1" si="16"/>
        <v>1.3825606386454694</v>
      </c>
      <c r="N66" s="357">
        <f t="shared" ca="1" si="17"/>
        <v>79.214889515297102</v>
      </c>
      <c r="O66" s="343"/>
      <c r="P66" s="363">
        <f t="shared" ca="1" si="18"/>
        <v>5</v>
      </c>
      <c r="Q66" s="357">
        <f t="shared" ca="1" si="19"/>
        <v>1030.1666666666667</v>
      </c>
      <c r="R66" s="359">
        <f t="shared" ca="1" si="20"/>
        <v>0.51604371741661426</v>
      </c>
      <c r="S66" s="360">
        <f t="shared" ca="1" si="21"/>
        <v>11.191683234963309</v>
      </c>
      <c r="T66" s="357">
        <f t="shared" ca="1" si="1"/>
        <v>109.79041253499007</v>
      </c>
      <c r="U66" s="364">
        <f t="shared" ca="1" si="2"/>
        <v>0</v>
      </c>
      <c r="V66" s="359">
        <f t="shared" ca="1" si="3"/>
        <v>1.2231825146205857</v>
      </c>
      <c r="W66" s="357">
        <f t="shared" ca="1" si="4"/>
        <v>7.0006473374104932</v>
      </c>
      <c r="X66" s="343"/>
      <c r="Y66" s="367" t="str">
        <f t="shared" ca="1" si="22"/>
        <v/>
      </c>
      <c r="Z66" s="368" t="str">
        <f t="shared" ca="1" si="23"/>
        <v/>
      </c>
      <c r="AA66" s="369" t="str">
        <f t="shared" ca="1" si="24"/>
        <v/>
      </c>
      <c r="AB66" s="344"/>
      <c r="AC66" s="363" t="e">
        <f t="shared" ca="1" si="25"/>
        <v>#N/A</v>
      </c>
      <c r="AD66" s="376" t="e">
        <f t="shared" ca="1" si="26"/>
        <v>#N/A</v>
      </c>
      <c r="AE66" s="377">
        <f t="shared" ca="1" si="5"/>
        <v>14.84762977074087</v>
      </c>
      <c r="AF66" s="344"/>
      <c r="AG66" s="359">
        <f t="shared" ca="1" si="27"/>
        <v>81.804855259603485</v>
      </c>
      <c r="AH66" s="357">
        <f t="shared" ca="1" si="28"/>
        <v>91.442241728486991</v>
      </c>
    </row>
    <row r="67" spans="1:34" x14ac:dyDescent="0.25">
      <c r="A67" s="402">
        <f t="shared" ca="1" si="6"/>
        <v>0.01</v>
      </c>
      <c r="B67" s="357">
        <f t="shared" ca="1" si="7"/>
        <v>0.63000000000000034</v>
      </c>
      <c r="C67" s="342"/>
      <c r="D67" s="359">
        <f t="shared" ca="1" si="8"/>
        <v>17.109749404258448</v>
      </c>
      <c r="E67" s="360">
        <f t="shared" ca="1" si="9"/>
        <v>80.009253771690609</v>
      </c>
      <c r="F67" s="357">
        <f t="shared" ca="1" si="10"/>
        <v>81.818238882166796</v>
      </c>
      <c r="G67" s="359">
        <f t="shared" ca="1" si="11"/>
        <v>9.5393292132517491</v>
      </c>
      <c r="H67" s="360">
        <f t="shared" ca="1" si="12"/>
        <v>49.97951429886912</v>
      </c>
      <c r="I67" s="357">
        <f t="shared" ca="1" si="13"/>
        <v>50.881732000686263</v>
      </c>
      <c r="J67" s="359">
        <f t="shared" ca="1" si="14"/>
        <v>2.8046022163224889</v>
      </c>
      <c r="K67" s="360">
        <f t="shared" ca="1" si="15"/>
        <v>15.343424451040976</v>
      </c>
      <c r="L67" s="357">
        <f t="shared" ca="1" si="0"/>
        <v>15.597643010294956</v>
      </c>
      <c r="M67" s="359">
        <f t="shared" ca="1" si="16"/>
        <v>1.3821998595559486</v>
      </c>
      <c r="N67" s="357">
        <f t="shared" ca="1" si="17"/>
        <v>79.194218396130978</v>
      </c>
      <c r="O67" s="343"/>
      <c r="P67" s="363">
        <f t="shared" ca="1" si="18"/>
        <v>5</v>
      </c>
      <c r="Q67" s="357">
        <f t="shared" ca="1" si="19"/>
        <v>1029.8333333333333</v>
      </c>
      <c r="R67" s="359">
        <f t="shared" ca="1" si="20"/>
        <v>0.51587673999632078</v>
      </c>
      <c r="S67" s="360">
        <f t="shared" ca="1" si="21"/>
        <v>11.186524467563345</v>
      </c>
      <c r="T67" s="357">
        <f t="shared" ca="1" si="1"/>
        <v>109.73980502679642</v>
      </c>
      <c r="U67" s="364">
        <f t="shared" ca="1" si="2"/>
        <v>0</v>
      </c>
      <c r="V67" s="359">
        <f t="shared" ca="1" si="3"/>
        <v>1.2231218713509993</v>
      </c>
      <c r="W67" s="357">
        <f t="shared" ca="1" si="4"/>
        <v>7.2309215055893175</v>
      </c>
      <c r="X67" s="343"/>
      <c r="Y67" s="367" t="str">
        <f t="shared" ca="1" si="22"/>
        <v/>
      </c>
      <c r="Z67" s="368" t="str">
        <f t="shared" ca="1" si="23"/>
        <v/>
      </c>
      <c r="AA67" s="369" t="str">
        <f t="shared" ca="1" si="24"/>
        <v/>
      </c>
      <c r="AB67" s="344"/>
      <c r="AC67" s="363" t="e">
        <f t="shared" ca="1" si="25"/>
        <v>#N/A</v>
      </c>
      <c r="AD67" s="376" t="e">
        <f t="shared" ca="1" si="26"/>
        <v>#N/A</v>
      </c>
      <c r="AE67" s="377">
        <f t="shared" ca="1" si="5"/>
        <v>15.343424451040976</v>
      </c>
      <c r="AF67" s="344"/>
      <c r="AG67" s="359">
        <f t="shared" ca="1" si="27"/>
        <v>81.797642970881327</v>
      </c>
      <c r="AH67" s="357">
        <f t="shared" ca="1" si="28"/>
        <v>91.43435827291556</v>
      </c>
    </row>
    <row r="68" spans="1:34" x14ac:dyDescent="0.25">
      <c r="A68" s="402">
        <f t="shared" ca="1" si="6"/>
        <v>0.01</v>
      </c>
      <c r="B68" s="357">
        <f t="shared" ca="1" si="7"/>
        <v>0.64000000000000035</v>
      </c>
      <c r="C68" s="342"/>
      <c r="D68" s="359">
        <f t="shared" ca="1" si="8"/>
        <v>17.140609414140425</v>
      </c>
      <c r="E68" s="360">
        <f t="shared" ca="1" si="9"/>
        <v>79.994986719117406</v>
      </c>
      <c r="F68" s="357">
        <f t="shared" ca="1" si="10"/>
        <v>81.810747406926239</v>
      </c>
      <c r="G68" s="359">
        <f t="shared" ca="1" si="11"/>
        <v>9.7107353073931542</v>
      </c>
      <c r="H68" s="360">
        <f t="shared" ca="1" si="12"/>
        <v>50.779464166060293</v>
      </c>
      <c r="I68" s="357">
        <f t="shared" ca="1" si="13"/>
        <v>51.69963598713683</v>
      </c>
      <c r="J68" s="359">
        <f t="shared" ca="1" si="14"/>
        <v>2.9008525389257134</v>
      </c>
      <c r="K68" s="360">
        <f t="shared" ca="1" si="15"/>
        <v>15.847219343365623</v>
      </c>
      <c r="L68" s="357">
        <f t="shared" ref="L68:L131" ca="1" si="29">SQRT(pos_x^2+pos_z^2)</f>
        <v>16.110534018751004</v>
      </c>
      <c r="M68" s="359">
        <f t="shared" ca="1" si="16"/>
        <v>1.3818441156393571</v>
      </c>
      <c r="N68" s="357">
        <f t="shared" ca="1" si="17"/>
        <v>79.173835771122839</v>
      </c>
      <c r="O68" s="343"/>
      <c r="P68" s="363">
        <f t="shared" ca="1" si="18"/>
        <v>5</v>
      </c>
      <c r="Q68" s="357">
        <f t="shared" ca="1" si="19"/>
        <v>1029.5</v>
      </c>
      <c r="R68" s="359">
        <f t="shared" ca="1" si="20"/>
        <v>0.51570976257602752</v>
      </c>
      <c r="S68" s="360">
        <f t="shared" ca="1" si="21"/>
        <v>11.181367369937584</v>
      </c>
      <c r="T68" s="357">
        <f t="shared" ref="T68:T131" ca="1" si="30">m*g</f>
        <v>109.6892138990877</v>
      </c>
      <c r="U68" s="364">
        <f t="shared" ref="U68:U131" ca="1" si="31">IF(pos_xz&lt;L_rampe,Poids*COS(Beta),0)</f>
        <v>0</v>
      </c>
      <c r="V68" s="359">
        <f t="shared" ref="V68:V131" ca="1" si="32">Rho_moyen*(20000-Alt_rampe-pos_z)/(20000+Alt_rampe+pos_z)</f>
        <v>1.2230602526105552</v>
      </c>
      <c r="W68" s="357">
        <f t="shared" ref="W68:W131" ca="1" si="33">1/2*Rho*Sref*Cx*vit_xz^2</f>
        <v>7.4648823219960372</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15.847219343365623</v>
      </c>
      <c r="AF68" s="344"/>
      <c r="AG68" s="359">
        <f t="shared" ca="1" si="27"/>
        <v>81.790071505959972</v>
      </c>
      <c r="AH68" s="357">
        <f t="shared" ca="1" si="28"/>
        <v>91.426123896340343</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17.170943293374911</v>
      </c>
      <c r="E69" s="360">
        <f t="shared" ref="E69:E132" ca="1" si="38">IF(AND(L68&lt;L_rampe,Poussee&lt;Poids*SIN(M68)),0,(-W68+Poussee)/m*SIN(M68)+U68/m*COS(M68)-Poids/m)</f>
        <v>79.980450677772083</v>
      </c>
      <c r="F69" s="357">
        <f t="shared" ref="F69:F132" ca="1" si="39">SQRT(acc_x^2+acc_z^2)</f>
        <v>81.802895940203911</v>
      </c>
      <c r="G69" s="359">
        <f t="shared" ref="G69:G132" ca="1" si="40">G68+acc_x*pas</f>
        <v>9.8824447403269033</v>
      </c>
      <c r="H69" s="360">
        <f t="shared" ref="H69:H132" ca="1" si="41">H68+acc_z*pas</f>
        <v>51.579268672838012</v>
      </c>
      <c r="I69" s="357">
        <f t="shared" ref="I69:I132" ca="1" si="42">SQRT(vit_x^2+vit_z^2)</f>
        <v>52.517460628541663</v>
      </c>
      <c r="J69" s="359">
        <f t="shared" ref="J69:J132" ca="1" si="43">J68+0.5*(vit_x+G68)*pas*(K68&gt;=0)</f>
        <v>2.9988184391643138</v>
      </c>
      <c r="K69" s="360">
        <f t="shared" ref="K69:K132" ca="1" si="44">K68+0.5*(vit_z+H68)*pas</f>
        <v>16.359013007560115</v>
      </c>
      <c r="L69" s="357">
        <f t="shared" ca="1" si="29"/>
        <v>16.631603007906154</v>
      </c>
      <c r="M69" s="359">
        <f t="shared" ref="M69:M132" ca="1" si="45">IF(AND(L68&gt;L_rampe,G69&gt;0),ATAN2(G69,H69),$M$4)</f>
        <v>1.3814932588144517</v>
      </c>
      <c r="N69" s="357">
        <f t="shared" ref="N69:N132" ca="1" si="46">DEGREES(Beta)</f>
        <v>79.153733155842403</v>
      </c>
      <c r="O69" s="343"/>
      <c r="P69" s="363">
        <f t="shared" ref="P69:P132" ca="1" si="47">MATCH(t-pas/2-T_ini,CdP_t)</f>
        <v>5</v>
      </c>
      <c r="Q69" s="357">
        <f t="shared" ref="Q69:Q132" ca="1" si="48">(INDEX(CdP,2,i_P+1)-INDEX(CdP,2,i_P+0))/(INDEX(CdP,1,i_P+1)-INDEX(CdP,1,i_P+0))*(t-pas/2-T_ini-INDEX(CdP,1,i_P+0))+INDEX(CdP,2,i_P+0)</f>
        <v>1029.1666666666667</v>
      </c>
      <c r="R69" s="359">
        <f t="shared" ref="R69:R132" ca="1" si="49">Poussee/(g*ISP)</f>
        <v>0.51554278515573415</v>
      </c>
      <c r="S69" s="360">
        <f t="shared" ref="S69:S132" ca="1" si="50">S68-Débit*pas</f>
        <v>11.176211942086027</v>
      </c>
      <c r="T69" s="357">
        <f t="shared" ca="1" si="30"/>
        <v>109.63863915186393</v>
      </c>
      <c r="U69" s="364">
        <f t="shared" ca="1" si="31"/>
        <v>0</v>
      </c>
      <c r="V69" s="359">
        <f t="shared" ca="1" si="32"/>
        <v>1.2229976587229237</v>
      </c>
      <c r="W69" s="357">
        <f t="shared" ca="1" si="33"/>
        <v>7.7025265750479202</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16.359013007560115</v>
      </c>
      <c r="AF69" s="344"/>
      <c r="AG69" s="359">
        <f t="shared" ref="AG69:AG132" ca="1" si="56">IF(AND(L68&lt;L_rampe,Poussee&lt;Poids*SIN(M68)),0,(-W68+Poussee)/m-Poids*SIN(M68)/m)</f>
        <v>81.782140894173395</v>
      </c>
      <c r="AH69" s="357">
        <f t="shared" ref="AH69:AH132" ca="1" si="57">IF(AND(L68&lt;L_rampe,Poussee&lt;Poids*SIN(M68)), g*SIN(M68), (-W68+Poussee)/m)</f>
        <v>91.41753839664311</v>
      </c>
    </row>
    <row r="70" spans="1:34" x14ac:dyDescent="0.25">
      <c r="A70" s="402">
        <f t="shared" ca="1" si="35"/>
        <v>0.01</v>
      </c>
      <c r="B70" s="357">
        <f t="shared" ca="1" si="36"/>
        <v>0.66000000000000036</v>
      </c>
      <c r="C70" s="342"/>
      <c r="D70" s="359">
        <f t="shared" ca="1" si="37"/>
        <v>17.200764147466213</v>
      </c>
      <c r="E70" s="360">
        <f t="shared" ca="1" si="38"/>
        <v>79.965643441739246</v>
      </c>
      <c r="F70" s="357">
        <f t="shared" ca="1" si="39"/>
        <v>81.794684535782238</v>
      </c>
      <c r="G70" s="359">
        <f t="shared" ca="1" si="40"/>
        <v>10.054452381801566</v>
      </c>
      <c r="H70" s="360">
        <f t="shared" ca="1" si="41"/>
        <v>52.378925107255405</v>
      </c>
      <c r="I70" s="357">
        <f t="shared" ca="1" si="42"/>
        <v>53.335202334756225</v>
      </c>
      <c r="J70" s="359">
        <f t="shared" ca="1" si="43"/>
        <v>3.098502924774956</v>
      </c>
      <c r="K70" s="360">
        <f t="shared" ca="1" si="44"/>
        <v>16.878803976460581</v>
      </c>
      <c r="L70" s="357">
        <f t="shared" ca="1" si="29"/>
        <v>17.160849164613634</v>
      </c>
      <c r="M70" s="359">
        <f t="shared" ca="1" si="45"/>
        <v>1.3811471475411168</v>
      </c>
      <c r="N70" s="357">
        <f t="shared" ca="1" si="46"/>
        <v>79.133902440638408</v>
      </c>
      <c r="O70" s="343"/>
      <c r="P70" s="363">
        <f t="shared" ca="1" si="47"/>
        <v>5</v>
      </c>
      <c r="Q70" s="357">
        <f t="shared" ca="1" si="48"/>
        <v>1028.8333333333333</v>
      </c>
      <c r="R70" s="359">
        <f t="shared" ca="1" si="49"/>
        <v>0.51537580773544078</v>
      </c>
      <c r="S70" s="360">
        <f t="shared" ca="1" si="50"/>
        <v>11.171058184008674</v>
      </c>
      <c r="T70" s="357">
        <f t="shared" ca="1" si="30"/>
        <v>109.58808078512509</v>
      </c>
      <c r="U70" s="364">
        <f t="shared" ca="1" si="31"/>
        <v>0</v>
      </c>
      <c r="V70" s="359">
        <f t="shared" ca="1" si="32"/>
        <v>1.2229340900173651</v>
      </c>
      <c r="W70" s="357">
        <f t="shared" ca="1" si="33"/>
        <v>7.9438509706791338</v>
      </c>
      <c r="X70" s="343"/>
      <c r="Y70" s="367" t="str">
        <f t="shared" ca="1" si="51"/>
        <v/>
      </c>
      <c r="Z70" s="368" t="str">
        <f t="shared" ca="1" si="52"/>
        <v/>
      </c>
      <c r="AA70" s="369" t="str">
        <f t="shared" ca="1" si="53"/>
        <v/>
      </c>
      <c r="AB70" s="344"/>
      <c r="AC70" s="363" t="e">
        <f t="shared" ca="1" si="54"/>
        <v>#N/A</v>
      </c>
      <c r="AD70" s="376" t="e">
        <f t="shared" ca="1" si="55"/>
        <v>#N/A</v>
      </c>
      <c r="AE70" s="377">
        <f t="shared" ca="1" si="34"/>
        <v>16.878803976460581</v>
      </c>
      <c r="AF70" s="344"/>
      <c r="AG70" s="359">
        <f t="shared" ca="1" si="56"/>
        <v>81.773851162228596</v>
      </c>
      <c r="AH70" s="357">
        <f t="shared" ca="1" si="57"/>
        <v>91.408601579036628</v>
      </c>
    </row>
    <row r="71" spans="1:34" x14ac:dyDescent="0.25">
      <c r="A71" s="402">
        <f t="shared" ca="1" si="35"/>
        <v>0.01</v>
      </c>
      <c r="B71" s="357">
        <f t="shared" ca="1" si="36"/>
        <v>0.67000000000000037</v>
      </c>
      <c r="C71" s="342"/>
      <c r="D71" s="359">
        <f t="shared" ca="1" si="37"/>
        <v>17.230084496440192</v>
      </c>
      <c r="E71" s="360">
        <f t="shared" ca="1" si="38"/>
        <v>79.950562898902845</v>
      </c>
      <c r="F71" s="357">
        <f t="shared" ca="1" si="39"/>
        <v>81.786113244278141</v>
      </c>
      <c r="G71" s="359">
        <f t="shared" ca="1" si="40"/>
        <v>10.226753226765968</v>
      </c>
      <c r="H71" s="360">
        <f t="shared" ca="1" si="41"/>
        <v>53.178430736244437</v>
      </c>
      <c r="I71" s="357">
        <f t="shared" ca="1" si="42"/>
        <v>54.152857515838576</v>
      </c>
      <c r="J71" s="359">
        <f t="shared" ca="1" si="43"/>
        <v>3.1999089528177938</v>
      </c>
      <c r="K71" s="360">
        <f t="shared" ca="1" si="44"/>
        <v>17.406590755678081</v>
      </c>
      <c r="L71" s="357">
        <f t="shared" ca="1" si="29"/>
        <v>17.698271639964766</v>
      </c>
      <c r="M71" s="359">
        <f t="shared" ca="1" si="45"/>
        <v>1.3808056464369483</v>
      </c>
      <c r="N71" s="357">
        <f t="shared" ca="1" si="46"/>
        <v>79.114335868670494</v>
      </c>
      <c r="O71" s="343"/>
      <c r="P71" s="363">
        <f t="shared" ca="1" si="47"/>
        <v>5</v>
      </c>
      <c r="Q71" s="357">
        <f t="shared" ca="1" si="48"/>
        <v>1028.5</v>
      </c>
      <c r="R71" s="359">
        <f t="shared" ca="1" si="49"/>
        <v>0.51520883031514741</v>
      </c>
      <c r="S71" s="360">
        <f t="shared" ca="1" si="50"/>
        <v>11.165906095705521</v>
      </c>
      <c r="T71" s="357">
        <f t="shared" ca="1" si="30"/>
        <v>109.53753879887117</v>
      </c>
      <c r="U71" s="364">
        <f t="shared" ca="1" si="31"/>
        <v>0</v>
      </c>
      <c r="V71" s="359">
        <f t="shared" ca="1" si="32"/>
        <v>1.2228695468287532</v>
      </c>
      <c r="W71" s="357">
        <f t="shared" ca="1" si="33"/>
        <v>8.1888521324061845</v>
      </c>
      <c r="X71" s="343"/>
      <c r="Y71" s="367" t="str">
        <f t="shared" ca="1" si="51"/>
        <v/>
      </c>
      <c r="Z71" s="368" t="str">
        <f t="shared" ca="1" si="52"/>
        <v/>
      </c>
      <c r="AA71" s="369" t="str">
        <f t="shared" ca="1" si="53"/>
        <v/>
      </c>
      <c r="AB71" s="344"/>
      <c r="AC71" s="363" t="e">
        <f t="shared" ca="1" si="54"/>
        <v>#N/A</v>
      </c>
      <c r="AD71" s="376" t="e">
        <f t="shared" ca="1" si="55"/>
        <v>#N/A</v>
      </c>
      <c r="AE71" s="377">
        <f t="shared" ca="1" si="34"/>
        <v>17.406590755678081</v>
      </c>
      <c r="AF71" s="344"/>
      <c r="AG71" s="359">
        <f t="shared" ca="1" si="56"/>
        <v>81.765202334792136</v>
      </c>
      <c r="AH71" s="357">
        <f t="shared" ca="1" si="57"/>
        <v>91.399313256076297</v>
      </c>
    </row>
    <row r="72" spans="1:34" x14ac:dyDescent="0.25">
      <c r="A72" s="402">
        <f t="shared" ca="1" si="35"/>
        <v>0.01</v>
      </c>
      <c r="B72" s="357">
        <f t="shared" ca="1" si="36"/>
        <v>0.68000000000000038</v>
      </c>
      <c r="C72" s="342"/>
      <c r="D72" s="359">
        <f t="shared" ca="1" si="37"/>
        <v>17.258916309362878</v>
      </c>
      <c r="E72" s="360">
        <f t="shared" ca="1" si="38"/>
        <v>79.935207026016471</v>
      </c>
      <c r="F72" s="357">
        <f t="shared" ca="1" si="39"/>
        <v>81.777182113751664</v>
      </c>
      <c r="G72" s="359">
        <f t="shared" ca="1" si="40"/>
        <v>10.399342389859598</v>
      </c>
      <c r="H72" s="360">
        <f t="shared" ca="1" si="41"/>
        <v>53.977782806504599</v>
      </c>
      <c r="I72" s="357">
        <f t="shared" ca="1" si="42"/>
        <v>54.970422582036917</v>
      </c>
      <c r="J72" s="359">
        <f t="shared" ca="1" si="43"/>
        <v>3.3030394309009217</v>
      </c>
      <c r="K72" s="360">
        <f t="shared" ca="1" si="44"/>
        <v>17.942371823391827</v>
      </c>
      <c r="L72" s="357">
        <f t="shared" ca="1" si="29"/>
        <v>18.243869549274113</v>
      </c>
      <c r="M72" s="359">
        <f t="shared" ca="1" si="45"/>
        <v>1.3804686259216825</v>
      </c>
      <c r="N72" s="357">
        <f t="shared" ca="1" si="46"/>
        <v>79.095026015536448</v>
      </c>
      <c r="O72" s="343"/>
      <c r="P72" s="363">
        <f t="shared" ca="1" si="47"/>
        <v>5</v>
      </c>
      <c r="Q72" s="357">
        <f t="shared" ca="1" si="48"/>
        <v>1028.1666666666667</v>
      </c>
      <c r="R72" s="359">
        <f t="shared" ca="1" si="49"/>
        <v>0.51504185289485416</v>
      </c>
      <c r="S72" s="360">
        <f t="shared" ca="1" si="50"/>
        <v>11.160755677176573</v>
      </c>
      <c r="T72" s="357">
        <f t="shared" ca="1" si="30"/>
        <v>109.48701319310219</v>
      </c>
      <c r="U72" s="364">
        <f t="shared" ca="1" si="31"/>
        <v>0</v>
      </c>
      <c r="V72" s="359">
        <f t="shared" ca="1" si="32"/>
        <v>1.2228040294975979</v>
      </c>
      <c r="W72" s="357">
        <f t="shared" ca="1" si="33"/>
        <v>8.4375266013962822</v>
      </c>
      <c r="X72" s="343"/>
      <c r="Y72" s="367" t="str">
        <f t="shared" ca="1" si="51"/>
        <v/>
      </c>
      <c r="Z72" s="368" t="str">
        <f t="shared" ca="1" si="52"/>
        <v/>
      </c>
      <c r="AA72" s="369" t="str">
        <f t="shared" ca="1" si="53"/>
        <v/>
      </c>
      <c r="AB72" s="344"/>
      <c r="AC72" s="363" t="e">
        <f t="shared" ca="1" si="54"/>
        <v>#N/A</v>
      </c>
      <c r="AD72" s="376" t="e">
        <f t="shared" ca="1" si="55"/>
        <v>#N/A</v>
      </c>
      <c r="AE72" s="377">
        <f t="shared" ca="1" si="34"/>
        <v>17.942371823391827</v>
      </c>
      <c r="AF72" s="344"/>
      <c r="AG72" s="359">
        <f t="shared" ca="1" si="56"/>
        <v>81.756194435034843</v>
      </c>
      <c r="AH72" s="357">
        <f t="shared" ca="1" si="57"/>
        <v>91.389673247671411</v>
      </c>
    </row>
    <row r="73" spans="1:34" x14ac:dyDescent="0.25">
      <c r="A73" s="402">
        <f t="shared" ca="1" si="35"/>
        <v>0.01</v>
      </c>
      <c r="B73" s="357">
        <f t="shared" ca="1" si="36"/>
        <v>0.69000000000000039</v>
      </c>
      <c r="C73" s="342"/>
      <c r="D73" s="359">
        <f t="shared" ca="1" si="37"/>
        <v>17.287271036348763</v>
      </c>
      <c r="E73" s="360">
        <f t="shared" ca="1" si="38"/>
        <v>79.919573884124148</v>
      </c>
      <c r="F73" s="357">
        <f t="shared" ca="1" si="39"/>
        <v>81.767891190271996</v>
      </c>
      <c r="G73" s="359">
        <f t="shared" ca="1" si="40"/>
        <v>10.572215100223085</v>
      </c>
      <c r="H73" s="360">
        <f t="shared" ca="1" si="41"/>
        <v>54.776978545345841</v>
      </c>
      <c r="I73" s="357">
        <f t="shared" ca="1" si="42"/>
        <v>55.78789394378196</v>
      </c>
      <c r="J73" s="359">
        <f t="shared" ca="1" si="43"/>
        <v>3.407897218351335</v>
      </c>
      <c r="K73" s="360">
        <f t="shared" ca="1" si="44"/>
        <v>18.486145630151078</v>
      </c>
      <c r="L73" s="357">
        <f t="shared" ca="1" si="29"/>
        <v>18.797641972066618</v>
      </c>
      <c r="M73" s="359">
        <f t="shared" ca="1" si="45"/>
        <v>1.3801359618870723</v>
      </c>
      <c r="N73" s="357">
        <f t="shared" ca="1" si="46"/>
        <v>79.075965770357485</v>
      </c>
      <c r="O73" s="343"/>
      <c r="P73" s="363">
        <f t="shared" ca="1" si="47"/>
        <v>5</v>
      </c>
      <c r="Q73" s="357">
        <f t="shared" ca="1" si="48"/>
        <v>1027.8333333333333</v>
      </c>
      <c r="R73" s="359">
        <f t="shared" ca="1" si="49"/>
        <v>0.51487487547456068</v>
      </c>
      <c r="S73" s="360">
        <f t="shared" ca="1" si="50"/>
        <v>11.155606928421827</v>
      </c>
      <c r="T73" s="357">
        <f t="shared" ca="1" si="30"/>
        <v>109.43650396781813</v>
      </c>
      <c r="U73" s="364">
        <f t="shared" ca="1" si="31"/>
        <v>0</v>
      </c>
      <c r="V73" s="359">
        <f t="shared" ca="1" si="32"/>
        <v>1.2227375383700652</v>
      </c>
      <c r="W73" s="357">
        <f t="shared" ca="1" si="33"/>
        <v>8.6898708365386064</v>
      </c>
      <c r="X73" s="343"/>
      <c r="Y73" s="367" t="str">
        <f t="shared" ca="1" si="51"/>
        <v/>
      </c>
      <c r="Z73" s="368" t="str">
        <f t="shared" ca="1" si="52"/>
        <v/>
      </c>
      <c r="AA73" s="369" t="str">
        <f t="shared" ca="1" si="53"/>
        <v/>
      </c>
      <c r="AB73" s="344"/>
      <c r="AC73" s="363" t="e">
        <f t="shared" ca="1" si="54"/>
        <v>#N/A</v>
      </c>
      <c r="AD73" s="376" t="e">
        <f t="shared" ca="1" si="55"/>
        <v>#N/A</v>
      </c>
      <c r="AE73" s="377">
        <f t="shared" ca="1" si="34"/>
        <v>18.486145630151078</v>
      </c>
      <c r="AF73" s="344"/>
      <c r="AG73" s="359">
        <f t="shared" ca="1" si="56"/>
        <v>81.746827485138695</v>
      </c>
      <c r="AH73" s="357">
        <f t="shared" ca="1" si="57"/>
        <v>91.379681381096304</v>
      </c>
    </row>
    <row r="74" spans="1:34" x14ac:dyDescent="0.25">
      <c r="A74" s="402">
        <f t="shared" ca="1" si="35"/>
        <v>0.01</v>
      </c>
      <c r="B74" s="357">
        <f t="shared" ca="1" si="36"/>
        <v>0.7000000000000004</v>
      </c>
      <c r="C74" s="342"/>
      <c r="D74" s="359">
        <f t="shared" ca="1" si="37"/>
        <v>17.31515963827508</v>
      </c>
      <c r="E74" s="360">
        <f t="shared" ca="1" si="38"/>
        <v>79.90366161430245</v>
      </c>
      <c r="F74" s="357">
        <f t="shared" ca="1" si="39"/>
        <v>81.758240518444993</v>
      </c>
      <c r="G74" s="359">
        <f t="shared" ca="1" si="40"/>
        <v>10.745366696605835</v>
      </c>
      <c r="H74" s="360">
        <f t="shared" ca="1" si="41"/>
        <v>55.576015161488868</v>
      </c>
      <c r="I74" s="357">
        <f t="shared" ca="1" si="42"/>
        <v>56.605268011683918</v>
      </c>
      <c r="J74" s="359">
        <f t="shared" ca="1" si="43"/>
        <v>3.5144851273354796</v>
      </c>
      <c r="K74" s="360">
        <f t="shared" ca="1" si="44"/>
        <v>19.037910598685251</v>
      </c>
      <c r="L74" s="357">
        <f t="shared" ca="1" si="29"/>
        <v>19.359587952066398</v>
      </c>
      <c r="M74" s="359">
        <f t="shared" ca="1" si="45"/>
        <v>1.3798075353900412</v>
      </c>
      <c r="N74" s="357">
        <f t="shared" ca="1" si="46"/>
        <v>79.057148318197335</v>
      </c>
      <c r="O74" s="343"/>
      <c r="P74" s="363">
        <f t="shared" ca="1" si="47"/>
        <v>5</v>
      </c>
      <c r="Q74" s="357">
        <f t="shared" ca="1" si="48"/>
        <v>1027.5</v>
      </c>
      <c r="R74" s="359">
        <f t="shared" ca="1" si="49"/>
        <v>0.51470789805426742</v>
      </c>
      <c r="S74" s="360">
        <f t="shared" ca="1" si="50"/>
        <v>11.150459849441285</v>
      </c>
      <c r="T74" s="357">
        <f t="shared" ca="1" si="30"/>
        <v>109.38601112301902</v>
      </c>
      <c r="U74" s="364">
        <f t="shared" ca="1" si="31"/>
        <v>0</v>
      </c>
      <c r="V74" s="359">
        <f t="shared" ca="1" si="32"/>
        <v>1.2226700737979979</v>
      </c>
      <c r="W74" s="357">
        <f t="shared" ca="1" si="33"/>
        <v>8.9458812145186055</v>
      </c>
      <c r="X74" s="343"/>
      <c r="Y74" s="367" t="str">
        <f t="shared" ca="1" si="51"/>
        <v/>
      </c>
      <c r="Z74" s="368" t="str">
        <f t="shared" ca="1" si="52"/>
        <v/>
      </c>
      <c r="AA74" s="369" t="str">
        <f t="shared" ca="1" si="53"/>
        <v/>
      </c>
      <c r="AB74" s="344"/>
      <c r="AC74" s="363" t="e">
        <f t="shared" ca="1" si="54"/>
        <v>#N/A</v>
      </c>
      <c r="AD74" s="376" t="e">
        <f t="shared" ca="1" si="55"/>
        <v>#N/A</v>
      </c>
      <c r="AE74" s="377">
        <f t="shared" ca="1" si="34"/>
        <v>19.037910598685251</v>
      </c>
      <c r="AF74" s="344"/>
      <c r="AG74" s="359">
        <f t="shared" ca="1" si="56"/>
        <v>81.737101506768909</v>
      </c>
      <c r="AH74" s="357">
        <f t="shared" ca="1" si="57"/>
        <v>91.369337491001403</v>
      </c>
    </row>
    <row r="75" spans="1:34" x14ac:dyDescent="0.25">
      <c r="A75" s="402">
        <f t="shared" ca="1" si="35"/>
        <v>0.01</v>
      </c>
      <c r="B75" s="357">
        <f t="shared" ca="1" si="36"/>
        <v>0.71000000000000041</v>
      </c>
      <c r="C75" s="342"/>
      <c r="D75" s="359">
        <f t="shared" ca="1" si="37"/>
        <v>17.342592614397642</v>
      </c>
      <c r="E75" s="360">
        <f t="shared" ca="1" si="38"/>
        <v>79.88746843369583</v>
      </c>
      <c r="F75" s="357">
        <f t="shared" ca="1" si="39"/>
        <v>81.748230141904031</v>
      </c>
      <c r="G75" s="359">
        <f t="shared" ca="1" si="40"/>
        <v>10.918792622749811</v>
      </c>
      <c r="H75" s="360">
        <f t="shared" ca="1" si="41"/>
        <v>56.374889845825827</v>
      </c>
      <c r="I75" s="357">
        <f t="shared" ca="1" si="42"/>
        <v>57.422541196533714</v>
      </c>
      <c r="J75" s="359">
        <f t="shared" ca="1" si="43"/>
        <v>3.6228059239322579</v>
      </c>
      <c r="K75" s="360">
        <f t="shared" ca="1" si="44"/>
        <v>19.597665123721825</v>
      </c>
      <c r="L75" s="357">
        <f t="shared" ca="1" si="29"/>
        <v>19.929706497187095</v>
      </c>
      <c r="M75" s="359">
        <f t="shared" ca="1" si="45"/>
        <v>1.3794832323671726</v>
      </c>
      <c r="N75" s="357">
        <f t="shared" ca="1" si="46"/>
        <v>79.038567123703629</v>
      </c>
      <c r="O75" s="343"/>
      <c r="P75" s="363">
        <f t="shared" ca="1" si="47"/>
        <v>5</v>
      </c>
      <c r="Q75" s="357">
        <f t="shared" ca="1" si="48"/>
        <v>1027.1666666666667</v>
      </c>
      <c r="R75" s="359">
        <f t="shared" ca="1" si="49"/>
        <v>0.51454092063397405</v>
      </c>
      <c r="S75" s="360">
        <f t="shared" ca="1" si="50"/>
        <v>11.145314440234944</v>
      </c>
      <c r="T75" s="357">
        <f t="shared" ca="1" si="30"/>
        <v>109.33553465870482</v>
      </c>
      <c r="U75" s="364">
        <f t="shared" ca="1" si="31"/>
        <v>0</v>
      </c>
      <c r="V75" s="359">
        <f t="shared" ca="1" si="32"/>
        <v>1.222601636138934</v>
      </c>
      <c r="W75" s="357">
        <f t="shared" ca="1" si="33"/>
        <v>9.2055540298952874</v>
      </c>
      <c r="X75" s="343"/>
      <c r="Y75" s="367" t="str">
        <f t="shared" ca="1" si="51"/>
        <v/>
      </c>
      <c r="Z75" s="368" t="str">
        <f t="shared" ca="1" si="52"/>
        <v/>
      </c>
      <c r="AA75" s="369" t="str">
        <f t="shared" ca="1" si="53"/>
        <v/>
      </c>
      <c r="AB75" s="344"/>
      <c r="AC75" s="363" t="e">
        <f t="shared" ca="1" si="54"/>
        <v>#N/A</v>
      </c>
      <c r="AD75" s="376" t="e">
        <f t="shared" ca="1" si="55"/>
        <v>#N/A</v>
      </c>
      <c r="AE75" s="377">
        <f t="shared" ca="1" si="34"/>
        <v>19.597665123721825</v>
      </c>
      <c r="AF75" s="344"/>
      <c r="AG75" s="359">
        <f t="shared" ca="1" si="56"/>
        <v>81.727016521513548</v>
      </c>
      <c r="AH75" s="357">
        <f t="shared" ca="1" si="57"/>
        <v>91.358641419423591</v>
      </c>
    </row>
    <row r="76" spans="1:34" x14ac:dyDescent="0.25">
      <c r="A76" s="402">
        <f t="shared" ca="1" si="35"/>
        <v>0.01</v>
      </c>
      <c r="B76" s="357">
        <f t="shared" ca="1" si="36"/>
        <v>0.72000000000000042</v>
      </c>
      <c r="C76" s="342"/>
      <c r="D76" s="359">
        <f t="shared" ca="1" si="37"/>
        <v>17.368142006433796</v>
      </c>
      <c r="E76" s="360">
        <f t="shared" ca="1" si="38"/>
        <v>79.863567973010959</v>
      </c>
      <c r="F76" s="357">
        <f t="shared" ca="1" si="39"/>
        <v>81.730299437450938</v>
      </c>
      <c r="G76" s="359">
        <f t="shared" ca="1" si="40"/>
        <v>11.092474042814148</v>
      </c>
      <c r="H76" s="360">
        <f t="shared" ca="1" si="41"/>
        <v>57.173525525555938</v>
      </c>
      <c r="I76" s="357">
        <f t="shared" ca="1" si="42"/>
        <v>58.23963428295118</v>
      </c>
      <c r="J76" s="359">
        <f t="shared" ca="1" si="43"/>
        <v>3.7328622572600776</v>
      </c>
      <c r="K76" s="360">
        <f t="shared" ca="1" si="44"/>
        <v>20.165407200578734</v>
      </c>
      <c r="L76" s="357">
        <f t="shared" ca="1" si="29"/>
        <v>20.507996201404698</v>
      </c>
      <c r="M76" s="359">
        <f t="shared" ca="1" si="45"/>
        <v>1.3791629429528611</v>
      </c>
      <c r="N76" s="357">
        <f t="shared" ca="1" si="46"/>
        <v>79.020215892040866</v>
      </c>
      <c r="O76" s="343"/>
      <c r="P76" s="363">
        <f t="shared" ca="1" si="47"/>
        <v>6</v>
      </c>
      <c r="Q76" s="357">
        <f t="shared" ca="1" si="48"/>
        <v>1026.7491228070176</v>
      </c>
      <c r="R76" s="359">
        <f t="shared" ca="1" si="49"/>
        <v>0.51433175944434339</v>
      </c>
      <c r="S76" s="360">
        <f t="shared" ca="1" si="50"/>
        <v>11.140171122640501</v>
      </c>
      <c r="T76" s="357">
        <f t="shared" ca="1" si="30"/>
        <v>109.28507871310332</v>
      </c>
      <c r="U76" s="364">
        <f t="shared" ca="1" si="31"/>
        <v>0</v>
      </c>
      <c r="V76" s="359">
        <f t="shared" ca="1" si="32"/>
        <v>1.2225322258015086</v>
      </c>
      <c r="W76" s="357">
        <f t="shared" ca="1" si="33"/>
        <v>9.4688609041726615</v>
      </c>
      <c r="X76" s="343"/>
      <c r="Y76" s="367" t="str">
        <f t="shared" ca="1" si="51"/>
        <v/>
      </c>
      <c r="Z76" s="368" t="str">
        <f t="shared" ca="1" si="52"/>
        <v/>
      </c>
      <c r="AA76" s="369" t="str">
        <f t="shared" ca="1" si="53"/>
        <v/>
      </c>
      <c r="AB76" s="344"/>
      <c r="AC76" s="363" t="e">
        <f t="shared" ca="1" si="54"/>
        <v>#N/A</v>
      </c>
      <c r="AD76" s="376" t="e">
        <f t="shared" ca="1" si="55"/>
        <v>#N/A</v>
      </c>
      <c r="AE76" s="377">
        <f t="shared" ca="1" si="34"/>
        <v>20.165407200578734</v>
      </c>
      <c r="AF76" s="344"/>
      <c r="AG76" s="359">
        <f t="shared" ca="1" si="56"/>
        <v>81.709009915204931</v>
      </c>
      <c r="AH76" s="357">
        <f t="shared" ca="1" si="57"/>
        <v>91.340030379707386</v>
      </c>
    </row>
    <row r="77" spans="1:34" x14ac:dyDescent="0.25">
      <c r="A77" s="402">
        <f t="shared" ca="1" si="35"/>
        <v>0.01</v>
      </c>
      <c r="B77" s="357">
        <f t="shared" ca="1" si="36"/>
        <v>0.73000000000000043</v>
      </c>
      <c r="C77" s="342"/>
      <c r="D77" s="359">
        <f t="shared" ca="1" si="37"/>
        <v>17.391808135940853</v>
      </c>
      <c r="E77" s="360">
        <f t="shared" ca="1" si="38"/>
        <v>79.831948456029053</v>
      </c>
      <c r="F77" s="357">
        <f t="shared" ca="1" si="39"/>
        <v>81.70443674931893</v>
      </c>
      <c r="G77" s="359">
        <f t="shared" ca="1" si="40"/>
        <v>11.266392124173557</v>
      </c>
      <c r="H77" s="360">
        <f t="shared" ca="1" si="41"/>
        <v>57.971845010116226</v>
      </c>
      <c r="I77" s="357">
        <f t="shared" ca="1" si="42"/>
        <v>59.056467938512689</v>
      </c>
      <c r="J77" s="359">
        <f t="shared" ca="1" si="43"/>
        <v>3.8446565880950163</v>
      </c>
      <c r="K77" s="360">
        <f t="shared" ca="1" si="44"/>
        <v>20.741134053257095</v>
      </c>
      <c r="L77" s="357">
        <f t="shared" ca="1" si="29"/>
        <v>21.094454866043908</v>
      </c>
      <c r="M77" s="359">
        <f t="shared" ca="1" si="45"/>
        <v>1.3788465612730734</v>
      </c>
      <c r="N77" s="357">
        <f t="shared" ca="1" si="46"/>
        <v>79.002088557073762</v>
      </c>
      <c r="O77" s="343"/>
      <c r="P77" s="363">
        <f t="shared" ca="1" si="47"/>
        <v>6</v>
      </c>
      <c r="Q77" s="357">
        <f t="shared" ca="1" si="48"/>
        <v>1026.2473684210527</v>
      </c>
      <c r="R77" s="359">
        <f t="shared" ca="1" si="49"/>
        <v>0.51408041448537556</v>
      </c>
      <c r="S77" s="360">
        <f t="shared" ca="1" si="50"/>
        <v>11.135030318495646</v>
      </c>
      <c r="T77" s="357">
        <f t="shared" ca="1" si="30"/>
        <v>109.2346474244423</v>
      </c>
      <c r="U77" s="364">
        <f t="shared" ca="1" si="31"/>
        <v>0</v>
      </c>
      <c r="V77" s="359">
        <f t="shared" ca="1" si="32"/>
        <v>1.2224618432909038</v>
      </c>
      <c r="W77" s="357">
        <f t="shared" ca="1" si="33"/>
        <v>9.7357719649382339</v>
      </c>
      <c r="X77" s="343"/>
      <c r="Y77" s="367" t="str">
        <f t="shared" ca="1" si="51"/>
        <v/>
      </c>
      <c r="Z77" s="368" t="str">
        <f t="shared" ca="1" si="52"/>
        <v/>
      </c>
      <c r="AA77" s="369" t="str">
        <f t="shared" ca="1" si="53"/>
        <v/>
      </c>
      <c r="AB77" s="344"/>
      <c r="AC77" s="363" t="e">
        <f t="shared" ca="1" si="54"/>
        <v>#N/A</v>
      </c>
      <c r="AD77" s="376" t="e">
        <f t="shared" ca="1" si="55"/>
        <v>#N/A</v>
      </c>
      <c r="AE77" s="377">
        <f t="shared" ca="1" si="34"/>
        <v>20.741134053257095</v>
      </c>
      <c r="AF77" s="344"/>
      <c r="AG77" s="359">
        <f t="shared" ca="1" si="56"/>
        <v>81.683069986306066</v>
      </c>
      <c r="AH77" s="357">
        <f t="shared" ca="1" si="57"/>
        <v>91.313492503740918</v>
      </c>
    </row>
    <row r="78" spans="1:34" x14ac:dyDescent="0.25">
      <c r="A78" s="402">
        <f t="shared" ca="1" si="35"/>
        <v>0.01</v>
      </c>
      <c r="B78" s="357">
        <f t="shared" ca="1" si="36"/>
        <v>0.74000000000000044</v>
      </c>
      <c r="C78" s="342"/>
      <c r="D78" s="359">
        <f t="shared" ca="1" si="37"/>
        <v>17.415035231741232</v>
      </c>
      <c r="E78" s="360">
        <f t="shared" ca="1" si="38"/>
        <v>79.800028851563098</v>
      </c>
      <c r="F78" s="357">
        <f t="shared" ca="1" si="39"/>
        <v>81.678198173276883</v>
      </c>
      <c r="G78" s="359">
        <f t="shared" ca="1" si="40"/>
        <v>11.440542476490968</v>
      </c>
      <c r="H78" s="360">
        <f t="shared" ca="1" si="41"/>
        <v>58.769845298631857</v>
      </c>
      <c r="I78" s="357">
        <f t="shared" ca="1" si="42"/>
        <v>59.873038411137237</v>
      </c>
      <c r="J78" s="359">
        <f t="shared" ca="1" si="43"/>
        <v>3.9581912610983387</v>
      </c>
      <c r="K78" s="360">
        <f t="shared" ca="1" si="44"/>
        <v>21.324842504800834</v>
      </c>
      <c r="L78" s="357">
        <f t="shared" ca="1" si="29"/>
        <v>21.689079877071677</v>
      </c>
      <c r="M78" s="359">
        <f t="shared" ca="1" si="45"/>
        <v>1.3785339856467935</v>
      </c>
      <c r="N78" s="357">
        <f t="shared" ca="1" si="46"/>
        <v>78.984179292909275</v>
      </c>
      <c r="O78" s="343"/>
      <c r="P78" s="363">
        <f t="shared" ca="1" si="47"/>
        <v>6</v>
      </c>
      <c r="Q78" s="357">
        <f t="shared" ca="1" si="48"/>
        <v>1025.7456140350878</v>
      </c>
      <c r="R78" s="359">
        <f t="shared" ca="1" si="49"/>
        <v>0.51382906952640761</v>
      </c>
      <c r="S78" s="360">
        <f t="shared" ca="1" si="50"/>
        <v>11.129892027800382</v>
      </c>
      <c r="T78" s="357">
        <f t="shared" ca="1" si="30"/>
        <v>109.18424079272175</v>
      </c>
      <c r="U78" s="364">
        <f t="shared" ca="1" si="31"/>
        <v>0</v>
      </c>
      <c r="V78" s="359">
        <f t="shared" ca="1" si="32"/>
        <v>1.2223904891635422</v>
      </c>
      <c r="W78" s="357">
        <f t="shared" ca="1" si="33"/>
        <v>10.006281146398647</v>
      </c>
      <c r="X78" s="343"/>
      <c r="Y78" s="367" t="str">
        <f t="shared" ca="1" si="51"/>
        <v/>
      </c>
      <c r="Z78" s="368" t="str">
        <f t="shared" ca="1" si="52"/>
        <v/>
      </c>
      <c r="AA78" s="369" t="str">
        <f t="shared" ca="1" si="53"/>
        <v/>
      </c>
      <c r="AB78" s="344"/>
      <c r="AC78" s="363" t="e">
        <f t="shared" ca="1" si="54"/>
        <v>#N/A</v>
      </c>
      <c r="AD78" s="376" t="e">
        <f t="shared" ca="1" si="55"/>
        <v>#N/A</v>
      </c>
      <c r="AE78" s="377">
        <f t="shared" ca="1" si="34"/>
        <v>21.324842504800834</v>
      </c>
      <c r="AF78" s="344"/>
      <c r="AG78" s="359">
        <f t="shared" ca="1" si="56"/>
        <v>81.656754772120266</v>
      </c>
      <c r="AH78" s="357">
        <f t="shared" ca="1" si="57"/>
        <v>91.286585667888573</v>
      </c>
    </row>
    <row r="79" spans="1:34" x14ac:dyDescent="0.25">
      <c r="A79" s="402">
        <f t="shared" ca="1" si="35"/>
        <v>0.01</v>
      </c>
      <c r="B79" s="357">
        <f t="shared" ca="1" si="36"/>
        <v>0.75000000000000044</v>
      </c>
      <c r="C79" s="342"/>
      <c r="D79" s="359">
        <f t="shared" ca="1" si="37"/>
        <v>17.437832441306124</v>
      </c>
      <c r="E79" s="360">
        <f t="shared" ca="1" si="38"/>
        <v>79.767807785331144</v>
      </c>
      <c r="F79" s="357">
        <f t="shared" ca="1" si="39"/>
        <v>81.651583935209757</v>
      </c>
      <c r="G79" s="359">
        <f t="shared" ca="1" si="40"/>
        <v>11.614920800904029</v>
      </c>
      <c r="H79" s="360">
        <f t="shared" ca="1" si="41"/>
        <v>59.56752337648517</v>
      </c>
      <c r="I79" s="357">
        <f t="shared" ca="1" si="42"/>
        <v>60.689341950785561</v>
      </c>
      <c r="J79" s="359">
        <f t="shared" ca="1" si="43"/>
        <v>4.0734685774853139</v>
      </c>
      <c r="K79" s="360">
        <f t="shared" ca="1" si="44"/>
        <v>21.916529348176418</v>
      </c>
      <c r="L79" s="357">
        <f t="shared" ca="1" si="29"/>
        <v>22.291868582988695</v>
      </c>
      <c r="M79" s="359">
        <f t="shared" ca="1" si="45"/>
        <v>1.378225118365342</v>
      </c>
      <c r="N79" s="357">
        <f t="shared" ca="1" si="46"/>
        <v>78.966482501252429</v>
      </c>
      <c r="O79" s="343"/>
      <c r="P79" s="363">
        <f t="shared" ca="1" si="47"/>
        <v>6</v>
      </c>
      <c r="Q79" s="357">
        <f t="shared" ca="1" si="48"/>
        <v>1025.2438596491227</v>
      </c>
      <c r="R79" s="359">
        <f t="shared" ca="1" si="49"/>
        <v>0.51357772456743966</v>
      </c>
      <c r="S79" s="360">
        <f t="shared" ca="1" si="50"/>
        <v>11.124756250554707</v>
      </c>
      <c r="T79" s="357">
        <f t="shared" ca="1" si="30"/>
        <v>109.13385881794169</v>
      </c>
      <c r="U79" s="364">
        <f t="shared" ca="1" si="31"/>
        <v>0</v>
      </c>
      <c r="V79" s="359">
        <f t="shared" ca="1" si="32"/>
        <v>1.2223181639817386</v>
      </c>
      <c r="W79" s="357">
        <f t="shared" ca="1" si="33"/>
        <v>10.280382300497134</v>
      </c>
      <c r="X79" s="343"/>
      <c r="Y79" s="367" t="str">
        <f t="shared" ca="1" si="51"/>
        <v/>
      </c>
      <c r="Z79" s="368" t="str">
        <f t="shared" ca="1" si="52"/>
        <v/>
      </c>
      <c r="AA79" s="369" t="str">
        <f t="shared" ca="1" si="53"/>
        <v/>
      </c>
      <c r="AB79" s="344"/>
      <c r="AC79" s="363" t="e">
        <f t="shared" ca="1" si="54"/>
        <v>#N/A</v>
      </c>
      <c r="AD79" s="376" t="e">
        <f t="shared" ca="1" si="55"/>
        <v>#N/A</v>
      </c>
      <c r="AE79" s="377">
        <f t="shared" ca="1" si="34"/>
        <v>21.916529348176418</v>
      </c>
      <c r="AF79" s="344"/>
      <c r="AG79" s="359">
        <f t="shared" ca="1" si="56"/>
        <v>81.630064479715386</v>
      </c>
      <c r="AH79" s="357">
        <f t="shared" ca="1" si="57"/>
        <v>91.259309924395126</v>
      </c>
    </row>
    <row r="80" spans="1:34" x14ac:dyDescent="0.25">
      <c r="A80" s="402">
        <f t="shared" ca="1" si="35"/>
        <v>0.01</v>
      </c>
      <c r="B80" s="357">
        <f t="shared" ca="1" si="36"/>
        <v>0.76000000000000045</v>
      </c>
      <c r="C80" s="342"/>
      <c r="D80" s="359">
        <f t="shared" ca="1" si="37"/>
        <v>17.460208552639823</v>
      </c>
      <c r="E80" s="360">
        <f t="shared" ca="1" si="38"/>
        <v>79.735283945175695</v>
      </c>
      <c r="F80" s="357">
        <f t="shared" ca="1" si="39"/>
        <v>81.624594262510541</v>
      </c>
      <c r="G80" s="359">
        <f t="shared" ca="1" si="40"/>
        <v>11.789522886430428</v>
      </c>
      <c r="H80" s="360">
        <f t="shared" ca="1" si="41"/>
        <v>60.364876215936924</v>
      </c>
      <c r="I80" s="357">
        <f t="shared" ca="1" si="42"/>
        <v>61.505374809483556</v>
      </c>
      <c r="J80" s="359">
        <f t="shared" ca="1" si="43"/>
        <v>4.1904907959219866</v>
      </c>
      <c r="K80" s="360">
        <f t="shared" ca="1" si="44"/>
        <v>22.516191346138527</v>
      </c>
      <c r="L80" s="357">
        <f t="shared" ca="1" si="29"/>
        <v>22.902818294843765</v>
      </c>
      <c r="M80" s="359">
        <f t="shared" ca="1" si="45"/>
        <v>1.3779198654861078</v>
      </c>
      <c r="N80" s="357">
        <f t="shared" ca="1" si="46"/>
        <v>78.948992799588083</v>
      </c>
      <c r="O80" s="343"/>
      <c r="P80" s="363">
        <f t="shared" ca="1" si="47"/>
        <v>6</v>
      </c>
      <c r="Q80" s="357">
        <f t="shared" ca="1" si="48"/>
        <v>1024.7421052631578</v>
      </c>
      <c r="R80" s="359">
        <f t="shared" ca="1" si="49"/>
        <v>0.51332637960847183</v>
      </c>
      <c r="S80" s="360">
        <f t="shared" ca="1" si="50"/>
        <v>11.119622986758623</v>
      </c>
      <c r="T80" s="357">
        <f t="shared" ca="1" si="30"/>
        <v>109.0835015001021</v>
      </c>
      <c r="U80" s="364">
        <f t="shared" ca="1" si="31"/>
        <v>0</v>
      </c>
      <c r="V80" s="359">
        <f t="shared" ca="1" si="32"/>
        <v>1.2222448683137099</v>
      </c>
      <c r="W80" s="357">
        <f t="shared" ca="1" si="33"/>
        <v>10.558069197105032</v>
      </c>
      <c r="X80" s="343"/>
      <c r="Y80" s="367" t="str">
        <f t="shared" ca="1" si="51"/>
        <v/>
      </c>
      <c r="Z80" s="368" t="str">
        <f t="shared" ca="1" si="52"/>
        <v/>
      </c>
      <c r="AA80" s="369" t="str">
        <f t="shared" ca="1" si="53"/>
        <v/>
      </c>
      <c r="AB80" s="344"/>
      <c r="AC80" s="363" t="e">
        <f t="shared" ca="1" si="54"/>
        <v>#N/A</v>
      </c>
      <c r="AD80" s="376" t="e">
        <f t="shared" ca="1" si="55"/>
        <v>#N/A</v>
      </c>
      <c r="AE80" s="377">
        <f t="shared" ca="1" si="34"/>
        <v>22.516191346138527</v>
      </c>
      <c r="AF80" s="344"/>
      <c r="AG80" s="359">
        <f t="shared" ca="1" si="56"/>
        <v>81.602999318350825</v>
      </c>
      <c r="AH80" s="357">
        <f t="shared" ca="1" si="57"/>
        <v>91.231665333500388</v>
      </c>
    </row>
    <row r="81" spans="1:34" x14ac:dyDescent="0.25">
      <c r="A81" s="402">
        <f t="shared" ca="1" si="35"/>
        <v>0.01</v>
      </c>
      <c r="B81" s="357">
        <f t="shared" ca="1" si="36"/>
        <v>0.77000000000000046</v>
      </c>
      <c r="C81" s="342"/>
      <c r="D81" s="359">
        <f t="shared" ca="1" si="37"/>
        <v>17.482172013090768</v>
      </c>
      <c r="E81" s="360">
        <f t="shared" ca="1" si="38"/>
        <v>79.702456078319074</v>
      </c>
      <c r="F81" s="357">
        <f t="shared" ca="1" si="39"/>
        <v>81.597229384407868</v>
      </c>
      <c r="G81" s="359">
        <f t="shared" ca="1" si="40"/>
        <v>11.964344606561335</v>
      </c>
      <c r="H81" s="360">
        <f t="shared" ca="1" si="41"/>
        <v>61.161900776720117</v>
      </c>
      <c r="I81" s="357">
        <f t="shared" ca="1" si="42"/>
        <v>62.321133241348477</v>
      </c>
      <c r="J81" s="359">
        <f t="shared" ca="1" si="43"/>
        <v>4.3092601333869451</v>
      </c>
      <c r="K81" s="360">
        <f t="shared" ca="1" si="44"/>
        <v>23.123825231101812</v>
      </c>
      <c r="L81" s="357">
        <f t="shared" ca="1" si="29"/>
        <v>23.521926286249151</v>
      </c>
      <c r="M81" s="359">
        <f t="shared" ca="1" si="45"/>
        <v>1.3776181366395703</v>
      </c>
      <c r="N81" s="357">
        <f t="shared" ca="1" si="46"/>
        <v>78.931705010124134</v>
      </c>
      <c r="O81" s="343"/>
      <c r="P81" s="363">
        <f t="shared" ca="1" si="47"/>
        <v>6</v>
      </c>
      <c r="Q81" s="357">
        <f t="shared" ca="1" si="48"/>
        <v>1024.2403508771929</v>
      </c>
      <c r="R81" s="359">
        <f t="shared" ca="1" si="49"/>
        <v>0.51307503464950388</v>
      </c>
      <c r="S81" s="360">
        <f t="shared" ca="1" si="50"/>
        <v>11.114492236412127</v>
      </c>
      <c r="T81" s="357">
        <f t="shared" ca="1" si="30"/>
        <v>109.03316883920297</v>
      </c>
      <c r="U81" s="364">
        <f t="shared" ca="1" si="31"/>
        <v>0</v>
      </c>
      <c r="V81" s="359">
        <f t="shared" ca="1" si="32"/>
        <v>1.222170602733585</v>
      </c>
      <c r="W81" s="357">
        <f t="shared" ca="1" si="33"/>
        <v>10.839335524216649</v>
      </c>
      <c r="X81" s="343"/>
      <c r="Y81" s="367" t="str">
        <f t="shared" ca="1" si="51"/>
        <v/>
      </c>
      <c r="Z81" s="368" t="str">
        <f t="shared" ca="1" si="52"/>
        <v/>
      </c>
      <c r="AA81" s="369" t="str">
        <f t="shared" ca="1" si="53"/>
        <v/>
      </c>
      <c r="AB81" s="344"/>
      <c r="AC81" s="363" t="e">
        <f t="shared" ca="1" si="54"/>
        <v>#N/A</v>
      </c>
      <c r="AD81" s="376" t="e">
        <f t="shared" ca="1" si="55"/>
        <v>#N/A</v>
      </c>
      <c r="AE81" s="377">
        <f t="shared" ca="1" si="34"/>
        <v>23.123825231101812</v>
      </c>
      <c r="AF81" s="344"/>
      <c r="AG81" s="359">
        <f t="shared" ca="1" si="56"/>
        <v>81.575559499770776</v>
      </c>
      <c r="AH81" s="357">
        <f t="shared" ca="1" si="57"/>
        <v>91.203651963440024</v>
      </c>
    </row>
    <row r="82" spans="1:34" x14ac:dyDescent="0.25">
      <c r="A82" s="402">
        <f t="shared" ca="1" si="35"/>
        <v>0.01</v>
      </c>
      <c r="B82" s="357">
        <f t="shared" ca="1" si="36"/>
        <v>0.78000000000000047</v>
      </c>
      <c r="C82" s="342"/>
      <c r="D82" s="359">
        <f t="shared" ca="1" si="37"/>
        <v>17.503730946949247</v>
      </c>
      <c r="E82" s="360">
        <f t="shared" ca="1" si="38"/>
        <v>79.669322988792132</v>
      </c>
      <c r="F82" s="357">
        <f t="shared" ca="1" si="39"/>
        <v>81.569489532273465</v>
      </c>
      <c r="G82" s="359">
        <f t="shared" ca="1" si="40"/>
        <v>12.139381916030828</v>
      </c>
      <c r="H82" s="360">
        <f t="shared" ca="1" si="41"/>
        <v>61.958594006608038</v>
      </c>
      <c r="I82" s="357">
        <f t="shared" ca="1" si="42"/>
        <v>63.136613502617813</v>
      </c>
      <c r="J82" s="359">
        <f t="shared" ca="1" si="43"/>
        <v>4.4297787659999059</v>
      </c>
      <c r="K82" s="360">
        <f t="shared" ca="1" si="44"/>
        <v>23.739427705018453</v>
      </c>
      <c r="L82" s="357">
        <f t="shared" ca="1" si="29"/>
        <v>24.149189793396825</v>
      </c>
      <c r="M82" s="359">
        <f t="shared" ca="1" si="45"/>
        <v>1.3773198448485966</v>
      </c>
      <c r="N82" s="357">
        <f t="shared" ca="1" si="46"/>
        <v>78.914614149437938</v>
      </c>
      <c r="O82" s="343"/>
      <c r="P82" s="363">
        <f t="shared" ca="1" si="47"/>
        <v>6</v>
      </c>
      <c r="Q82" s="357">
        <f t="shared" ca="1" si="48"/>
        <v>1023.738596491228</v>
      </c>
      <c r="R82" s="359">
        <f t="shared" ca="1" si="49"/>
        <v>0.51282368969053604</v>
      </c>
      <c r="S82" s="360">
        <f t="shared" ca="1" si="50"/>
        <v>11.109363999515223</v>
      </c>
      <c r="T82" s="357">
        <f t="shared" ca="1" si="30"/>
        <v>108.98286083524434</v>
      </c>
      <c r="U82" s="364">
        <f t="shared" ca="1" si="31"/>
        <v>0</v>
      </c>
      <c r="V82" s="359">
        <f t="shared" ca="1" si="32"/>
        <v>1.2220953678214159</v>
      </c>
      <c r="W82" s="357">
        <f t="shared" ca="1" si="33"/>
        <v>11.124174888147486</v>
      </c>
      <c r="X82" s="343"/>
      <c r="Y82" s="367" t="str">
        <f t="shared" ca="1" si="51"/>
        <v/>
      </c>
      <c r="Z82" s="368" t="str">
        <f t="shared" ca="1" si="52"/>
        <v/>
      </c>
      <c r="AA82" s="369" t="str">
        <f t="shared" ca="1" si="53"/>
        <v/>
      </c>
      <c r="AB82" s="344"/>
      <c r="AC82" s="363" t="e">
        <f t="shared" ca="1" si="54"/>
        <v>#N/A</v>
      </c>
      <c r="AD82" s="376" t="e">
        <f t="shared" ca="1" si="55"/>
        <v>#N/A</v>
      </c>
      <c r="AE82" s="377">
        <f t="shared" ca="1" si="34"/>
        <v>23.739427705018453</v>
      </c>
      <c r="AF82" s="344"/>
      <c r="AG82" s="359">
        <f t="shared" ca="1" si="56"/>
        <v>81.547745238479223</v>
      </c>
      <c r="AH82" s="357">
        <f t="shared" ca="1" si="57"/>
        <v>91.175269890446572</v>
      </c>
    </row>
    <row r="83" spans="1:34" x14ac:dyDescent="0.25">
      <c r="A83" s="402">
        <f t="shared" ca="1" si="35"/>
        <v>0.01</v>
      </c>
      <c r="B83" s="357">
        <f t="shared" ca="1" si="36"/>
        <v>0.79000000000000048</v>
      </c>
      <c r="C83" s="342"/>
      <c r="D83" s="359">
        <f t="shared" ca="1" si="37"/>
        <v>17.524893171924454</v>
      </c>
      <c r="E83" s="360">
        <f t="shared" ca="1" si="38"/>
        <v>79.635883535021861</v>
      </c>
      <c r="F83" s="357">
        <f t="shared" ca="1" si="39"/>
        <v>81.541374939909673</v>
      </c>
      <c r="G83" s="359">
        <f t="shared" ca="1" si="40"/>
        <v>12.314630847750072</v>
      </c>
      <c r="H83" s="360">
        <f t="shared" ca="1" si="41"/>
        <v>62.754952841958257</v>
      </c>
      <c r="I83" s="357">
        <f t="shared" ca="1" si="42"/>
        <v>63.951811851680652</v>
      </c>
      <c r="J83" s="359">
        <f t="shared" ca="1" si="43"/>
        <v>4.5520488298188102</v>
      </c>
      <c r="K83" s="360">
        <f t="shared" ca="1" si="44"/>
        <v>24.362995439261287</v>
      </c>
      <c r="L83" s="357">
        <f t="shared" ca="1" si="29"/>
        <v>24.784606015075589</v>
      </c>
      <c r="M83" s="359">
        <f t="shared" ca="1" si="45"/>
        <v>1.3770249063590814</v>
      </c>
      <c r="N83" s="357">
        <f t="shared" ca="1" si="46"/>
        <v>78.897715418772762</v>
      </c>
      <c r="O83" s="343"/>
      <c r="P83" s="363">
        <f t="shared" ca="1" si="47"/>
        <v>6</v>
      </c>
      <c r="Q83" s="357">
        <f t="shared" ca="1" si="48"/>
        <v>1023.2368421052631</v>
      </c>
      <c r="R83" s="359">
        <f t="shared" ca="1" si="49"/>
        <v>0.5125723447315681</v>
      </c>
      <c r="S83" s="360">
        <f t="shared" ca="1" si="50"/>
        <v>11.104238276067907</v>
      </c>
      <c r="T83" s="357">
        <f t="shared" ca="1" si="30"/>
        <v>108.93257748822617</v>
      </c>
      <c r="U83" s="364">
        <f t="shared" ca="1" si="31"/>
        <v>0</v>
      </c>
      <c r="V83" s="359">
        <f t="shared" ca="1" si="32"/>
        <v>1.2220191641631857</v>
      </c>
      <c r="W83" s="357">
        <f t="shared" ca="1" si="33"/>
        <v>11.412580813735838</v>
      </c>
      <c r="X83" s="343"/>
      <c r="Y83" s="367" t="str">
        <f t="shared" ca="1" si="51"/>
        <v/>
      </c>
      <c r="Z83" s="368" t="str">
        <f t="shared" ca="1" si="52"/>
        <v/>
      </c>
      <c r="AA83" s="369" t="str">
        <f t="shared" ca="1" si="53"/>
        <v/>
      </c>
      <c r="AB83" s="344"/>
      <c r="AC83" s="363" t="e">
        <f t="shared" ca="1" si="54"/>
        <v>#N/A</v>
      </c>
      <c r="AD83" s="376" t="e">
        <f t="shared" ca="1" si="55"/>
        <v>#N/A</v>
      </c>
      <c r="AE83" s="377">
        <f t="shared" ca="1" si="34"/>
        <v>24.362995439261287</v>
      </c>
      <c r="AF83" s="344"/>
      <c r="AG83" s="359">
        <f t="shared" ca="1" si="56"/>
        <v>81.519556751997328</v>
      </c>
      <c r="AH83" s="357">
        <f t="shared" ca="1" si="57"/>
        <v>91.146519198749772</v>
      </c>
    </row>
    <row r="84" spans="1:34" x14ac:dyDescent="0.25">
      <c r="A84" s="402">
        <f t="shared" ca="1" si="35"/>
        <v>0.01</v>
      </c>
      <c r="B84" s="357">
        <f t="shared" ca="1" si="36"/>
        <v>0.80000000000000049</v>
      </c>
      <c r="C84" s="342"/>
      <c r="D84" s="359">
        <f t="shared" ca="1" si="37"/>
        <v>17.545666214585982</v>
      </c>
      <c r="E84" s="360">
        <f t="shared" ca="1" si="38"/>
        <v>79.602136627567219</v>
      </c>
      <c r="F84" s="357">
        <f t="shared" ca="1" si="39"/>
        <v>81.512885843819461</v>
      </c>
      <c r="G84" s="359">
        <f t="shared" ca="1" si="40"/>
        <v>12.490087509895933</v>
      </c>
      <c r="H84" s="360">
        <f t="shared" ca="1" si="41"/>
        <v>63.550974208233932</v>
      </c>
      <c r="I84" s="357">
        <f t="shared" ca="1" si="42"/>
        <v>64.76672454911143</v>
      </c>
      <c r="J84" s="359">
        <f t="shared" ca="1" si="43"/>
        <v>4.6760724216070404</v>
      </c>
      <c r="K84" s="360">
        <f t="shared" ca="1" si="44"/>
        <v>24.994525074512246</v>
      </c>
      <c r="L84" s="357">
        <f t="shared" ca="1" si="29"/>
        <v>25.428172112689015</v>
      </c>
      <c r="M84" s="359">
        <f t="shared" ca="1" si="45"/>
        <v>1.3767332404810861</v>
      </c>
      <c r="N84" s="357">
        <f t="shared" ca="1" si="46"/>
        <v>78.881004194935656</v>
      </c>
      <c r="O84" s="343"/>
      <c r="P84" s="363">
        <f t="shared" ca="1" si="47"/>
        <v>6</v>
      </c>
      <c r="Q84" s="357">
        <f t="shared" ca="1" si="48"/>
        <v>1022.7350877192982</v>
      </c>
      <c r="R84" s="359">
        <f t="shared" ca="1" si="49"/>
        <v>0.51232099977260026</v>
      </c>
      <c r="S84" s="360">
        <f t="shared" ca="1" si="50"/>
        <v>11.099115066070182</v>
      </c>
      <c r="T84" s="357">
        <f t="shared" ca="1" si="30"/>
        <v>108.88231879814849</v>
      </c>
      <c r="U84" s="364">
        <f t="shared" ca="1" si="31"/>
        <v>0</v>
      </c>
      <c r="V84" s="359">
        <f t="shared" ca="1" si="32"/>
        <v>1.2219419923508157</v>
      </c>
      <c r="W84" s="357">
        <f t="shared" ca="1" si="33"/>
        <v>11.704546744547805</v>
      </c>
      <c r="X84" s="343"/>
      <c r="Y84" s="367" t="str">
        <f t="shared" ca="1" si="51"/>
        <v/>
      </c>
      <c r="Z84" s="368" t="str">
        <f t="shared" ca="1" si="52"/>
        <v/>
      </c>
      <c r="AA84" s="369" t="str">
        <f t="shared" ca="1" si="53"/>
        <v/>
      </c>
      <c r="AB84" s="344"/>
      <c r="AC84" s="363" t="e">
        <f t="shared" ca="1" si="54"/>
        <v>#N/A</v>
      </c>
      <c r="AD84" s="376" t="e">
        <f t="shared" ca="1" si="55"/>
        <v>#N/A</v>
      </c>
      <c r="AE84" s="377">
        <f t="shared" ca="1" si="34"/>
        <v>24.994525074512246</v>
      </c>
      <c r="AF84" s="344"/>
      <c r="AG84" s="359">
        <f t="shared" ca="1" si="56"/>
        <v>81.490994261104845</v>
      </c>
      <c r="AH84" s="357">
        <f t="shared" ca="1" si="57"/>
        <v>91.117399980576764</v>
      </c>
    </row>
    <row r="85" spans="1:34" x14ac:dyDescent="0.25">
      <c r="A85" s="402">
        <f t="shared" ca="1" si="35"/>
        <v>0.01</v>
      </c>
      <c r="B85" s="357">
        <f t="shared" ca="1" si="36"/>
        <v>0.8100000000000005</v>
      </c>
      <c r="C85" s="342"/>
      <c r="D85" s="359">
        <f t="shared" ca="1" si="37"/>
        <v>17.56605732484697</v>
      </c>
      <c r="E85" s="360">
        <f t="shared" ca="1" si="38"/>
        <v>79.568081226991353</v>
      </c>
      <c r="F85" s="357">
        <f t="shared" ca="1" si="39"/>
        <v>81.484022483459327</v>
      </c>
      <c r="G85" s="359">
        <f t="shared" ca="1" si="40"/>
        <v>12.665748083144402</v>
      </c>
      <c r="H85" s="360">
        <f t="shared" ca="1" si="41"/>
        <v>64.346655020503846</v>
      </c>
      <c r="I85" s="357">
        <f t="shared" ca="1" si="42"/>
        <v>65.581347857705765</v>
      </c>
      <c r="J85" s="359">
        <f t="shared" ca="1" si="43"/>
        <v>4.8018515995722417</v>
      </c>
      <c r="K85" s="360">
        <f t="shared" ca="1" si="44"/>
        <v>25.634013220655934</v>
      </c>
      <c r="L85" s="357">
        <f t="shared" ca="1" si="29"/>
        <v>26.079885210274178</v>
      </c>
      <c r="M85" s="359">
        <f t="shared" ca="1" si="45"/>
        <v>1.3764447694397013</v>
      </c>
      <c r="N85" s="357">
        <f t="shared" ca="1" si="46"/>
        <v>78.864476021752552</v>
      </c>
      <c r="O85" s="343"/>
      <c r="P85" s="363">
        <f t="shared" ca="1" si="47"/>
        <v>6</v>
      </c>
      <c r="Q85" s="357">
        <f t="shared" ca="1" si="48"/>
        <v>1022.2333333333333</v>
      </c>
      <c r="R85" s="359">
        <f t="shared" ca="1" si="49"/>
        <v>0.51206965481363242</v>
      </c>
      <c r="S85" s="360">
        <f t="shared" ca="1" si="50"/>
        <v>11.093994369522045</v>
      </c>
      <c r="T85" s="357">
        <f t="shared" ca="1" si="30"/>
        <v>108.83208476501127</v>
      </c>
      <c r="U85" s="364">
        <f t="shared" ca="1" si="31"/>
        <v>0</v>
      </c>
      <c r="V85" s="359">
        <f t="shared" ca="1" si="32"/>
        <v>1.2218638529821755</v>
      </c>
      <c r="W85" s="357">
        <f t="shared" ca="1" si="33"/>
        <v>12.000066043085704</v>
      </c>
      <c r="X85" s="343"/>
      <c r="Y85" s="367" t="str">
        <f t="shared" ca="1" si="51"/>
        <v/>
      </c>
      <c r="Z85" s="368" t="str">
        <f t="shared" ca="1" si="52"/>
        <v/>
      </c>
      <c r="AA85" s="369" t="str">
        <f t="shared" ca="1" si="53"/>
        <v/>
      </c>
      <c r="AB85" s="344"/>
      <c r="AC85" s="363" t="e">
        <f t="shared" ca="1" si="54"/>
        <v>#N/A</v>
      </c>
      <c r="AD85" s="376" t="e">
        <f t="shared" ca="1" si="55"/>
        <v>#N/A</v>
      </c>
      <c r="AE85" s="377">
        <f t="shared" ca="1" si="34"/>
        <v>25.634013220655934</v>
      </c>
      <c r="AF85" s="344"/>
      <c r="AG85" s="359">
        <f t="shared" ca="1" si="56"/>
        <v>81.462057990066469</v>
      </c>
      <c r="AH85" s="357">
        <f t="shared" ca="1" si="57"/>
        <v>91.087912336151788</v>
      </c>
    </row>
    <row r="86" spans="1:34" x14ac:dyDescent="0.25">
      <c r="A86" s="402">
        <f t="shared" ca="1" si="35"/>
        <v>0.01</v>
      </c>
      <c r="B86" s="357">
        <f t="shared" ca="1" si="36"/>
        <v>0.82000000000000051</v>
      </c>
      <c r="C86" s="342"/>
      <c r="D86" s="359">
        <f t="shared" ca="1" si="37"/>
        <v>17.586073489559691</v>
      </c>
      <c r="E86" s="360">
        <f t="shared" ca="1" si="38"/>
        <v>79.533716341861165</v>
      </c>
      <c r="F86" s="357">
        <f t="shared" ca="1" si="39"/>
        <v>81.454785101477171</v>
      </c>
      <c r="G86" s="359">
        <f t="shared" ca="1" si="40"/>
        <v>12.841608818039999</v>
      </c>
      <c r="H86" s="360">
        <f t="shared" ca="1" si="41"/>
        <v>65.141992183922454</v>
      </c>
      <c r="I86" s="357">
        <f t="shared" ca="1" si="42"/>
        <v>66.395678042518526</v>
      </c>
      <c r="J86" s="359">
        <f t="shared" ca="1" si="43"/>
        <v>4.9293883840781634</v>
      </c>
      <c r="K86" s="360">
        <f t="shared" ca="1" si="44"/>
        <v>26.281456456678065</v>
      </c>
      <c r="L86" s="357">
        <f t="shared" ca="1" si="29"/>
        <v>26.739742394521116</v>
      </c>
      <c r="M86" s="359">
        <f t="shared" ca="1" si="45"/>
        <v>1.3761594182349246</v>
      </c>
      <c r="N86" s="357">
        <f t="shared" ca="1" si="46"/>
        <v>78.848126602039883</v>
      </c>
      <c r="O86" s="343"/>
      <c r="P86" s="363">
        <f t="shared" ca="1" si="47"/>
        <v>6</v>
      </c>
      <c r="Q86" s="357">
        <f t="shared" ca="1" si="48"/>
        <v>1021.7315789473683</v>
      </c>
      <c r="R86" s="359">
        <f t="shared" ca="1" si="49"/>
        <v>0.51181830985466448</v>
      </c>
      <c r="S86" s="360">
        <f t="shared" ca="1" si="50"/>
        <v>11.088876186423498</v>
      </c>
      <c r="T86" s="357">
        <f t="shared" ca="1" si="30"/>
        <v>108.78187538881453</v>
      </c>
      <c r="U86" s="364">
        <f t="shared" ca="1" si="31"/>
        <v>0</v>
      </c>
      <c r="V86" s="359">
        <f t="shared" ca="1" si="32"/>
        <v>1.2217847466610881</v>
      </c>
      <c r="W86" s="357">
        <f t="shared" ca="1" si="33"/>
        <v>12.299131990999928</v>
      </c>
      <c r="X86" s="343"/>
      <c r="Y86" s="367" t="str">
        <f t="shared" ca="1" si="51"/>
        <v/>
      </c>
      <c r="Z86" s="368" t="str">
        <f t="shared" ca="1" si="52"/>
        <v/>
      </c>
      <c r="AA86" s="369" t="str">
        <f t="shared" ca="1" si="53"/>
        <v/>
      </c>
      <c r="AB86" s="344"/>
      <c r="AC86" s="363" t="e">
        <f t="shared" ca="1" si="54"/>
        <v>#N/A</v>
      </c>
      <c r="AD86" s="376" t="e">
        <f t="shared" ca="1" si="55"/>
        <v>#N/A</v>
      </c>
      <c r="AE86" s="377">
        <f t="shared" ca="1" si="34"/>
        <v>26.281456456678065</v>
      </c>
      <c r="AF86" s="344"/>
      <c r="AG86" s="359">
        <f t="shared" ca="1" si="56"/>
        <v>81.432748166844448</v>
      </c>
      <c r="AH86" s="357">
        <f t="shared" ca="1" si="57"/>
        <v>91.058056373695706</v>
      </c>
    </row>
    <row r="87" spans="1:34" x14ac:dyDescent="0.25">
      <c r="A87" s="402">
        <f t="shared" ca="1" si="35"/>
        <v>0.01</v>
      </c>
      <c r="B87" s="357">
        <f t="shared" ca="1" si="36"/>
        <v>0.83000000000000052</v>
      </c>
      <c r="C87" s="342"/>
      <c r="D87" s="359">
        <f t="shared" ca="1" si="37"/>
        <v>17.605721445288186</v>
      </c>
      <c r="E87" s="360">
        <f t="shared" ca="1" si="38"/>
        <v>79.499041026864475</v>
      </c>
      <c r="F87" s="357">
        <f t="shared" ca="1" si="39"/>
        <v>81.425173943935562</v>
      </c>
      <c r="G87" s="359">
        <f t="shared" ca="1" si="40"/>
        <v>13.017666032492881</v>
      </c>
      <c r="H87" s="360">
        <f t="shared" ca="1" si="41"/>
        <v>65.936982594191093</v>
      </c>
      <c r="I87" s="357">
        <f t="shared" ca="1" si="42"/>
        <v>67.209711370903662</v>
      </c>
      <c r="J87" s="359">
        <f t="shared" ca="1" si="43"/>
        <v>5.0586847583308279</v>
      </c>
      <c r="K87" s="360">
        <f t="shared" ca="1" si="44"/>
        <v>26.936851330568633</v>
      </c>
      <c r="L87" s="357">
        <f t="shared" ca="1" si="29"/>
        <v>27.407740714793068</v>
      </c>
      <c r="M87" s="359">
        <f t="shared" ca="1" si="45"/>
        <v>1.3758771145099047</v>
      </c>
      <c r="N87" s="357">
        <f t="shared" ca="1" si="46"/>
        <v>78.831951790055413</v>
      </c>
      <c r="O87" s="343"/>
      <c r="P87" s="363">
        <f t="shared" ca="1" si="47"/>
        <v>6</v>
      </c>
      <c r="Q87" s="357">
        <f t="shared" ca="1" si="48"/>
        <v>1021.2298245614035</v>
      </c>
      <c r="R87" s="359">
        <f t="shared" ca="1" si="49"/>
        <v>0.51156696489569653</v>
      </c>
      <c r="S87" s="360">
        <f t="shared" ca="1" si="50"/>
        <v>11.083760516774541</v>
      </c>
      <c r="T87" s="357">
        <f t="shared" ca="1" si="30"/>
        <v>108.73169066955826</v>
      </c>
      <c r="U87" s="364">
        <f t="shared" ca="1" si="31"/>
        <v>0</v>
      </c>
      <c r="V87" s="359">
        <f t="shared" ca="1" si="32"/>
        <v>1.2217046739973367</v>
      </c>
      <c r="W87" s="357">
        <f t="shared" ca="1" si="33"/>
        <v>12.601737789304201</v>
      </c>
      <c r="X87" s="343"/>
      <c r="Y87" s="367" t="str">
        <f t="shared" ca="1" si="51"/>
        <v/>
      </c>
      <c r="Z87" s="368" t="str">
        <f t="shared" ca="1" si="52"/>
        <v/>
      </c>
      <c r="AA87" s="369" t="str">
        <f t="shared" ca="1" si="53"/>
        <v/>
      </c>
      <c r="AB87" s="344"/>
      <c r="AC87" s="363" t="e">
        <f t="shared" ca="1" si="54"/>
        <v>#N/A</v>
      </c>
      <c r="AD87" s="376" t="e">
        <f t="shared" ca="1" si="55"/>
        <v>#N/A</v>
      </c>
      <c r="AE87" s="377">
        <f t="shared" ca="1" si="34"/>
        <v>26.936851330568633</v>
      </c>
      <c r="AF87" s="344"/>
      <c r="AG87" s="359">
        <f t="shared" ca="1" si="56"/>
        <v>81.403065023298154</v>
      </c>
      <c r="AH87" s="357">
        <f t="shared" ca="1" si="57"/>
        <v>91.027832209425071</v>
      </c>
    </row>
    <row r="88" spans="1:34" x14ac:dyDescent="0.25">
      <c r="A88" s="402">
        <f t="shared" ca="1" si="35"/>
        <v>0.01</v>
      </c>
      <c r="B88" s="357">
        <f t="shared" ca="1" si="36"/>
        <v>0.84000000000000052</v>
      </c>
      <c r="C88" s="342"/>
      <c r="D88" s="359">
        <f t="shared" ca="1" si="37"/>
        <v>17.625007690317432</v>
      </c>
      <c r="E88" s="360">
        <f t="shared" ca="1" si="38"/>
        <v>79.46405438103676</v>
      </c>
      <c r="F88" s="357">
        <f t="shared" ca="1" si="39"/>
        <v>81.395189260521505</v>
      </c>
      <c r="G88" s="359">
        <f t="shared" ca="1" si="40"/>
        <v>13.193916109396056</v>
      </c>
      <c r="H88" s="360">
        <f t="shared" ca="1" si="41"/>
        <v>66.731623138001467</v>
      </c>
      <c r="I88" s="357">
        <f t="shared" ca="1" si="42"/>
        <v>68.023444112556035</v>
      </c>
      <c r="J88" s="359">
        <f t="shared" ca="1" si="43"/>
        <v>5.1897426690402728</v>
      </c>
      <c r="K88" s="360">
        <f t="shared" ca="1" si="44"/>
        <v>27.600194359229597</v>
      </c>
      <c r="L88" s="357">
        <f t="shared" ca="1" si="29"/>
        <v>28.08387718314739</v>
      </c>
      <c r="M88" s="359">
        <f t="shared" ca="1" si="45"/>
        <v>1.3755977884269588</v>
      </c>
      <c r="N88" s="357">
        <f t="shared" ca="1" si="46"/>
        <v>78.815947584394692</v>
      </c>
      <c r="O88" s="343"/>
      <c r="P88" s="363">
        <f t="shared" ca="1" si="47"/>
        <v>6</v>
      </c>
      <c r="Q88" s="357">
        <f t="shared" ca="1" si="48"/>
        <v>1020.7280701754386</v>
      </c>
      <c r="R88" s="359">
        <f t="shared" ca="1" si="49"/>
        <v>0.51131561993672869</v>
      </c>
      <c r="S88" s="360">
        <f t="shared" ca="1" si="50"/>
        <v>11.078647360575173</v>
      </c>
      <c r="T88" s="357">
        <f t="shared" ca="1" si="30"/>
        <v>108.68153060724245</v>
      </c>
      <c r="U88" s="364">
        <f t="shared" ca="1" si="31"/>
        <v>0</v>
      </c>
      <c r="V88" s="359">
        <f t="shared" ca="1" si="32"/>
        <v>1.2216236356066685</v>
      </c>
      <c r="W88" s="357">
        <f t="shared" ca="1" si="33"/>
        <v>12.907876558594308</v>
      </c>
      <c r="X88" s="343"/>
      <c r="Y88" s="367" t="str">
        <f t="shared" ca="1" si="51"/>
        <v/>
      </c>
      <c r="Z88" s="368" t="str">
        <f t="shared" ca="1" si="52"/>
        <v/>
      </c>
      <c r="AA88" s="369" t="str">
        <f t="shared" ca="1" si="53"/>
        <v/>
      </c>
      <c r="AB88" s="344"/>
      <c r="AC88" s="363" t="e">
        <f t="shared" ca="1" si="54"/>
        <v>#N/A</v>
      </c>
      <c r="AD88" s="376" t="e">
        <f t="shared" ca="1" si="55"/>
        <v>#N/A</v>
      </c>
      <c r="AE88" s="377">
        <f t="shared" ca="1" si="34"/>
        <v>27.600194359229597</v>
      </c>
      <c r="AF88" s="344"/>
      <c r="AG88" s="359">
        <f t="shared" ca="1" si="56"/>
        <v>81.373008795371831</v>
      </c>
      <c r="AH88" s="357">
        <f t="shared" ca="1" si="57"/>
        <v>90.997239967550982</v>
      </c>
    </row>
    <row r="89" spans="1:34" x14ac:dyDescent="0.25">
      <c r="A89" s="402">
        <f t="shared" ca="1" si="35"/>
        <v>0.01</v>
      </c>
      <c r="B89" s="357">
        <f t="shared" ca="1" si="36"/>
        <v>0.85000000000000053</v>
      </c>
      <c r="C89" s="342"/>
      <c r="D89" s="359">
        <f t="shared" ca="1" si="37"/>
        <v>17.643938495952924</v>
      </c>
      <c r="E89" s="360">
        <f t="shared" ca="1" si="38"/>
        <v>79.428755546089548</v>
      </c>
      <c r="F89" s="357">
        <f t="shared" ca="1" si="39"/>
        <v>81.364831304743817</v>
      </c>
      <c r="G89" s="359">
        <f t="shared" ca="1" si="40"/>
        <v>13.370355494355586</v>
      </c>
      <c r="H89" s="360">
        <f t="shared" ca="1" si="41"/>
        <v>67.525910693462365</v>
      </c>
      <c r="I89" s="357">
        <f t="shared" ca="1" si="42"/>
        <v>68.83687253955469</v>
      </c>
      <c r="J89" s="359">
        <f t="shared" ca="1" si="43"/>
        <v>5.3225640270590313</v>
      </c>
      <c r="K89" s="360">
        <f t="shared" ca="1" si="44"/>
        <v>28.271482028386917</v>
      </c>
      <c r="L89" s="357">
        <f t="shared" ca="1" si="29"/>
        <v>28.768148774357158</v>
      </c>
      <c r="M89" s="359">
        <f t="shared" ca="1" si="45"/>
        <v>1.3753213725508147</v>
      </c>
      <c r="N89" s="357">
        <f t="shared" ca="1" si="46"/>
        <v>78.80011012130123</v>
      </c>
      <c r="O89" s="343"/>
      <c r="P89" s="363">
        <f t="shared" ca="1" si="47"/>
        <v>6</v>
      </c>
      <c r="Q89" s="357">
        <f t="shared" ca="1" si="48"/>
        <v>1020.2263157894737</v>
      </c>
      <c r="R89" s="359">
        <f t="shared" ca="1" si="49"/>
        <v>0.51106427497776075</v>
      </c>
      <c r="S89" s="360">
        <f t="shared" ca="1" si="50"/>
        <v>11.073536717825396</v>
      </c>
      <c r="T89" s="357">
        <f t="shared" ca="1" si="30"/>
        <v>108.63139520186715</v>
      </c>
      <c r="U89" s="364">
        <f t="shared" ca="1" si="31"/>
        <v>0</v>
      </c>
      <c r="V89" s="359">
        <f t="shared" ca="1" si="32"/>
        <v>1.2215416321108041</v>
      </c>
      <c r="W89" s="357">
        <f t="shared" ca="1" si="33"/>
        <v>13.21754133927025</v>
      </c>
      <c r="X89" s="343"/>
      <c r="Y89" s="367" t="str">
        <f t="shared" ca="1" si="51"/>
        <v/>
      </c>
      <c r="Z89" s="368" t="str">
        <f t="shared" ca="1" si="52"/>
        <v/>
      </c>
      <c r="AA89" s="369" t="str">
        <f t="shared" ca="1" si="53"/>
        <v/>
      </c>
      <c r="AB89" s="344"/>
      <c r="AC89" s="363" t="e">
        <f t="shared" ca="1" si="54"/>
        <v>#N/A</v>
      </c>
      <c r="AD89" s="376" t="e">
        <f t="shared" ca="1" si="55"/>
        <v>#N/A</v>
      </c>
      <c r="AE89" s="377">
        <f t="shared" ca="1" si="34"/>
        <v>28.271482028386917</v>
      </c>
      <c r="AF89" s="344"/>
      <c r="AG89" s="359">
        <f t="shared" ca="1" si="56"/>
        <v>81.342579723270703</v>
      </c>
      <c r="AH89" s="357">
        <f t="shared" ca="1" si="57"/>
        <v>90.966279780277361</v>
      </c>
    </row>
    <row r="90" spans="1:34" x14ac:dyDescent="0.25">
      <c r="A90" s="402">
        <f t="shared" ca="1" si="35"/>
        <v>0.01</v>
      </c>
      <c r="B90" s="357">
        <f t="shared" ca="1" si="36"/>
        <v>0.86000000000000054</v>
      </c>
      <c r="C90" s="342"/>
      <c r="D90" s="359">
        <f t="shared" ca="1" si="37"/>
        <v>17.66251991716106</v>
      </c>
      <c r="E90" s="360">
        <f t="shared" ca="1" si="38"/>
        <v>79.393143704833946</v>
      </c>
      <c r="F90" s="357">
        <f t="shared" ca="1" si="39"/>
        <v>81.334100334118929</v>
      </c>
      <c r="G90" s="359">
        <f t="shared" ca="1" si="40"/>
        <v>13.546980693527196</v>
      </c>
      <c r="H90" s="360">
        <f t="shared" ca="1" si="41"/>
        <v>68.319842130510708</v>
      </c>
      <c r="I90" s="357">
        <f t="shared" ca="1" si="42"/>
        <v>69.649992926408146</v>
      </c>
      <c r="J90" s="359">
        <f t="shared" ca="1" si="43"/>
        <v>5.4571507079984451</v>
      </c>
      <c r="K90" s="360">
        <f t="shared" ca="1" si="44"/>
        <v>28.950710792506783</v>
      </c>
      <c r="L90" s="357">
        <f t="shared" ca="1" si="29"/>
        <v>29.460552425933507</v>
      </c>
      <c r="M90" s="359">
        <f t="shared" ca="1" si="45"/>
        <v>1.3750478017385805</v>
      </c>
      <c r="N90" s="357">
        <f t="shared" ca="1" si="46"/>
        <v>78.784435668362249</v>
      </c>
      <c r="O90" s="343"/>
      <c r="P90" s="363">
        <f t="shared" ca="1" si="47"/>
        <v>6</v>
      </c>
      <c r="Q90" s="357">
        <f t="shared" ca="1" si="48"/>
        <v>1019.7245614035087</v>
      </c>
      <c r="R90" s="359">
        <f t="shared" ca="1" si="49"/>
        <v>0.51081293001879291</v>
      </c>
      <c r="S90" s="360">
        <f t="shared" ca="1" si="50"/>
        <v>11.068428588525208</v>
      </c>
      <c r="T90" s="357">
        <f t="shared" ca="1" si="30"/>
        <v>108.5812844534323</v>
      </c>
      <c r="U90" s="364">
        <f t="shared" ca="1" si="31"/>
        <v>0</v>
      </c>
      <c r="V90" s="359">
        <f t="shared" ca="1" si="32"/>
        <v>1.221458664137437</v>
      </c>
      <c r="W90" s="357">
        <f t="shared" ca="1" si="33"/>
        <v>13.530725091761902</v>
      </c>
      <c r="X90" s="343"/>
      <c r="Y90" s="367" t="str">
        <f t="shared" ca="1" si="51"/>
        <v/>
      </c>
      <c r="Z90" s="368" t="str">
        <f t="shared" ca="1" si="52"/>
        <v/>
      </c>
      <c r="AA90" s="369" t="str">
        <f t="shared" ca="1" si="53"/>
        <v/>
      </c>
      <c r="AB90" s="344"/>
      <c r="AC90" s="363" t="e">
        <f t="shared" ca="1" si="54"/>
        <v>#N/A</v>
      </c>
      <c r="AD90" s="376" t="e">
        <f t="shared" ca="1" si="55"/>
        <v>#N/A</v>
      </c>
      <c r="AE90" s="377">
        <f t="shared" ca="1" si="34"/>
        <v>28.950710792506783</v>
      </c>
      <c r="AF90" s="344"/>
      <c r="AG90" s="359">
        <f t="shared" ca="1" si="56"/>
        <v>81.311778051627172</v>
      </c>
      <c r="AH90" s="357">
        <f t="shared" ca="1" si="57"/>
        <v>90.934951787799221</v>
      </c>
    </row>
    <row r="91" spans="1:34" x14ac:dyDescent="0.25">
      <c r="A91" s="402">
        <f t="shared" ca="1" si="35"/>
        <v>0.01</v>
      </c>
      <c r="B91" s="357">
        <f t="shared" ca="1" si="36"/>
        <v>0.87000000000000055</v>
      </c>
      <c r="C91" s="342"/>
      <c r="D91" s="359">
        <f t="shared" ca="1" si="37"/>
        <v>17.680757802595494</v>
      </c>
      <c r="E91" s="360">
        <f t="shared" ca="1" si="38"/>
        <v>79.357218079692188</v>
      </c>
      <c r="F91" s="357">
        <f t="shared" ca="1" si="39"/>
        <v>81.302996610345588</v>
      </c>
      <c r="G91" s="359">
        <f t="shared" ca="1" si="40"/>
        <v>13.723788271553151</v>
      </c>
      <c r="H91" s="360">
        <f t="shared" ca="1" si="41"/>
        <v>69.113414311307636</v>
      </c>
      <c r="I91" s="357">
        <f t="shared" ca="1" si="42"/>
        <v>70.462801550100778</v>
      </c>
      <c r="J91" s="359">
        <f t="shared" ca="1" si="43"/>
        <v>5.5935045528238465</v>
      </c>
      <c r="K91" s="360">
        <f t="shared" ca="1" si="44"/>
        <v>29.637877074715874</v>
      </c>
      <c r="L91" s="357">
        <f t="shared" ca="1" si="29"/>
        <v>30.161085038148574</v>
      </c>
      <c r="M91" s="359">
        <f t="shared" ca="1" si="45"/>
        <v>1.3747770130359751</v>
      </c>
      <c r="N91" s="357">
        <f t="shared" ca="1" si="46"/>
        <v>78.768920618563129</v>
      </c>
      <c r="O91" s="343"/>
      <c r="P91" s="363">
        <f t="shared" ca="1" si="47"/>
        <v>6</v>
      </c>
      <c r="Q91" s="357">
        <f t="shared" ca="1" si="48"/>
        <v>1019.2228070175438</v>
      </c>
      <c r="R91" s="359">
        <f t="shared" ca="1" si="49"/>
        <v>0.51056158505982496</v>
      </c>
      <c r="S91" s="360">
        <f t="shared" ca="1" si="50"/>
        <v>11.063322972674611</v>
      </c>
      <c r="T91" s="357">
        <f t="shared" ca="1" si="30"/>
        <v>108.53119836193794</v>
      </c>
      <c r="U91" s="364">
        <f t="shared" ca="1" si="31"/>
        <v>0</v>
      </c>
      <c r="V91" s="359">
        <f t="shared" ca="1" si="32"/>
        <v>1.2213747323202404</v>
      </c>
      <c r="W91" s="357">
        <f t="shared" ca="1" si="33"/>
        <v>13.847420696758057</v>
      </c>
      <c r="X91" s="343"/>
      <c r="Y91" s="367" t="str">
        <f t="shared" ca="1" si="51"/>
        <v/>
      </c>
      <c r="Z91" s="368" t="str">
        <f t="shared" ca="1" si="52"/>
        <v/>
      </c>
      <c r="AA91" s="369" t="str">
        <f t="shared" ca="1" si="53"/>
        <v/>
      </c>
      <c r="AB91" s="344"/>
      <c r="AC91" s="363" t="e">
        <f t="shared" ca="1" si="54"/>
        <v>#N/A</v>
      </c>
      <c r="AD91" s="376" t="e">
        <f t="shared" ca="1" si="55"/>
        <v>#N/A</v>
      </c>
      <c r="AE91" s="377">
        <f t="shared" ca="1" si="34"/>
        <v>29.637877074715874</v>
      </c>
      <c r="AF91" s="344"/>
      <c r="AG91" s="359">
        <f t="shared" ca="1" si="56"/>
        <v>81.280604029656729</v>
      </c>
      <c r="AH91" s="357">
        <f t="shared" ca="1" si="57"/>
        <v>90.903256138300279</v>
      </c>
    </row>
    <row r="92" spans="1:34" x14ac:dyDescent="0.25">
      <c r="A92" s="402">
        <f t="shared" ca="1" si="35"/>
        <v>0.01</v>
      </c>
      <c r="B92" s="357">
        <f t="shared" ca="1" si="36"/>
        <v>0.88000000000000056</v>
      </c>
      <c r="C92" s="342"/>
      <c r="D92" s="359">
        <f t="shared" ca="1" si="37"/>
        <v>17.698657804052271</v>
      </c>
      <c r="E92" s="360">
        <f t="shared" ca="1" si="38"/>
        <v>79.320977931291623</v>
      </c>
      <c r="F92" s="357">
        <f t="shared" ca="1" si="39"/>
        <v>81.271520399469537</v>
      </c>
      <c r="G92" s="359">
        <f t="shared" ca="1" si="40"/>
        <v>13.900774849593674</v>
      </c>
      <c r="H92" s="360">
        <f t="shared" ca="1" si="41"/>
        <v>69.906624090620554</v>
      </c>
      <c r="I92" s="357">
        <f t="shared" ca="1" si="42"/>
        <v>71.275294690140882</v>
      </c>
      <c r="J92" s="359">
        <f t="shared" ca="1" si="43"/>
        <v>5.7316273684295806</v>
      </c>
      <c r="K92" s="360">
        <f t="shared" ca="1" si="44"/>
        <v>30.332977266725514</v>
      </c>
      <c r="L92" s="357">
        <f t="shared" ca="1" si="29"/>
        <v>30.869743474059156</v>
      </c>
      <c r="M92" s="359">
        <f t="shared" ca="1" si="45"/>
        <v>1.3745089455793993</v>
      </c>
      <c r="N92" s="357">
        <f t="shared" ca="1" si="46"/>
        <v>78.753561484676524</v>
      </c>
      <c r="O92" s="343"/>
      <c r="P92" s="363">
        <f t="shared" ca="1" si="47"/>
        <v>6</v>
      </c>
      <c r="Q92" s="357">
        <f t="shared" ca="1" si="48"/>
        <v>1018.7210526315789</v>
      </c>
      <c r="R92" s="359">
        <f t="shared" ca="1" si="49"/>
        <v>0.51031024010085713</v>
      </c>
      <c r="S92" s="360">
        <f t="shared" ca="1" si="50"/>
        <v>11.058219870273602</v>
      </c>
      <c r="T92" s="357">
        <f t="shared" ca="1" si="30"/>
        <v>108.48113692738404</v>
      </c>
      <c r="U92" s="364">
        <f t="shared" ca="1" si="31"/>
        <v>0</v>
      </c>
      <c r="V92" s="359">
        <f t="shared" ca="1" si="32"/>
        <v>1.2212898372988699</v>
      </c>
      <c r="W92" s="357">
        <f t="shared" ca="1" si="33"/>
        <v>14.167620955438991</v>
      </c>
      <c r="X92" s="343"/>
      <c r="Y92" s="367" t="str">
        <f t="shared" ca="1" si="51"/>
        <v/>
      </c>
      <c r="Z92" s="368" t="str">
        <f t="shared" ca="1" si="52"/>
        <v/>
      </c>
      <c r="AA92" s="369" t="str">
        <f t="shared" ca="1" si="53"/>
        <v/>
      </c>
      <c r="AB92" s="344"/>
      <c r="AC92" s="363" t="e">
        <f t="shared" ca="1" si="54"/>
        <v>#N/A</v>
      </c>
      <c r="AD92" s="376" t="e">
        <f t="shared" ca="1" si="55"/>
        <v>#N/A</v>
      </c>
      <c r="AE92" s="377">
        <f t="shared" ca="1" si="34"/>
        <v>30.332977266725514</v>
      </c>
      <c r="AF92" s="344"/>
      <c r="AG92" s="359">
        <f t="shared" ca="1" si="56"/>
        <v>81.249057911305059</v>
      </c>
      <c r="AH92" s="357">
        <f t="shared" ca="1" si="57"/>
        <v>90.871192987950451</v>
      </c>
    </row>
    <row r="93" spans="1:34" x14ac:dyDescent="0.25">
      <c r="A93" s="402">
        <f t="shared" ca="1" si="35"/>
        <v>0.01</v>
      </c>
      <c r="B93" s="357">
        <f t="shared" ca="1" si="36"/>
        <v>0.89000000000000057</v>
      </c>
      <c r="C93" s="342"/>
      <c r="D93" s="359">
        <f t="shared" ca="1" si="37"/>
        <v>17.716225385391898</v>
      </c>
      <c r="E93" s="360">
        <f t="shared" ca="1" si="38"/>
        <v>79.284422557135514</v>
      </c>
      <c r="F93" s="357">
        <f t="shared" ca="1" si="39"/>
        <v>81.239671972038536</v>
      </c>
      <c r="G93" s="359">
        <f t="shared" ca="1" si="40"/>
        <v>14.077937103447592</v>
      </c>
      <c r="H93" s="360">
        <f t="shared" ca="1" si="41"/>
        <v>70.699468316191911</v>
      </c>
      <c r="I93" s="357">
        <f t="shared" ca="1" si="42"/>
        <v>72.087468628610125</v>
      </c>
      <c r="J93" s="359">
        <f t="shared" ca="1" si="43"/>
        <v>5.8715209281947871</v>
      </c>
      <c r="K93" s="360">
        <f t="shared" ca="1" si="44"/>
        <v>31.036007728759575</v>
      </c>
      <c r="L93" s="357">
        <f t="shared" ca="1" si="29"/>
        <v>31.586524559530975</v>
      </c>
      <c r="M93" s="359">
        <f t="shared" ca="1" si="45"/>
        <v>1.374243540503455</v>
      </c>
      <c r="N93" s="357">
        <f t="shared" ca="1" si="46"/>
        <v>78.738354893963574</v>
      </c>
      <c r="O93" s="343"/>
      <c r="P93" s="363">
        <f t="shared" ca="1" si="47"/>
        <v>6</v>
      </c>
      <c r="Q93" s="357">
        <f t="shared" ca="1" si="48"/>
        <v>1018.219298245614</v>
      </c>
      <c r="R93" s="359">
        <f t="shared" ca="1" si="49"/>
        <v>0.51005889514188918</v>
      </c>
      <c r="S93" s="360">
        <f t="shared" ca="1" si="50"/>
        <v>11.053119281322182</v>
      </c>
      <c r="T93" s="357">
        <f t="shared" ca="1" si="30"/>
        <v>108.43110014977061</v>
      </c>
      <c r="U93" s="364">
        <f t="shared" ca="1" si="31"/>
        <v>0</v>
      </c>
      <c r="V93" s="359">
        <f t="shared" ca="1" si="32"/>
        <v>1.2212039797189662</v>
      </c>
      <c r="W93" s="357">
        <f t="shared" ca="1" si="33"/>
        <v>14.491318589712526</v>
      </c>
      <c r="X93" s="343"/>
      <c r="Y93" s="367" t="str">
        <f t="shared" ca="1" si="51"/>
        <v/>
      </c>
      <c r="Z93" s="368" t="str">
        <f t="shared" ca="1" si="52"/>
        <v/>
      </c>
      <c r="AA93" s="369" t="str">
        <f t="shared" ca="1" si="53"/>
        <v/>
      </c>
      <c r="AB93" s="344"/>
      <c r="AC93" s="363" t="e">
        <f t="shared" ca="1" si="54"/>
        <v>#N/A</v>
      </c>
      <c r="AD93" s="376" t="e">
        <f t="shared" ca="1" si="55"/>
        <v>#N/A</v>
      </c>
      <c r="AE93" s="377">
        <f t="shared" ca="1" si="34"/>
        <v>31.036007728759575</v>
      </c>
      <c r="AF93" s="344"/>
      <c r="AG93" s="359">
        <f t="shared" ca="1" si="56"/>
        <v>81.217139955386344</v>
      </c>
      <c r="AH93" s="357">
        <f t="shared" ca="1" si="57"/>
        <v>90.838762500902789</v>
      </c>
    </row>
    <row r="94" spans="1:34" x14ac:dyDescent="0.25">
      <c r="A94" s="402">
        <f t="shared" ca="1" si="35"/>
        <v>0.01</v>
      </c>
      <c r="B94" s="357">
        <f t="shared" ca="1" si="36"/>
        <v>0.90000000000000058</v>
      </c>
      <c r="C94" s="342"/>
      <c r="D94" s="359">
        <f t="shared" ca="1" si="37"/>
        <v>17.733465830964473</v>
      </c>
      <c r="E94" s="360">
        <f t="shared" ca="1" si="38"/>
        <v>79.247551290345726</v>
      </c>
      <c r="F94" s="357">
        <f t="shared" ca="1" si="39"/>
        <v>81.207451603248586</v>
      </c>
      <c r="G94" s="359">
        <f t="shared" ca="1" si="40"/>
        <v>14.255271761757237</v>
      </c>
      <c r="H94" s="360">
        <f t="shared" ca="1" si="41"/>
        <v>71.491943829095362</v>
      </c>
      <c r="I94" s="357">
        <f t="shared" ca="1" si="42"/>
        <v>72.899319650214025</v>
      </c>
      <c r="J94" s="359">
        <f t="shared" ca="1" si="43"/>
        <v>6.0131869725208116</v>
      </c>
      <c r="K94" s="360">
        <f t="shared" ca="1" si="44"/>
        <v>31.746964789486011</v>
      </c>
      <c r="L94" s="357">
        <f t="shared" ca="1" si="29"/>
        <v>32.311425083263643</v>
      </c>
      <c r="M94" s="359">
        <f t="shared" ca="1" si="45"/>
        <v>1.3739807408535496</v>
      </c>
      <c r="N94" s="357">
        <f t="shared" ca="1" si="46"/>
        <v>78.723297583166485</v>
      </c>
      <c r="O94" s="343"/>
      <c r="P94" s="363">
        <f t="shared" ca="1" si="47"/>
        <v>6</v>
      </c>
      <c r="Q94" s="357">
        <f t="shared" ca="1" si="48"/>
        <v>1017.7175438596491</v>
      </c>
      <c r="R94" s="359">
        <f t="shared" ca="1" si="49"/>
        <v>0.50980755018292134</v>
      </c>
      <c r="S94" s="360">
        <f t="shared" ca="1" si="50"/>
        <v>11.048021205820353</v>
      </c>
      <c r="T94" s="357">
        <f t="shared" ca="1" si="30"/>
        <v>108.38108802909767</v>
      </c>
      <c r="U94" s="364">
        <f t="shared" ca="1" si="31"/>
        <v>0</v>
      </c>
      <c r="V94" s="359">
        <f t="shared" ca="1" si="32"/>
        <v>1.2211171602321576</v>
      </c>
      <c r="W94" s="357">
        <f t="shared" ca="1" si="33"/>
        <v>14.818506242453438</v>
      </c>
      <c r="X94" s="343"/>
      <c r="Y94" s="367" t="str">
        <f t="shared" ca="1" si="51"/>
        <v/>
      </c>
      <c r="Z94" s="368" t="str">
        <f t="shared" ca="1" si="52"/>
        <v/>
      </c>
      <c r="AA94" s="369" t="str">
        <f t="shared" ca="1" si="53"/>
        <v/>
      </c>
      <c r="AB94" s="344"/>
      <c r="AC94" s="363" t="e">
        <f t="shared" ca="1" si="54"/>
        <v>#N/A</v>
      </c>
      <c r="AD94" s="376" t="e">
        <f t="shared" ca="1" si="55"/>
        <v>#N/A</v>
      </c>
      <c r="AE94" s="377">
        <f t="shared" ca="1" si="34"/>
        <v>31.746964789486011</v>
      </c>
      <c r="AF94" s="344"/>
      <c r="AG94" s="359">
        <f t="shared" ca="1" si="56"/>
        <v>81.184850425713748</v>
      </c>
      <c r="AH94" s="357">
        <f t="shared" ca="1" si="57"/>
        <v>90.805964849290291</v>
      </c>
    </row>
    <row r="95" spans="1:34" x14ac:dyDescent="0.25">
      <c r="A95" s="402">
        <f t="shared" ca="1" si="35"/>
        <v>0.01</v>
      </c>
      <c r="B95" s="357">
        <f t="shared" ca="1" si="36"/>
        <v>0.91000000000000059</v>
      </c>
      <c r="C95" s="342"/>
      <c r="D95" s="359">
        <f t="shared" ca="1" si="37"/>
        <v>17.750384253570726</v>
      </c>
      <c r="E95" s="360">
        <f t="shared" ca="1" si="38"/>
        <v>79.210363498472262</v>
      </c>
      <c r="F95" s="357">
        <f t="shared" ca="1" si="39"/>
        <v>81.174859573081605</v>
      </c>
      <c r="G95" s="359">
        <f t="shared" ca="1" si="40"/>
        <v>14.432775604292944</v>
      </c>
      <c r="H95" s="360">
        <f t="shared" ca="1" si="41"/>
        <v>72.284047464080089</v>
      </c>
      <c r="I95" s="357">
        <f t="shared" ca="1" si="42"/>
        <v>73.710844042333804</v>
      </c>
      <c r="J95" s="359">
        <f t="shared" ca="1" si="43"/>
        <v>6.1566272093510621</v>
      </c>
      <c r="K95" s="360">
        <f t="shared" ca="1" si="44"/>
        <v>32.465844745951891</v>
      </c>
      <c r="L95" s="357">
        <f t="shared" ca="1" si="29"/>
        <v>33.044441796816209</v>
      </c>
      <c r="M95" s="359">
        <f t="shared" ca="1" si="45"/>
        <v>1.3737204915032561</v>
      </c>
      <c r="N95" s="357">
        <f t="shared" ca="1" si="46"/>
        <v>78.708386393773637</v>
      </c>
      <c r="O95" s="343"/>
      <c r="P95" s="363">
        <f t="shared" ca="1" si="47"/>
        <v>6</v>
      </c>
      <c r="Q95" s="357">
        <f t="shared" ca="1" si="48"/>
        <v>1017.2157894736841</v>
      </c>
      <c r="R95" s="359">
        <f t="shared" ca="1" si="49"/>
        <v>0.5095562052239534</v>
      </c>
      <c r="S95" s="360">
        <f t="shared" ca="1" si="50"/>
        <v>11.042925643768113</v>
      </c>
      <c r="T95" s="357">
        <f t="shared" ca="1" si="30"/>
        <v>108.33110056536519</v>
      </c>
      <c r="U95" s="364">
        <f t="shared" ca="1" si="31"/>
        <v>0</v>
      </c>
      <c r="V95" s="359">
        <f t="shared" ca="1" si="32"/>
        <v>1.2210293794960623</v>
      </c>
      <c r="W95" s="357">
        <f t="shared" ca="1" si="33"/>
        <v>15.149176477746463</v>
      </c>
      <c r="X95" s="343"/>
      <c r="Y95" s="367" t="str">
        <f t="shared" ca="1" si="51"/>
        <v/>
      </c>
      <c r="Z95" s="368" t="str">
        <f t="shared" ca="1" si="52"/>
        <v/>
      </c>
      <c r="AA95" s="369" t="str">
        <f t="shared" ca="1" si="53"/>
        <v/>
      </c>
      <c r="AB95" s="344"/>
      <c r="AC95" s="363" t="e">
        <f t="shared" ca="1" si="54"/>
        <v>#N/A</v>
      </c>
      <c r="AD95" s="376" t="e">
        <f t="shared" ca="1" si="55"/>
        <v>#N/A</v>
      </c>
      <c r="AE95" s="377">
        <f t="shared" ca="1" si="34"/>
        <v>32.465844745951891</v>
      </c>
      <c r="AF95" s="344"/>
      <c r="AG95" s="359">
        <f t="shared" ca="1" si="56"/>
        <v>81.152189591222125</v>
      </c>
      <c r="AH95" s="357">
        <f t="shared" ca="1" si="57"/>
        <v>90.772800213222169</v>
      </c>
    </row>
    <row r="96" spans="1:34" x14ac:dyDescent="0.25">
      <c r="A96" s="402">
        <f t="shared" ca="1" si="35"/>
        <v>0.01</v>
      </c>
      <c r="B96" s="357">
        <f t="shared" ca="1" si="36"/>
        <v>0.9200000000000006</v>
      </c>
      <c r="C96" s="342"/>
      <c r="D96" s="359">
        <f t="shared" ca="1" si="37"/>
        <v>17.766985601989273</v>
      </c>
      <c r="E96" s="360">
        <f t="shared" ca="1" si="38"/>
        <v>79.172858582365933</v>
      </c>
      <c r="F96" s="357">
        <f t="shared" ca="1" si="39"/>
        <v>81.141896166435558</v>
      </c>
      <c r="G96" s="359">
        <f t="shared" ca="1" si="40"/>
        <v>14.610445460312837</v>
      </c>
      <c r="H96" s="360">
        <f t="shared" ca="1" si="41"/>
        <v>73.075776049903752</v>
      </c>
      <c r="I96" s="357">
        <f t="shared" ca="1" si="42"/>
        <v>74.522038095079381</v>
      </c>
      <c r="J96" s="359">
        <f t="shared" ca="1" si="43"/>
        <v>6.3018433146740911</v>
      </c>
      <c r="K96" s="360">
        <f t="shared" ca="1" si="44"/>
        <v>33.192643863521809</v>
      </c>
      <c r="L96" s="357">
        <f t="shared" ca="1" si="29"/>
        <v>33.785571414633417</v>
      </c>
      <c r="M96" s="359">
        <f t="shared" ca="1" si="45"/>
        <v>1.3734627390761156</v>
      </c>
      <c r="N96" s="357">
        <f t="shared" ca="1" si="46"/>
        <v>78.693618267539236</v>
      </c>
      <c r="O96" s="343"/>
      <c r="P96" s="363">
        <f t="shared" ca="1" si="47"/>
        <v>6</v>
      </c>
      <c r="Q96" s="357">
        <f t="shared" ca="1" si="48"/>
        <v>1016.7140350877193</v>
      </c>
      <c r="R96" s="359">
        <f t="shared" ca="1" si="49"/>
        <v>0.50930486026498556</v>
      </c>
      <c r="S96" s="360">
        <f t="shared" ca="1" si="50"/>
        <v>11.037832595165463</v>
      </c>
      <c r="T96" s="357">
        <f t="shared" ca="1" si="30"/>
        <v>108.28113775857321</v>
      </c>
      <c r="U96" s="364">
        <f t="shared" ca="1" si="31"/>
        <v>0</v>
      </c>
      <c r="V96" s="359">
        <f t="shared" ca="1" si="32"/>
        <v>1.2209406381742887</v>
      </c>
      <c r="W96" s="357">
        <f t="shared" ca="1" si="33"/>
        <v>15.483321781132704</v>
      </c>
      <c r="X96" s="343"/>
      <c r="Y96" s="367" t="str">
        <f t="shared" ca="1" si="51"/>
        <v/>
      </c>
      <c r="Z96" s="368" t="str">
        <f t="shared" ca="1" si="52"/>
        <v/>
      </c>
      <c r="AA96" s="369" t="str">
        <f t="shared" ca="1" si="53"/>
        <v/>
      </c>
      <c r="AB96" s="344"/>
      <c r="AC96" s="363" t="e">
        <f t="shared" ca="1" si="54"/>
        <v>#N/A</v>
      </c>
      <c r="AD96" s="376" t="e">
        <f t="shared" ca="1" si="55"/>
        <v>#N/A</v>
      </c>
      <c r="AE96" s="377">
        <f t="shared" ca="1" si="34"/>
        <v>33.192643863521809</v>
      </c>
      <c r="AF96" s="344"/>
      <c r="AG96" s="359">
        <f t="shared" ca="1" si="56"/>
        <v>81.119157726083984</v>
      </c>
      <c r="AH96" s="357">
        <f t="shared" ca="1" si="57"/>
        <v>90.739268780779952</v>
      </c>
    </row>
    <row r="97" spans="1:34" x14ac:dyDescent="0.25">
      <c r="A97" s="402">
        <f t="shared" ca="1" si="35"/>
        <v>0.01</v>
      </c>
      <c r="B97" s="357">
        <f t="shared" ca="1" si="36"/>
        <v>0.9300000000000006</v>
      </c>
      <c r="C97" s="342"/>
      <c r="D97" s="359">
        <f t="shared" ca="1" si="37"/>
        <v>17.783274668098542</v>
      </c>
      <c r="E97" s="360">
        <f t="shared" ca="1" si="38"/>
        <v>79.135035975109119</v>
      </c>
      <c r="F97" s="357">
        <f t="shared" ca="1" si="39"/>
        <v>81.108561673246612</v>
      </c>
      <c r="G97" s="359">
        <f t="shared" ca="1" si="40"/>
        <v>14.788278206993823</v>
      </c>
      <c r="H97" s="360">
        <f t="shared" ca="1" si="41"/>
        <v>73.867126409654844</v>
      </c>
      <c r="I97" s="357">
        <f t="shared" ca="1" si="42"/>
        <v>75.332898101343318</v>
      </c>
      <c r="J97" s="359">
        <f t="shared" ca="1" si="43"/>
        <v>6.4488369330106243</v>
      </c>
      <c r="K97" s="360">
        <f t="shared" ca="1" si="44"/>
        <v>33.927358375819601</v>
      </c>
      <c r="L97" s="357">
        <f t="shared" ca="1" si="29"/>
        <v>34.534810614072555</v>
      </c>
      <c r="M97" s="359">
        <f t="shared" ca="1" si="45"/>
        <v>1.3732074318716025</v>
      </c>
      <c r="N97" s="357">
        <f t="shared" ca="1" si="46"/>
        <v>78.678990242241355</v>
      </c>
      <c r="O97" s="343"/>
      <c r="P97" s="363">
        <f t="shared" ca="1" si="47"/>
        <v>6</v>
      </c>
      <c r="Q97" s="357">
        <f t="shared" ca="1" si="48"/>
        <v>1016.2122807017544</v>
      </c>
      <c r="R97" s="359">
        <f t="shared" ca="1" si="49"/>
        <v>0.50905351530601761</v>
      </c>
      <c r="S97" s="360">
        <f t="shared" ca="1" si="50"/>
        <v>11.032742060012403</v>
      </c>
      <c r="T97" s="357">
        <f t="shared" ca="1" si="30"/>
        <v>108.23119960872168</v>
      </c>
      <c r="U97" s="364">
        <f t="shared" ca="1" si="31"/>
        <v>0</v>
      </c>
      <c r="V97" s="359">
        <f t="shared" ca="1" si="32"/>
        <v>1.2208509369364364</v>
      </c>
      <c r="W97" s="357">
        <f t="shared" ca="1" si="33"/>
        <v>15.820934559859488</v>
      </c>
      <c r="X97" s="343"/>
      <c r="Y97" s="367" t="str">
        <f t="shared" ca="1" si="51"/>
        <v/>
      </c>
      <c r="Z97" s="368" t="str">
        <f t="shared" ca="1" si="52"/>
        <v/>
      </c>
      <c r="AA97" s="369" t="str">
        <f t="shared" ca="1" si="53"/>
        <v/>
      </c>
      <c r="AB97" s="344"/>
      <c r="AC97" s="363" t="e">
        <f t="shared" ca="1" si="54"/>
        <v>#N/A</v>
      </c>
      <c r="AD97" s="376" t="e">
        <f t="shared" ca="1" si="55"/>
        <v>#N/A</v>
      </c>
      <c r="AE97" s="377">
        <f t="shared" ca="1" si="34"/>
        <v>33.927358375819601</v>
      </c>
      <c r="AF97" s="344"/>
      <c r="AG97" s="359">
        <f t="shared" ca="1" si="56"/>
        <v>81.08575510981845</v>
      </c>
      <c r="AH97" s="357">
        <f t="shared" ca="1" si="57"/>
        <v>90.705370748012996</v>
      </c>
    </row>
    <row r="98" spans="1:34" x14ac:dyDescent="0.25">
      <c r="A98" s="402">
        <f t="shared" ca="1" si="35"/>
        <v>0.01</v>
      </c>
      <c r="B98" s="357">
        <f t="shared" ca="1" si="36"/>
        <v>0.94000000000000061</v>
      </c>
      <c r="C98" s="342"/>
      <c r="D98" s="359">
        <f t="shared" ca="1" si="37"/>
        <v>17.799256093618954</v>
      </c>
      <c r="E98" s="360">
        <f t="shared" ca="1" si="38"/>
        <v>79.096895141002321</v>
      </c>
      <c r="F98" s="357">
        <f t="shared" ca="1" si="39"/>
        <v>81.074856388605141</v>
      </c>
      <c r="G98" s="359">
        <f t="shared" ca="1" si="40"/>
        <v>14.966270767930013</v>
      </c>
      <c r="H98" s="360">
        <f t="shared" ca="1" si="41"/>
        <v>74.658095361064866</v>
      </c>
      <c r="I98" s="357">
        <f t="shared" ca="1" si="42"/>
        <v>76.143420356855856</v>
      </c>
      <c r="J98" s="359">
        <f t="shared" ca="1" si="43"/>
        <v>6.5976096778852433</v>
      </c>
      <c r="K98" s="360">
        <f t="shared" ca="1" si="44"/>
        <v>34.669984484673201</v>
      </c>
      <c r="L98" s="357">
        <f t="shared" ca="1" si="29"/>
        <v>35.292156035430956</v>
      </c>
      <c r="M98" s="359">
        <f t="shared" ca="1" si="45"/>
        <v>1.3729545197949857</v>
      </c>
      <c r="N98" s="357">
        <f t="shared" ca="1" si="46"/>
        <v>78.664499447663317</v>
      </c>
      <c r="O98" s="343"/>
      <c r="P98" s="363">
        <f t="shared" ca="1" si="47"/>
        <v>6</v>
      </c>
      <c r="Q98" s="357">
        <f t="shared" ca="1" si="48"/>
        <v>1015.7105263157895</v>
      </c>
      <c r="R98" s="359">
        <f t="shared" ca="1" si="49"/>
        <v>0.50880217034704978</v>
      </c>
      <c r="S98" s="360">
        <f t="shared" ca="1" si="50"/>
        <v>11.027654038308933</v>
      </c>
      <c r="T98" s="357">
        <f t="shared" ca="1" si="30"/>
        <v>108.18128611581064</v>
      </c>
      <c r="U98" s="364">
        <f t="shared" ca="1" si="31"/>
        <v>0</v>
      </c>
      <c r="V98" s="359">
        <f t="shared" ca="1" si="32"/>
        <v>1.2207602764580985</v>
      </c>
      <c r="W98" s="357">
        <f t="shared" ca="1" si="33"/>
        <v>16.162007143133756</v>
      </c>
      <c r="X98" s="343"/>
      <c r="Y98" s="367" t="str">
        <f t="shared" ca="1" si="51"/>
        <v/>
      </c>
      <c r="Z98" s="368" t="str">
        <f t="shared" ca="1" si="52"/>
        <v/>
      </c>
      <c r="AA98" s="369" t="str">
        <f t="shared" ca="1" si="53"/>
        <v/>
      </c>
      <c r="AB98" s="344"/>
      <c r="AC98" s="363" t="e">
        <f t="shared" ca="1" si="54"/>
        <v>#N/A</v>
      </c>
      <c r="AD98" s="376" t="e">
        <f t="shared" ca="1" si="55"/>
        <v>#N/A</v>
      </c>
      <c r="AE98" s="377">
        <f t="shared" ca="1" si="34"/>
        <v>34.669984484673201</v>
      </c>
      <c r="AF98" s="344"/>
      <c r="AG98" s="359">
        <f t="shared" ca="1" si="56"/>
        <v>81.051982027394232</v>
      </c>
      <c r="AH98" s="357">
        <f t="shared" ca="1" si="57"/>
        <v>90.671106318933894</v>
      </c>
    </row>
    <row r="99" spans="1:34" x14ac:dyDescent="0.25">
      <c r="A99" s="402">
        <f t="shared" ca="1" si="35"/>
        <v>0.01</v>
      </c>
      <c r="B99" s="357">
        <f t="shared" ca="1" si="36"/>
        <v>0.95000000000000062</v>
      </c>
      <c r="C99" s="342"/>
      <c r="D99" s="359">
        <f t="shared" ca="1" si="37"/>
        <v>17.814934376499771</v>
      </c>
      <c r="E99" s="360">
        <f t="shared" ca="1" si="38"/>
        <v>79.058435574601617</v>
      </c>
      <c r="F99" s="357">
        <f t="shared" ca="1" si="39"/>
        <v>81.040780612864467</v>
      </c>
      <c r="G99" s="359">
        <f t="shared" ca="1" si="40"/>
        <v>15.144420111695011</v>
      </c>
      <c r="H99" s="360">
        <f t="shared" ca="1" si="41"/>
        <v>75.448679716810886</v>
      </c>
      <c r="I99" s="357">
        <f t="shared" ca="1" si="42"/>
        <v>76.953601160240851</v>
      </c>
      <c r="J99" s="359">
        <f t="shared" ca="1" si="43"/>
        <v>6.7481631322833682</v>
      </c>
      <c r="K99" s="360">
        <f t="shared" ca="1" si="44"/>
        <v>35.42051836006258</v>
      </c>
      <c r="L99" s="357">
        <f t="shared" ca="1" si="29"/>
        <v>36.057604281974122</v>
      </c>
      <c r="M99" s="359">
        <f t="shared" ca="1" si="45"/>
        <v>1.3727039542908412</v>
      </c>
      <c r="N99" s="357">
        <f t="shared" ca="1" si="46"/>
        <v>78.65014310178428</v>
      </c>
      <c r="O99" s="343"/>
      <c r="P99" s="363">
        <f t="shared" ca="1" si="47"/>
        <v>6</v>
      </c>
      <c r="Q99" s="357">
        <f t="shared" ca="1" si="48"/>
        <v>1015.2087719298245</v>
      </c>
      <c r="R99" s="359">
        <f t="shared" ca="1" si="49"/>
        <v>0.50855082538808183</v>
      </c>
      <c r="S99" s="360">
        <f t="shared" ca="1" si="50"/>
        <v>11.022568530055052</v>
      </c>
      <c r="T99" s="357">
        <f t="shared" ca="1" si="30"/>
        <v>108.13139727984006</v>
      </c>
      <c r="U99" s="364">
        <f t="shared" ca="1" si="31"/>
        <v>0</v>
      </c>
      <c r="V99" s="359">
        <f t="shared" ca="1" si="32"/>
        <v>1.2206686574208596</v>
      </c>
      <c r="W99" s="357">
        <f t="shared" ca="1" si="33"/>
        <v>16.506531782378847</v>
      </c>
      <c r="X99" s="343"/>
      <c r="Y99" s="367" t="str">
        <f t="shared" ca="1" si="51"/>
        <v/>
      </c>
      <c r="Z99" s="368" t="str">
        <f t="shared" ca="1" si="52"/>
        <v/>
      </c>
      <c r="AA99" s="369" t="str">
        <f t="shared" ca="1" si="53"/>
        <v/>
      </c>
      <c r="AB99" s="344"/>
      <c r="AC99" s="363" t="e">
        <f t="shared" ca="1" si="54"/>
        <v>#N/A</v>
      </c>
      <c r="AD99" s="376" t="e">
        <f t="shared" ca="1" si="55"/>
        <v>#N/A</v>
      </c>
      <c r="AE99" s="377">
        <f t="shared" ca="1" si="34"/>
        <v>35.42051836006258</v>
      </c>
      <c r="AF99" s="344"/>
      <c r="AG99" s="359">
        <f t="shared" ca="1" si="56"/>
        <v>81.017838769326616</v>
      </c>
      <c r="AH99" s="357">
        <f t="shared" ca="1" si="57"/>
        <v>90.636475705513348</v>
      </c>
    </row>
    <row r="100" spans="1:34" x14ac:dyDescent="0.25">
      <c r="A100" s="402">
        <f t="shared" ca="1" si="35"/>
        <v>0.01</v>
      </c>
      <c r="B100" s="357">
        <f t="shared" ca="1" si="36"/>
        <v>0.96000000000000063</v>
      </c>
      <c r="C100" s="342"/>
      <c r="D100" s="359">
        <f t="shared" ca="1" si="37"/>
        <v>17.830313876972809</v>
      </c>
      <c r="E100" s="360">
        <f t="shared" ca="1" si="38"/>
        <v>79.019656799804878</v>
      </c>
      <c r="F100" s="357">
        <f t="shared" ca="1" si="39"/>
        <v>81.006334651743856</v>
      </c>
      <c r="G100" s="359">
        <f t="shared" ca="1" si="40"/>
        <v>15.322723250464739</v>
      </c>
      <c r="H100" s="360">
        <f t="shared" ca="1" si="41"/>
        <v>76.238876284808939</v>
      </c>
      <c r="I100" s="357">
        <f t="shared" ca="1" si="42"/>
        <v>77.763436813072602</v>
      </c>
      <c r="J100" s="359">
        <f t="shared" ca="1" si="43"/>
        <v>6.9004988490941672</v>
      </c>
      <c r="K100" s="360">
        <f t="shared" ca="1" si="44"/>
        <v>36.178956140070682</v>
      </c>
      <c r="L100" s="357">
        <f t="shared" ca="1" si="29"/>
        <v>36.831151919964547</v>
      </c>
      <c r="M100" s="359">
        <f t="shared" ca="1" si="45"/>
        <v>1.3724556882799905</v>
      </c>
      <c r="N100" s="357">
        <f t="shared" ca="1" si="46"/>
        <v>78.635918507165982</v>
      </c>
      <c r="O100" s="343"/>
      <c r="P100" s="363">
        <f t="shared" ca="1" si="47"/>
        <v>6</v>
      </c>
      <c r="Q100" s="357">
        <f t="shared" ca="1" si="48"/>
        <v>1014.7070175438596</v>
      </c>
      <c r="R100" s="359">
        <f t="shared" ca="1" si="49"/>
        <v>0.50829948042911399</v>
      </c>
      <c r="S100" s="360">
        <f t="shared" ca="1" si="50"/>
        <v>11.017485535250762</v>
      </c>
      <c r="T100" s="357">
        <f t="shared" ca="1" si="30"/>
        <v>108.08153310080998</v>
      </c>
      <c r="U100" s="364">
        <f t="shared" ca="1" si="31"/>
        <v>0</v>
      </c>
      <c r="V100" s="359">
        <f t="shared" ca="1" si="32"/>
        <v>1.2205760805122972</v>
      </c>
      <c r="W100" s="357">
        <f t="shared" ca="1" si="33"/>
        <v>16.85450065149475</v>
      </c>
      <c r="X100" s="343"/>
      <c r="Y100" s="367" t="str">
        <f t="shared" ca="1" si="51"/>
        <v/>
      </c>
      <c r="Z100" s="368" t="str">
        <f t="shared" ca="1" si="52"/>
        <v/>
      </c>
      <c r="AA100" s="369" t="str">
        <f t="shared" ca="1" si="53"/>
        <v/>
      </c>
      <c r="AB100" s="344"/>
      <c r="AC100" s="363" t="e">
        <f t="shared" ca="1" si="54"/>
        <v>#N/A</v>
      </c>
      <c r="AD100" s="376" t="e">
        <f t="shared" ca="1" si="55"/>
        <v>#N/A</v>
      </c>
      <c r="AE100" s="377">
        <f t="shared" ca="1" si="34"/>
        <v>36.178956140070682</v>
      </c>
      <c r="AF100" s="344"/>
      <c r="AG100" s="359">
        <f t="shared" ca="1" si="56"/>
        <v>80.983325631768949</v>
      </c>
      <c r="AH100" s="357">
        <f t="shared" ca="1" si="57"/>
        <v>90.601479127674793</v>
      </c>
    </row>
    <row r="101" spans="1:34" x14ac:dyDescent="0.25">
      <c r="A101" s="402">
        <f t="shared" ca="1" si="35"/>
        <v>0.01</v>
      </c>
      <c r="B101" s="357">
        <f t="shared" ca="1" si="36"/>
        <v>0.97000000000000064</v>
      </c>
      <c r="C101" s="342"/>
      <c r="D101" s="359">
        <f t="shared" ca="1" si="37"/>
        <v>17.845398823293738</v>
      </c>
      <c r="E101" s="360">
        <f t="shared" ca="1" si="38"/>
        <v>78.980558368983225</v>
      </c>
      <c r="F101" s="357">
        <f t="shared" ca="1" si="39"/>
        <v>80.9715188164257</v>
      </c>
      <c r="G101" s="359">
        <f t="shared" ca="1" si="40"/>
        <v>15.501177238697675</v>
      </c>
      <c r="H101" s="360">
        <f t="shared" ca="1" si="41"/>
        <v>77.028681868498765</v>
      </c>
      <c r="I101" s="357">
        <f t="shared" ca="1" si="42"/>
        <v>78.572923619933533</v>
      </c>
      <c r="J101" s="359">
        <f t="shared" ca="1" si="43"/>
        <v>7.054618351539979</v>
      </c>
      <c r="K101" s="360">
        <f t="shared" ca="1" si="44"/>
        <v>36.945293930837224</v>
      </c>
      <c r="L101" s="357">
        <f t="shared" ca="1" si="29"/>
        <v>37.612795478691062</v>
      </c>
      <c r="M101" s="359">
        <f t="shared" ca="1" si="45"/>
        <v>1.3722096760996554</v>
      </c>
      <c r="N101" s="357">
        <f t="shared" ca="1" si="46"/>
        <v>78.621823047523961</v>
      </c>
      <c r="O101" s="343"/>
      <c r="P101" s="363">
        <f t="shared" ca="1" si="47"/>
        <v>6</v>
      </c>
      <c r="Q101" s="357">
        <f t="shared" ca="1" si="48"/>
        <v>1014.2052631578947</v>
      </c>
      <c r="R101" s="359">
        <f t="shared" ca="1" si="49"/>
        <v>0.50804813547014605</v>
      </c>
      <c r="S101" s="360">
        <f t="shared" ca="1" si="50"/>
        <v>11.01240505389606</v>
      </c>
      <c r="T101" s="357">
        <f t="shared" ca="1" si="30"/>
        <v>108.03169357872035</v>
      </c>
      <c r="U101" s="364">
        <f t="shared" ca="1" si="31"/>
        <v>0</v>
      </c>
      <c r="V101" s="359">
        <f t="shared" ca="1" si="32"/>
        <v>1.2204825464259783</v>
      </c>
      <c r="W101" s="357">
        <f t="shared" ca="1" si="33"/>
        <v>17.205905847121787</v>
      </c>
      <c r="X101" s="343"/>
      <c r="Y101" s="367" t="str">
        <f t="shared" ca="1" si="51"/>
        <v/>
      </c>
      <c r="Z101" s="368" t="str">
        <f t="shared" ca="1" si="52"/>
        <v/>
      </c>
      <c r="AA101" s="369" t="str">
        <f t="shared" ca="1" si="53"/>
        <v/>
      </c>
      <c r="AB101" s="344"/>
      <c r="AC101" s="363" t="e">
        <f t="shared" ca="1" si="54"/>
        <v>#N/A</v>
      </c>
      <c r="AD101" s="376" t="e">
        <f t="shared" ca="1" si="55"/>
        <v>#N/A</v>
      </c>
      <c r="AE101" s="377">
        <f t="shared" ca="1" si="34"/>
        <v>36.945293930837224</v>
      </c>
      <c r="AF101" s="344"/>
      <c r="AG101" s="359">
        <f t="shared" ca="1" si="56"/>
        <v>80.948442916598765</v>
      </c>
      <c r="AH101" s="357">
        <f t="shared" ca="1" si="57"/>
        <v>90.566116813288573</v>
      </c>
    </row>
    <row r="102" spans="1:34" x14ac:dyDescent="0.25">
      <c r="A102" s="402">
        <f t="shared" ca="1" si="35"/>
        <v>0.01</v>
      </c>
      <c r="B102" s="357">
        <f t="shared" ca="1" si="36"/>
        <v>0.98000000000000065</v>
      </c>
      <c r="C102" s="342"/>
      <c r="D102" s="359">
        <f t="shared" ca="1" si="37"/>
        <v>17.860193317189974</v>
      </c>
      <c r="E102" s="360">
        <f t="shared" ca="1" si="38"/>
        <v>78.941139862155197</v>
      </c>
      <c r="F102" s="357">
        <f t="shared" ca="1" si="39"/>
        <v>80.936333423646914</v>
      </c>
      <c r="G102" s="359">
        <f t="shared" ca="1" si="40"/>
        <v>15.679779171869574</v>
      </c>
      <c r="H102" s="360">
        <f t="shared" ca="1" si="41"/>
        <v>77.818093267120318</v>
      </c>
      <c r="I102" s="357">
        <f t="shared" ca="1" si="42"/>
        <v>79.382057888472701</v>
      </c>
      <c r="J102" s="359">
        <f t="shared" ca="1" si="43"/>
        <v>7.2105231335928153</v>
      </c>
      <c r="K102" s="360">
        <f t="shared" ca="1" si="44"/>
        <v>37.719527806515316</v>
      </c>
      <c r="L102" s="357">
        <f t="shared" ca="1" si="29"/>
        <v>38.402531450498927</v>
      </c>
      <c r="M102" s="359">
        <f t="shared" ca="1" si="45"/>
        <v>1.3719658734466296</v>
      </c>
      <c r="N102" s="357">
        <f t="shared" ca="1" si="46"/>
        <v>78.607854184471492</v>
      </c>
      <c r="O102" s="343"/>
      <c r="P102" s="363">
        <f t="shared" ca="1" si="47"/>
        <v>6</v>
      </c>
      <c r="Q102" s="357">
        <f t="shared" ca="1" si="48"/>
        <v>1013.7035087719298</v>
      </c>
      <c r="R102" s="359">
        <f t="shared" ca="1" si="49"/>
        <v>0.50779679051117821</v>
      </c>
      <c r="S102" s="360">
        <f t="shared" ca="1" si="50"/>
        <v>11.007327085990948</v>
      </c>
      <c r="T102" s="357">
        <f t="shared" ca="1" si="30"/>
        <v>107.98187871357121</v>
      </c>
      <c r="U102" s="364">
        <f t="shared" ca="1" si="31"/>
        <v>0</v>
      </c>
      <c r="V102" s="359">
        <f t="shared" ca="1" si="32"/>
        <v>1.2203880558614608</v>
      </c>
      <c r="W102" s="357">
        <f t="shared" ca="1" si="33"/>
        <v>17.560739388907816</v>
      </c>
      <c r="X102" s="343"/>
      <c r="Y102" s="367" t="str">
        <f t="shared" ca="1" si="51"/>
        <v/>
      </c>
      <c r="Z102" s="368" t="str">
        <f t="shared" ca="1" si="52"/>
        <v/>
      </c>
      <c r="AA102" s="369" t="str">
        <f t="shared" ca="1" si="53"/>
        <v/>
      </c>
      <c r="AB102" s="344"/>
      <c r="AC102" s="363" t="e">
        <f t="shared" ca="1" si="54"/>
        <v>#N/A</v>
      </c>
      <c r="AD102" s="376" t="e">
        <f t="shared" ca="1" si="55"/>
        <v>#N/A</v>
      </c>
      <c r="AE102" s="377">
        <f t="shared" ca="1" si="34"/>
        <v>37.719527806515316</v>
      </c>
      <c r="AF102" s="344"/>
      <c r="AG102" s="359">
        <f t="shared" ca="1" si="56"/>
        <v>80.913190931499187</v>
      </c>
      <c r="AH102" s="357">
        <f t="shared" ca="1" si="57"/>
        <v>90.530388998165861</v>
      </c>
    </row>
    <row r="103" spans="1:34" x14ac:dyDescent="0.25">
      <c r="A103" s="402">
        <f t="shared" ca="1" si="35"/>
        <v>0.01</v>
      </c>
      <c r="B103" s="357">
        <f t="shared" ca="1" si="36"/>
        <v>0.99000000000000066</v>
      </c>
      <c r="C103" s="342"/>
      <c r="D103" s="359">
        <f t="shared" ca="1" si="37"/>
        <v>17.874701339033447</v>
      </c>
      <c r="E103" s="360">
        <f t="shared" ca="1" si="38"/>
        <v>78.90140088620096</v>
      </c>
      <c r="F103" s="357">
        <f t="shared" ca="1" si="39"/>
        <v>80.900778795785627</v>
      </c>
      <c r="G103" s="359">
        <f t="shared" ca="1" si="40"/>
        <v>15.858526185259908</v>
      </c>
      <c r="H103" s="360">
        <f t="shared" ca="1" si="41"/>
        <v>78.607107275982329</v>
      </c>
      <c r="I103" s="357">
        <f t="shared" ca="1" si="42"/>
        <v>80.190835929464967</v>
      </c>
      <c r="J103" s="359">
        <f t="shared" ca="1" si="43"/>
        <v>7.3682146603784631</v>
      </c>
      <c r="K103" s="360">
        <f t="shared" ca="1" si="44"/>
        <v>38.501653809230831</v>
      </c>
      <c r="L103" s="357">
        <f t="shared" ca="1" si="29"/>
        <v>39.200356290820558</v>
      </c>
      <c r="M103" s="359">
        <f t="shared" ca="1" si="45"/>
        <v>1.3717242373232903</v>
      </c>
      <c r="N103" s="357">
        <f t="shared" ca="1" si="46"/>
        <v>78.594009454426256</v>
      </c>
      <c r="O103" s="343"/>
      <c r="P103" s="363">
        <f t="shared" ca="1" si="47"/>
        <v>6</v>
      </c>
      <c r="Q103" s="357">
        <f t="shared" ca="1" si="48"/>
        <v>1013.2017543859648</v>
      </c>
      <c r="R103" s="359">
        <f t="shared" ca="1" si="49"/>
        <v>0.50754544555221026</v>
      </c>
      <c r="S103" s="360">
        <f t="shared" ca="1" si="50"/>
        <v>11.002251631535426</v>
      </c>
      <c r="T103" s="357">
        <f t="shared" ca="1" si="30"/>
        <v>107.93208850536253</v>
      </c>
      <c r="U103" s="364">
        <f t="shared" ca="1" si="31"/>
        <v>0</v>
      </c>
      <c r="V103" s="359">
        <f t="shared" ca="1" si="32"/>
        <v>1.2202926095242914</v>
      </c>
      <c r="W103" s="357">
        <f t="shared" ca="1" si="33"/>
        <v>17.918993219778773</v>
      </c>
      <c r="X103" s="343"/>
      <c r="Y103" s="367" t="str">
        <f t="shared" ca="1" si="51"/>
        <v/>
      </c>
      <c r="Z103" s="368" t="str">
        <f t="shared" ca="1" si="52"/>
        <v/>
      </c>
      <c r="AA103" s="369" t="str">
        <f t="shared" ca="1" si="53"/>
        <v/>
      </c>
      <c r="AB103" s="344"/>
      <c r="AC103" s="363" t="e">
        <f t="shared" ca="1" si="54"/>
        <v>#N/A</v>
      </c>
      <c r="AD103" s="376" t="e">
        <f t="shared" ca="1" si="55"/>
        <v>#N/A</v>
      </c>
      <c r="AE103" s="377">
        <f t="shared" ca="1" si="34"/>
        <v>38.501653809230831</v>
      </c>
      <c r="AF103" s="344"/>
      <c r="AG103" s="359">
        <f t="shared" ca="1" si="56"/>
        <v>80.877569990035511</v>
      </c>
      <c r="AH103" s="357">
        <f t="shared" ca="1" si="57"/>
        <v>90.49429592605216</v>
      </c>
    </row>
    <row r="104" spans="1:34" x14ac:dyDescent="0.25">
      <c r="A104" s="402">
        <f t="shared" ca="1" si="35"/>
        <v>0.01</v>
      </c>
      <c r="B104" s="357">
        <f t="shared" ca="1" si="36"/>
        <v>1.0000000000000007</v>
      </c>
      <c r="C104" s="342"/>
      <c r="D104" s="359">
        <f t="shared" ca="1" si="37"/>
        <v>17.888926752754379</v>
      </c>
      <c r="E104" s="360">
        <f t="shared" ca="1" si="38"/>
        <v>78.86134107411425</v>
      </c>
      <c r="F104" s="357">
        <f t="shared" ca="1" si="39"/>
        <v>80.864855260942562</v>
      </c>
      <c r="G104" s="359">
        <f t="shared" ca="1" si="40"/>
        <v>16.037415452787453</v>
      </c>
      <c r="H104" s="360">
        <f t="shared" ca="1" si="41"/>
        <v>79.395720686723479</v>
      </c>
      <c r="I104" s="357">
        <f t="shared" ca="1" si="42"/>
        <v>80.999254056870896</v>
      </c>
      <c r="J104" s="359">
        <f t="shared" ca="1" si="43"/>
        <v>7.5276943685686994</v>
      </c>
      <c r="K104" s="360">
        <f t="shared" ca="1" si="44"/>
        <v>39.29166794904436</v>
      </c>
      <c r="L104" s="357">
        <f t="shared" ca="1" si="29"/>
        <v>40.006266418206792</v>
      </c>
      <c r="M104" s="359">
        <f t="shared" ca="1" si="45"/>
        <v>1.3714847259862792</v>
      </c>
      <c r="N104" s="357">
        <f t="shared" ca="1" si="46"/>
        <v>78.580286465669985</v>
      </c>
      <c r="O104" s="343"/>
      <c r="P104" s="363">
        <f t="shared" ca="1" si="47"/>
        <v>6</v>
      </c>
      <c r="Q104" s="357">
        <f t="shared" ca="1" si="48"/>
        <v>1012.6999999999999</v>
      </c>
      <c r="R104" s="359">
        <f t="shared" ca="1" si="49"/>
        <v>0.50729410059324243</v>
      </c>
      <c r="S104" s="360">
        <f t="shared" ca="1" si="50"/>
        <v>10.997178690529493</v>
      </c>
      <c r="T104" s="357">
        <f t="shared" ca="1" si="30"/>
        <v>107.88232295409433</v>
      </c>
      <c r="U104" s="364">
        <f t="shared" ca="1" si="31"/>
        <v>0</v>
      </c>
      <c r="V104" s="359">
        <f t="shared" ca="1" si="32"/>
        <v>1.2201962081260027</v>
      </c>
      <c r="W104" s="357">
        <f t="shared" ca="1" si="33"/>
        <v>18.280659206212668</v>
      </c>
      <c r="X104" s="343"/>
      <c r="Y104" s="367" t="str">
        <f t="shared" ca="1" si="51"/>
        <v/>
      </c>
      <c r="Z104" s="368" t="str">
        <f t="shared" ca="1" si="52"/>
        <v/>
      </c>
      <c r="AA104" s="369" t="str">
        <f t="shared" ca="1" si="53"/>
        <v/>
      </c>
      <c r="AB104" s="344"/>
      <c r="AC104" s="363">
        <f t="shared" ca="1" si="54"/>
        <v>1.0000000000000007</v>
      </c>
      <c r="AD104" s="376">
        <f t="shared" ca="1" si="55"/>
        <v>7.5276943685686994</v>
      </c>
      <c r="AE104" s="377">
        <f t="shared" ca="1" si="34"/>
        <v>39.29166794904436</v>
      </c>
      <c r="AF104" s="344"/>
      <c r="AG104" s="359">
        <f t="shared" ca="1" si="56"/>
        <v>80.841580411727421</v>
      </c>
      <c r="AH104" s="357">
        <f t="shared" ca="1" si="57"/>
        <v>90.457837848620457</v>
      </c>
    </row>
    <row r="105" spans="1:34" x14ac:dyDescent="0.25">
      <c r="A105" s="402">
        <f t="shared" ca="1" si="35"/>
        <v>0.01</v>
      </c>
      <c r="B105" s="357">
        <f t="shared" ca="1" si="36"/>
        <v>1.0100000000000007</v>
      </c>
      <c r="C105" s="342"/>
      <c r="D105" s="359">
        <f t="shared" ca="1" si="37"/>
        <v>17.902873310511602</v>
      </c>
      <c r="E105" s="360">
        <f t="shared" ca="1" si="38"/>
        <v>78.820960084289723</v>
      </c>
      <c r="F105" s="357">
        <f t="shared" ca="1" si="39"/>
        <v>80.828563153018024</v>
      </c>
      <c r="G105" s="359">
        <f t="shared" ca="1" si="40"/>
        <v>16.21644418589257</v>
      </c>
      <c r="H105" s="360">
        <f t="shared" ca="1" si="41"/>
        <v>80.183930287566369</v>
      </c>
      <c r="I105" s="357">
        <f t="shared" ca="1" si="42"/>
        <v>81.807308587897396</v>
      </c>
      <c r="J105" s="359">
        <f t="shared" ca="1" si="43"/>
        <v>7.6889636667621</v>
      </c>
      <c r="K105" s="360">
        <f t="shared" ca="1" si="44"/>
        <v>40.089566203915808</v>
      </c>
      <c r="L105" s="357">
        <f t="shared" ca="1" si="29"/>
        <v>40.820258214358908</v>
      </c>
      <c r="M105" s="359">
        <f t="shared" ca="1" si="45"/>
        <v>1.3712472988976923</v>
      </c>
      <c r="N105" s="357">
        <f t="shared" ca="1" si="46"/>
        <v>78.566682895551864</v>
      </c>
      <c r="O105" s="343"/>
      <c r="P105" s="363">
        <f t="shared" ca="1" si="47"/>
        <v>6</v>
      </c>
      <c r="Q105" s="357">
        <f t="shared" ca="1" si="48"/>
        <v>1012.198245614035</v>
      </c>
      <c r="R105" s="359">
        <f t="shared" ca="1" si="49"/>
        <v>0.50704275563427448</v>
      </c>
      <c r="S105" s="360">
        <f t="shared" ca="1" si="50"/>
        <v>10.992108262973151</v>
      </c>
      <c r="T105" s="357">
        <f t="shared" ca="1" si="30"/>
        <v>107.83258205976661</v>
      </c>
      <c r="U105" s="364">
        <f t="shared" ca="1" si="31"/>
        <v>0</v>
      </c>
      <c r="V105" s="359">
        <f t="shared" ca="1" si="32"/>
        <v>1.2200988523841116</v>
      </c>
      <c r="W105" s="357">
        <f t="shared" ca="1" si="33"/>
        <v>18.645729138517051</v>
      </c>
      <c r="X105" s="343"/>
      <c r="Y105" s="367" t="str">
        <f t="shared" ca="1" si="51"/>
        <v/>
      </c>
      <c r="Z105" s="368" t="str">
        <f t="shared" ca="1" si="52"/>
        <v/>
      </c>
      <c r="AA105" s="369" t="str">
        <f t="shared" ca="1" si="53"/>
        <v/>
      </c>
      <c r="AB105" s="344"/>
      <c r="AC105" s="363" t="e">
        <f t="shared" ca="1" si="54"/>
        <v>#N/A</v>
      </c>
      <c r="AD105" s="376" t="e">
        <f t="shared" ca="1" si="55"/>
        <v>#N/A</v>
      </c>
      <c r="AE105" s="377">
        <f t="shared" ca="1" si="34"/>
        <v>40.089566203915808</v>
      </c>
      <c r="AF105" s="344"/>
      <c r="AG105" s="359">
        <f t="shared" ca="1" si="56"/>
        <v>80.805222522117006</v>
      </c>
      <c r="AH105" s="357">
        <f t="shared" ca="1" si="57"/>
        <v>90.421015025464001</v>
      </c>
    </row>
    <row r="106" spans="1:34" x14ac:dyDescent="0.25">
      <c r="A106" s="402">
        <f t="shared" ca="1" si="35"/>
        <v>0.01</v>
      </c>
      <c r="B106" s="357">
        <f t="shared" ca="1" si="36"/>
        <v>1.0200000000000007</v>
      </c>
      <c r="C106" s="342"/>
      <c r="D106" s="359">
        <f t="shared" ca="1" si="37"/>
        <v>17.916544657134125</v>
      </c>
      <c r="E106" s="360">
        <f t="shared" ca="1" si="38"/>
        <v>78.780257599843807</v>
      </c>
      <c r="F106" s="357">
        <f t="shared" ca="1" si="39"/>
        <v>80.791902811784482</v>
      </c>
      <c r="G106" s="359">
        <f t="shared" ca="1" si="40"/>
        <v>16.395609632463913</v>
      </c>
      <c r="H106" s="360">
        <f t="shared" ca="1" si="41"/>
        <v>80.97173286356481</v>
      </c>
      <c r="I106" s="357">
        <f t="shared" ca="1" si="42"/>
        <v>82.614995843058935</v>
      </c>
      <c r="J106" s="359">
        <f t="shared" ca="1" si="43"/>
        <v>7.8520239358538824</v>
      </c>
      <c r="K106" s="360">
        <f t="shared" ca="1" si="44"/>
        <v>40.895344519671461</v>
      </c>
      <c r="L106" s="357">
        <f t="shared" ca="1" si="29"/>
        <v>41.642328024161245</v>
      </c>
      <c r="M106" s="359">
        <f t="shared" ca="1" si="45"/>
        <v>1.3710119166786374</v>
      </c>
      <c r="N106" s="357">
        <f t="shared" ca="1" si="46"/>
        <v>78.553196487827606</v>
      </c>
      <c r="O106" s="343"/>
      <c r="P106" s="363">
        <f t="shared" ca="1" si="47"/>
        <v>6</v>
      </c>
      <c r="Q106" s="357">
        <f t="shared" ca="1" si="48"/>
        <v>1011.6964912280702</v>
      </c>
      <c r="R106" s="359">
        <f t="shared" ca="1" si="49"/>
        <v>0.50679141067530664</v>
      </c>
      <c r="S106" s="360">
        <f t="shared" ca="1" si="50"/>
        <v>10.987040348866397</v>
      </c>
      <c r="T106" s="357">
        <f t="shared" ca="1" si="30"/>
        <v>107.78286582237936</v>
      </c>
      <c r="U106" s="364">
        <f t="shared" ca="1" si="31"/>
        <v>0</v>
      </c>
      <c r="V106" s="359">
        <f t="shared" ca="1" si="32"/>
        <v>1.2200005430221164</v>
      </c>
      <c r="W106" s="357">
        <f t="shared" ca="1" si="33"/>
        <v>19.014194731109818</v>
      </c>
      <c r="X106" s="343"/>
      <c r="Y106" s="367" t="str">
        <f t="shared" ca="1" si="51"/>
        <v/>
      </c>
      <c r="Z106" s="368" t="str">
        <f t="shared" ca="1" si="52"/>
        <v/>
      </c>
      <c r="AA106" s="369" t="str">
        <f t="shared" ca="1" si="53"/>
        <v/>
      </c>
      <c r="AB106" s="344"/>
      <c r="AC106" s="363" t="e">
        <f t="shared" ca="1" si="54"/>
        <v>#N/A</v>
      </c>
      <c r="AD106" s="376" t="e">
        <f t="shared" ca="1" si="55"/>
        <v>#N/A</v>
      </c>
      <c r="AE106" s="377">
        <f t="shared" ca="1" si="34"/>
        <v>40.895344519671461</v>
      </c>
      <c r="AF106" s="344"/>
      <c r="AG106" s="359">
        <f t="shared" ca="1" si="56"/>
        <v>80.768496652832965</v>
      </c>
      <c r="AH106" s="357">
        <f t="shared" ca="1" si="57"/>
        <v>90.383827724088817</v>
      </c>
    </row>
    <row r="107" spans="1:34" x14ac:dyDescent="0.25">
      <c r="A107" s="402">
        <f t="shared" ca="1" si="35"/>
        <v>0.01</v>
      </c>
      <c r="B107" s="357">
        <f t="shared" ca="1" si="36"/>
        <v>1.0300000000000007</v>
      </c>
      <c r="C107" s="342"/>
      <c r="D107" s="359">
        <f t="shared" ca="1" si="37"/>
        <v>17.929944334346697</v>
      </c>
      <c r="E107" s="360">
        <f t="shared" ca="1" si="38"/>
        <v>78.739233327966843</v>
      </c>
      <c r="F107" s="357">
        <f t="shared" ca="1" si="39"/>
        <v>80.754874582954912</v>
      </c>
      <c r="G107" s="359">
        <f t="shared" ca="1" si="40"/>
        <v>16.57490907580738</v>
      </c>
      <c r="H107" s="360">
        <f t="shared" ca="1" si="41"/>
        <v>81.759125196844479</v>
      </c>
      <c r="I107" s="357">
        <f t="shared" ca="1" si="42"/>
        <v>83.422312146239221</v>
      </c>
      <c r="J107" s="359">
        <f t="shared" ca="1" si="43"/>
        <v>8.0168765293952386</v>
      </c>
      <c r="K107" s="360">
        <f t="shared" ca="1" si="44"/>
        <v>41.708998809973508</v>
      </c>
      <c r="L107" s="357">
        <f t="shared" ca="1" si="29"/>
        <v>42.472472155714456</v>
      </c>
      <c r="M107" s="359">
        <f t="shared" ca="1" si="45"/>
        <v>1.3707785410650186</v>
      </c>
      <c r="N107" s="357">
        <f t="shared" ca="1" si="46"/>
        <v>78.53982505012597</v>
      </c>
      <c r="O107" s="343"/>
      <c r="P107" s="363">
        <f t="shared" ca="1" si="47"/>
        <v>6</v>
      </c>
      <c r="Q107" s="357">
        <f t="shared" ca="1" si="48"/>
        <v>1011.1947368421052</v>
      </c>
      <c r="R107" s="359">
        <f t="shared" ca="1" si="49"/>
        <v>0.50654006571633869</v>
      </c>
      <c r="S107" s="360">
        <f t="shared" ca="1" si="50"/>
        <v>10.981974948209235</v>
      </c>
      <c r="T107" s="357">
        <f t="shared" ca="1" si="30"/>
        <v>107.7331742419326</v>
      </c>
      <c r="U107" s="364">
        <f t="shared" ca="1" si="31"/>
        <v>0</v>
      </c>
      <c r="V107" s="359">
        <f t="shared" ca="1" si="32"/>
        <v>1.2199012807694942</v>
      </c>
      <c r="W107" s="357">
        <f t="shared" ca="1" si="33"/>
        <v>19.386047622803463</v>
      </c>
      <c r="X107" s="343"/>
      <c r="Y107" s="367" t="str">
        <f t="shared" ca="1" si="51"/>
        <v/>
      </c>
      <c r="Z107" s="368" t="str">
        <f t="shared" ca="1" si="52"/>
        <v/>
      </c>
      <c r="AA107" s="369" t="str">
        <f t="shared" ca="1" si="53"/>
        <v/>
      </c>
      <c r="AB107" s="344"/>
      <c r="AC107" s="363" t="e">
        <f t="shared" ca="1" si="54"/>
        <v>#N/A</v>
      </c>
      <c r="AD107" s="376" t="e">
        <f t="shared" ca="1" si="55"/>
        <v>#N/A</v>
      </c>
      <c r="AE107" s="377">
        <f t="shared" ca="1" si="34"/>
        <v>41.708998809973508</v>
      </c>
      <c r="AF107" s="344"/>
      <c r="AG107" s="359">
        <f t="shared" ca="1" si="56"/>
        <v>80.731403141650702</v>
      </c>
      <c r="AH107" s="357">
        <f t="shared" ca="1" si="57"/>
        <v>90.346276219905633</v>
      </c>
    </row>
    <row r="108" spans="1:34" x14ac:dyDescent="0.25">
      <c r="A108" s="402">
        <f t="shared" ca="1" si="35"/>
        <v>0.01</v>
      </c>
      <c r="B108" s="357">
        <f t="shared" ca="1" si="36"/>
        <v>1.0400000000000007</v>
      </c>
      <c r="C108" s="342"/>
      <c r="D108" s="359">
        <f t="shared" ca="1" si="37"/>
        <v>17.943075784792473</v>
      </c>
      <c r="E108" s="360">
        <f t="shared" ca="1" si="38"/>
        <v>78.697886999305126</v>
      </c>
      <c r="F108" s="357">
        <f t="shared" ca="1" si="39"/>
        <v>80.717478818247315</v>
      </c>
      <c r="G108" s="359">
        <f t="shared" ca="1" si="40"/>
        <v>16.754339833655305</v>
      </c>
      <c r="H108" s="360">
        <f t="shared" ca="1" si="41"/>
        <v>82.546104066837529</v>
      </c>
      <c r="I108" s="357">
        <f t="shared" ca="1" si="42"/>
        <v>84.22925382475367</v>
      </c>
      <c r="J108" s="359">
        <f t="shared" ca="1" si="43"/>
        <v>8.1835227739425527</v>
      </c>
      <c r="K108" s="360">
        <f t="shared" ca="1" si="44"/>
        <v>42.53052495629192</v>
      </c>
      <c r="L108" s="357">
        <f t="shared" ca="1" si="29"/>
        <v>43.310686880369445</v>
      </c>
      <c r="M108" s="359">
        <f t="shared" ca="1" si="45"/>
        <v>1.370547134865421</v>
      </c>
      <c r="N108" s="357">
        <f t="shared" ca="1" si="46"/>
        <v>78.526566451535871</v>
      </c>
      <c r="O108" s="343"/>
      <c r="P108" s="363">
        <f t="shared" ca="1" si="47"/>
        <v>6</v>
      </c>
      <c r="Q108" s="357">
        <f t="shared" ca="1" si="48"/>
        <v>1010.6929824561403</v>
      </c>
      <c r="R108" s="359">
        <f t="shared" ca="1" si="49"/>
        <v>0.50628872075737075</v>
      </c>
      <c r="S108" s="360">
        <f t="shared" ca="1" si="50"/>
        <v>10.976912061001661</v>
      </c>
      <c r="T108" s="357">
        <f t="shared" ca="1" si="30"/>
        <v>107.68350731842629</v>
      </c>
      <c r="U108" s="364">
        <f t="shared" ca="1" si="31"/>
        <v>0</v>
      </c>
      <c r="V108" s="359">
        <f t="shared" ca="1" si="32"/>
        <v>1.2198010663616969</v>
      </c>
      <c r="W108" s="357">
        <f t="shared" ca="1" si="33"/>
        <v>19.761279377092677</v>
      </c>
      <c r="X108" s="343"/>
      <c r="Y108" s="367" t="str">
        <f t="shared" ca="1" si="51"/>
        <v/>
      </c>
      <c r="Z108" s="368" t="str">
        <f t="shared" ca="1" si="52"/>
        <v/>
      </c>
      <c r="AA108" s="369" t="str">
        <f t="shared" ca="1" si="53"/>
        <v/>
      </c>
      <c r="AB108" s="344"/>
      <c r="AC108" s="363" t="e">
        <f t="shared" ca="1" si="54"/>
        <v>#N/A</v>
      </c>
      <c r="AD108" s="376" t="e">
        <f t="shared" ca="1" si="55"/>
        <v>#N/A</v>
      </c>
      <c r="AE108" s="377">
        <f t="shared" ca="1" si="34"/>
        <v>42.53052495629192</v>
      </c>
      <c r="AF108" s="344"/>
      <c r="AG108" s="359">
        <f t="shared" ca="1" si="56"/>
        <v>80.693942332549412</v>
      </c>
      <c r="AH108" s="357">
        <f t="shared" ca="1" si="57"/>
        <v>90.308360796221805</v>
      </c>
    </row>
    <row r="109" spans="1:34" x14ac:dyDescent="0.25">
      <c r="A109" s="402">
        <f t="shared" ca="1" si="35"/>
        <v>0.01</v>
      </c>
      <c r="B109" s="357">
        <f t="shared" ca="1" si="36"/>
        <v>1.0500000000000007</v>
      </c>
      <c r="C109" s="342"/>
      <c r="D109" s="359">
        <f t="shared" ca="1" si="37"/>
        <v>17.955942355864021</v>
      </c>
      <c r="E109" s="360">
        <f t="shared" ca="1" si="38"/>
        <v>78.656218367370712</v>
      </c>
      <c r="F109" s="357">
        <f t="shared" ca="1" si="39"/>
        <v>80.679715875445538</v>
      </c>
      <c r="G109" s="359">
        <f t="shared" ca="1" si="40"/>
        <v>16.933899257213945</v>
      </c>
      <c r="H109" s="360">
        <f t="shared" ca="1" si="41"/>
        <v>83.332666250511238</v>
      </c>
      <c r="I109" s="357">
        <f t="shared" ca="1" si="42"/>
        <v>85.035817209412215</v>
      </c>
      <c r="J109" s="359">
        <f t="shared" ca="1" si="43"/>
        <v>8.3519639693968983</v>
      </c>
      <c r="K109" s="360">
        <f t="shared" ca="1" si="44"/>
        <v>43.359918807878664</v>
      </c>
      <c r="L109" s="357">
        <f t="shared" ca="1" si="29"/>
        <v>44.156968432761936</v>
      </c>
      <c r="M109" s="359">
        <f t="shared" ca="1" si="45"/>
        <v>1.370317661920978</v>
      </c>
      <c r="N109" s="357">
        <f t="shared" ca="1" si="46"/>
        <v>78.513418620306837</v>
      </c>
      <c r="O109" s="343"/>
      <c r="P109" s="363">
        <f t="shared" ca="1" si="47"/>
        <v>6</v>
      </c>
      <c r="Q109" s="357">
        <f t="shared" ca="1" si="48"/>
        <v>1010.1912280701754</v>
      </c>
      <c r="R109" s="359">
        <f t="shared" ca="1" si="49"/>
        <v>0.50603737579840291</v>
      </c>
      <c r="S109" s="360">
        <f t="shared" ca="1" si="50"/>
        <v>10.971851687243676</v>
      </c>
      <c r="T109" s="357">
        <f t="shared" ca="1" si="30"/>
        <v>107.63386505186047</v>
      </c>
      <c r="U109" s="364">
        <f t="shared" ca="1" si="31"/>
        <v>0</v>
      </c>
      <c r="V109" s="359">
        <f t="shared" ca="1" si="32"/>
        <v>1.2196999005401479</v>
      </c>
      <c r="W109" s="357">
        <f t="shared" ca="1" si="33"/>
        <v>20.139881482445393</v>
      </c>
      <c r="X109" s="343"/>
      <c r="Y109" s="367" t="str">
        <f t="shared" ca="1" si="51"/>
        <v/>
      </c>
      <c r="Z109" s="368" t="str">
        <f t="shared" ca="1" si="52"/>
        <v/>
      </c>
      <c r="AA109" s="369" t="str">
        <f t="shared" ca="1" si="53"/>
        <v/>
      </c>
      <c r="AB109" s="344"/>
      <c r="AC109" s="363" t="e">
        <f t="shared" ca="1" si="54"/>
        <v>#N/A</v>
      </c>
      <c r="AD109" s="376" t="e">
        <f t="shared" ca="1" si="55"/>
        <v>#N/A</v>
      </c>
      <c r="AE109" s="377">
        <f t="shared" ca="1" si="34"/>
        <v>43.359918807878664</v>
      </c>
      <c r="AF109" s="344"/>
      <c r="AG109" s="359">
        <f t="shared" ca="1" si="56"/>
        <v>80.656114575765315</v>
      </c>
      <c r="AH109" s="357">
        <f t="shared" ca="1" si="57"/>
        <v>90.27008174423257</v>
      </c>
    </row>
    <row r="110" spans="1:34" x14ac:dyDescent="0.25">
      <c r="A110" s="402">
        <f t="shared" ca="1" si="35"/>
        <v>0.01</v>
      </c>
      <c r="B110" s="357">
        <f t="shared" ca="1" si="36"/>
        <v>1.0600000000000007</v>
      </c>
      <c r="C110" s="342"/>
      <c r="D110" s="359">
        <f t="shared" ca="1" si="37"/>
        <v>17.96854730335361</v>
      </c>
      <c r="E110" s="360">
        <f t="shared" ca="1" si="38"/>
        <v>78.614227207977635</v>
      </c>
      <c r="F110" s="357">
        <f t="shared" ca="1" si="39"/>
        <v>80.641586118456203</v>
      </c>
      <c r="G110" s="359">
        <f t="shared" ca="1" si="40"/>
        <v>17.113584730247482</v>
      </c>
      <c r="H110" s="360">
        <f t="shared" ca="1" si="41"/>
        <v>84.11880852259101</v>
      </c>
      <c r="I110" s="357">
        <f t="shared" ca="1" si="42"/>
        <v>85.841998634582652</v>
      </c>
      <c r="J110" s="359">
        <f t="shared" ca="1" si="43"/>
        <v>8.5222013893342048</v>
      </c>
      <c r="K110" s="360">
        <f t="shared" ca="1" si="44"/>
        <v>44.197176181744176</v>
      </c>
      <c r="L110" s="357">
        <f t="shared" ca="1" si="29"/>
        <v>45.011313010847665</v>
      </c>
      <c r="M110" s="359">
        <f t="shared" ca="1" si="45"/>
        <v>1.3700900870671091</v>
      </c>
      <c r="N110" s="357">
        <f t="shared" ca="1" si="46"/>
        <v>78.500379541656841</v>
      </c>
      <c r="O110" s="343"/>
      <c r="P110" s="363">
        <f t="shared" ca="1" si="47"/>
        <v>6</v>
      </c>
      <c r="Q110" s="357">
        <f t="shared" ca="1" si="48"/>
        <v>1009.6894736842105</v>
      </c>
      <c r="R110" s="359">
        <f t="shared" ca="1" si="49"/>
        <v>0.50578603083943507</v>
      </c>
      <c r="S110" s="360">
        <f t="shared" ca="1" si="50"/>
        <v>10.966793826935282</v>
      </c>
      <c r="T110" s="357">
        <f t="shared" ca="1" si="30"/>
        <v>107.58424744223512</v>
      </c>
      <c r="U110" s="364">
        <f t="shared" ca="1" si="31"/>
        <v>0</v>
      </c>
      <c r="V110" s="359">
        <f t="shared" ca="1" si="32"/>
        <v>1.2195977840522372</v>
      </c>
      <c r="W110" s="357">
        <f t="shared" ca="1" si="33"/>
        <v>20.521845352597097</v>
      </c>
      <c r="X110" s="343"/>
      <c r="Y110" s="367" t="str">
        <f t="shared" ca="1" si="51"/>
        <v/>
      </c>
      <c r="Z110" s="368" t="str">
        <f t="shared" ca="1" si="52"/>
        <v/>
      </c>
      <c r="AA110" s="369" t="str">
        <f t="shared" ca="1" si="53"/>
        <v/>
      </c>
      <c r="AB110" s="344"/>
      <c r="AC110" s="363" t="e">
        <f t="shared" ca="1" si="54"/>
        <v>#N/A</v>
      </c>
      <c r="AD110" s="376" t="e">
        <f t="shared" ca="1" si="55"/>
        <v>#N/A</v>
      </c>
      <c r="AE110" s="377">
        <f t="shared" ca="1" si="34"/>
        <v>44.197176181744176</v>
      </c>
      <c r="AF110" s="344"/>
      <c r="AG110" s="359">
        <f t="shared" ca="1" si="56"/>
        <v>80.617920227841836</v>
      </c>
      <c r="AH110" s="357">
        <f t="shared" ca="1" si="57"/>
        <v>90.231439363011987</v>
      </c>
    </row>
    <row r="111" spans="1:34" x14ac:dyDescent="0.25">
      <c r="A111" s="402">
        <f t="shared" ca="1" si="35"/>
        <v>0.01</v>
      </c>
      <c r="B111" s="357">
        <f t="shared" ca="1" si="36"/>
        <v>1.0700000000000007</v>
      </c>
      <c r="C111" s="342"/>
      <c r="D111" s="359">
        <f t="shared" ca="1" si="37"/>
        <v>17.980893794933028</v>
      </c>
      <c r="E111" s="360">
        <f t="shared" ca="1" si="38"/>
        <v>78.571913318703281</v>
      </c>
      <c r="F111" s="357">
        <f t="shared" ca="1" si="39"/>
        <v>80.603089917362865</v>
      </c>
      <c r="G111" s="359">
        <f t="shared" ca="1" si="40"/>
        <v>17.293393668196813</v>
      </c>
      <c r="H111" s="360">
        <f t="shared" ca="1" si="41"/>
        <v>84.90452765577804</v>
      </c>
      <c r="I111" s="357">
        <f t="shared" ca="1" si="42"/>
        <v>86.647794438254508</v>
      </c>
      <c r="J111" s="359">
        <f t="shared" ca="1" si="43"/>
        <v>8.6942362813264271</v>
      </c>
      <c r="K111" s="360">
        <f t="shared" ca="1" si="44"/>
        <v>45.042292862636025</v>
      </c>
      <c r="L111" s="357">
        <f t="shared" ca="1" si="29"/>
        <v>45.87371677593832</v>
      </c>
      <c r="M111" s="359">
        <f t="shared" ca="1" si="45"/>
        <v>1.3698643760970215</v>
      </c>
      <c r="N111" s="357">
        <f t="shared" ca="1" si="46"/>
        <v>78.487447255681019</v>
      </c>
      <c r="O111" s="343"/>
      <c r="P111" s="363">
        <f t="shared" ca="1" si="47"/>
        <v>6</v>
      </c>
      <c r="Q111" s="357">
        <f t="shared" ca="1" si="48"/>
        <v>1009.1877192982456</v>
      </c>
      <c r="R111" s="359">
        <f t="shared" ca="1" si="49"/>
        <v>0.50553468588046713</v>
      </c>
      <c r="S111" s="360">
        <f t="shared" ca="1" si="50"/>
        <v>10.961738480076477</v>
      </c>
      <c r="T111" s="357">
        <f t="shared" ca="1" si="30"/>
        <v>107.53465448955025</v>
      </c>
      <c r="U111" s="364">
        <f t="shared" ca="1" si="31"/>
        <v>0</v>
      </c>
      <c r="V111" s="359">
        <f t="shared" ca="1" si="32"/>
        <v>1.2194947176513191</v>
      </c>
      <c r="W111" s="357">
        <f t="shared" ca="1" si="33"/>
        <v>20.907162326848635</v>
      </c>
      <c r="X111" s="343"/>
      <c r="Y111" s="367" t="str">
        <f t="shared" ca="1" si="51"/>
        <v/>
      </c>
      <c r="Z111" s="368" t="str">
        <f t="shared" ca="1" si="52"/>
        <v/>
      </c>
      <c r="AA111" s="369" t="str">
        <f t="shared" ca="1" si="53"/>
        <v/>
      </c>
      <c r="AB111" s="344"/>
      <c r="AC111" s="363" t="e">
        <f t="shared" ca="1" si="54"/>
        <v>#N/A</v>
      </c>
      <c r="AD111" s="376" t="e">
        <f t="shared" ca="1" si="55"/>
        <v>#N/A</v>
      </c>
      <c r="AE111" s="377">
        <f t="shared" ca="1" si="34"/>
        <v>45.042292862636025</v>
      </c>
      <c r="AF111" s="344"/>
      <c r="AG111" s="359">
        <f t="shared" ca="1" si="56"/>
        <v>80.579359651676839</v>
      </c>
      <c r="AH111" s="357">
        <f t="shared" ca="1" si="57"/>
        <v>90.192433959503731</v>
      </c>
    </row>
    <row r="112" spans="1:34" x14ac:dyDescent="0.25">
      <c r="A112" s="402">
        <f t="shared" ca="1" si="35"/>
        <v>0.01</v>
      </c>
      <c r="B112" s="357">
        <f t="shared" ca="1" si="36"/>
        <v>1.0800000000000007</v>
      </c>
      <c r="C112" s="342"/>
      <c r="D112" s="359">
        <f t="shared" ca="1" si="37"/>
        <v>17.992984913472458</v>
      </c>
      <c r="E112" s="360">
        <f t="shared" ca="1" si="38"/>
        <v>78.529276518372967</v>
      </c>
      <c r="F112" s="357">
        <f t="shared" ca="1" si="39"/>
        <v>80.564227648476404</v>
      </c>
      <c r="G112" s="359">
        <f t="shared" ca="1" si="40"/>
        <v>17.473323517331536</v>
      </c>
      <c r="H112" s="360">
        <f t="shared" ca="1" si="41"/>
        <v>85.689820420961766</v>
      </c>
      <c r="I112" s="357">
        <f t="shared" ca="1" si="42"/>
        <v>87.453200962103196</v>
      </c>
      <c r="J112" s="359">
        <f t="shared" ca="1" si="43"/>
        <v>8.8680698672540696</v>
      </c>
      <c r="K112" s="360">
        <f t="shared" ca="1" si="44"/>
        <v>45.895264603019726</v>
      </c>
      <c r="L112" s="357">
        <f t="shared" ca="1" si="29"/>
        <v>46.744175852738003</v>
      </c>
      <c r="M112" s="359">
        <f t="shared" ca="1" si="45"/>
        <v>1.3696404957268853</v>
      </c>
      <c r="N112" s="357">
        <f t="shared" ca="1" si="46"/>
        <v>78.474619855356394</v>
      </c>
      <c r="O112" s="343"/>
      <c r="P112" s="363">
        <f t="shared" ca="1" si="47"/>
        <v>6</v>
      </c>
      <c r="Q112" s="357">
        <f t="shared" ca="1" si="48"/>
        <v>1008.6859649122806</v>
      </c>
      <c r="R112" s="359">
        <f t="shared" ca="1" si="49"/>
        <v>0.50528334092149918</v>
      </c>
      <c r="S112" s="360">
        <f t="shared" ca="1" si="50"/>
        <v>10.956685646667262</v>
      </c>
      <c r="T112" s="357">
        <f t="shared" ca="1" si="30"/>
        <v>107.48508619380584</v>
      </c>
      <c r="U112" s="364">
        <f t="shared" ca="1" si="31"/>
        <v>0</v>
      </c>
      <c r="V112" s="359">
        <f t="shared" ca="1" si="32"/>
        <v>1.2193907020967056</v>
      </c>
      <c r="W112" s="357">
        <f t="shared" ca="1" si="33"/>
        <v>21.295823670367188</v>
      </c>
      <c r="X112" s="343"/>
      <c r="Y112" s="367" t="str">
        <f t="shared" ca="1" si="51"/>
        <v/>
      </c>
      <c r="Z112" s="368" t="str">
        <f t="shared" ca="1" si="52"/>
        <v/>
      </c>
      <c r="AA112" s="369" t="str">
        <f t="shared" ca="1" si="53"/>
        <v/>
      </c>
      <c r="AB112" s="344"/>
      <c r="AC112" s="363" t="e">
        <f t="shared" ca="1" si="54"/>
        <v>#N/A</v>
      </c>
      <c r="AD112" s="376" t="e">
        <f t="shared" ca="1" si="55"/>
        <v>#N/A</v>
      </c>
      <c r="AE112" s="377">
        <f t="shared" ca="1" si="34"/>
        <v>45.895264603019726</v>
      </c>
      <c r="AF112" s="344"/>
      <c r="AG112" s="359">
        <f t="shared" ca="1" si="56"/>
        <v>80.540433216566797</v>
      </c>
      <c r="AH112" s="357">
        <f t="shared" ca="1" si="57"/>
        <v>90.153065848511275</v>
      </c>
    </row>
    <row r="113" spans="1:34" x14ac:dyDescent="0.25">
      <c r="A113" s="402">
        <f t="shared" ca="1" si="35"/>
        <v>0.01</v>
      </c>
      <c r="B113" s="357">
        <f t="shared" ca="1" si="36"/>
        <v>1.0900000000000007</v>
      </c>
      <c r="C113" s="342"/>
      <c r="D113" s="359">
        <f t="shared" ca="1" si="37"/>
        <v>18.004823660206892</v>
      </c>
      <c r="E113" s="360">
        <f t="shared" ca="1" si="38"/>
        <v>78.486316646567076</v>
      </c>
      <c r="F113" s="357">
        <f t="shared" ca="1" si="39"/>
        <v>80.524999694382728</v>
      </c>
      <c r="G113" s="359">
        <f t="shared" ca="1" si="40"/>
        <v>17.653371753933605</v>
      </c>
      <c r="H113" s="360">
        <f t="shared" ca="1" si="41"/>
        <v>86.474683587427435</v>
      </c>
      <c r="I113" s="357">
        <f t="shared" ca="1" si="42"/>
        <v>88.258214551554758</v>
      </c>
      <c r="J113" s="359">
        <f t="shared" ca="1" si="43"/>
        <v>9.043703343610396</v>
      </c>
      <c r="K113" s="360">
        <f t="shared" ca="1" si="44"/>
        <v>46.756087123061668</v>
      </c>
      <c r="L113" s="357">
        <f t="shared" ca="1" si="29"/>
        <v>47.622686329380485</v>
      </c>
      <c r="M113" s="359">
        <f t="shared" ca="1" si="45"/>
        <v>1.3694184135625811</v>
      </c>
      <c r="N113" s="357">
        <f t="shared" ca="1" si="46"/>
        <v>78.461895484636628</v>
      </c>
      <c r="O113" s="343"/>
      <c r="P113" s="363">
        <f t="shared" ca="1" si="47"/>
        <v>6</v>
      </c>
      <c r="Q113" s="357">
        <f t="shared" ca="1" si="48"/>
        <v>1008.1842105263157</v>
      </c>
      <c r="R113" s="359">
        <f t="shared" ca="1" si="49"/>
        <v>0.50503199596253134</v>
      </c>
      <c r="S113" s="360">
        <f t="shared" ca="1" si="50"/>
        <v>10.951635326707637</v>
      </c>
      <c r="T113" s="357">
        <f t="shared" ca="1" si="30"/>
        <v>107.43554255500192</v>
      </c>
      <c r="U113" s="364">
        <f t="shared" ca="1" si="31"/>
        <v>0</v>
      </c>
      <c r="V113" s="359">
        <f t="shared" ca="1" si="32"/>
        <v>1.2192857381536615</v>
      </c>
      <c r="W113" s="357">
        <f t="shared" ca="1" si="33"/>
        <v>21.687820574490729</v>
      </c>
      <c r="X113" s="343"/>
      <c r="Y113" s="367" t="str">
        <f t="shared" ca="1" si="51"/>
        <v/>
      </c>
      <c r="Z113" s="368" t="str">
        <f t="shared" ca="1" si="52"/>
        <v/>
      </c>
      <c r="AA113" s="369" t="str">
        <f t="shared" ca="1" si="53"/>
        <v/>
      </c>
      <c r="AB113" s="344"/>
      <c r="AC113" s="363" t="e">
        <f t="shared" ca="1" si="54"/>
        <v>#N/A</v>
      </c>
      <c r="AD113" s="376" t="e">
        <f t="shared" ca="1" si="55"/>
        <v>#N/A</v>
      </c>
      <c r="AE113" s="377">
        <f t="shared" ca="1" si="34"/>
        <v>46.756087123061668</v>
      </c>
      <c r="AF113" s="344"/>
      <c r="AG113" s="359">
        <f t="shared" ca="1" si="56"/>
        <v>80.501141298248314</v>
      </c>
      <c r="AH113" s="357">
        <f t="shared" ca="1" si="57"/>
        <v>90.113335352687855</v>
      </c>
    </row>
    <row r="114" spans="1:34" x14ac:dyDescent="0.25">
      <c r="A114" s="402">
        <f t="shared" ca="1" si="35"/>
        <v>0.01</v>
      </c>
      <c r="B114" s="357">
        <f t="shared" ca="1" si="36"/>
        <v>1.1000000000000008</v>
      </c>
      <c r="C114" s="342"/>
      <c r="D114" s="359">
        <f t="shared" ca="1" si="37"/>
        <v>18.01641295775914</v>
      </c>
      <c r="E114" s="360">
        <f t="shared" ca="1" si="38"/>
        <v>78.443033563148973</v>
      </c>
      <c r="F114" s="357">
        <f t="shared" ca="1" si="39"/>
        <v>80.485406443987273</v>
      </c>
      <c r="G114" s="359">
        <f t="shared" ca="1" si="40"/>
        <v>17.833535883511196</v>
      </c>
      <c r="H114" s="360">
        <f t="shared" ca="1" si="41"/>
        <v>87.259113923058919</v>
      </c>
      <c r="I114" s="357">
        <f t="shared" ca="1" si="42"/>
        <v>89.062831555850821</v>
      </c>
      <c r="J114" s="359">
        <f t="shared" ca="1" si="43"/>
        <v>9.2211378817976204</v>
      </c>
      <c r="K114" s="360">
        <f t="shared" ca="1" si="44"/>
        <v>47.624756110614101</v>
      </c>
      <c r="L114" s="357">
        <f t="shared" ca="1" si="29"/>
        <v>48.509244257467032</v>
      </c>
      <c r="M114" s="359">
        <f t="shared" ca="1" si="45"/>
        <v>1.3691980980679452</v>
      </c>
      <c r="N114" s="357">
        <f t="shared" ca="1" si="46"/>
        <v>78.44927233663266</v>
      </c>
      <c r="O114" s="343"/>
      <c r="P114" s="363">
        <f t="shared" ca="1" si="47"/>
        <v>6</v>
      </c>
      <c r="Q114" s="357">
        <f t="shared" ca="1" si="48"/>
        <v>1007.6824561403508</v>
      </c>
      <c r="R114" s="359">
        <f t="shared" ca="1" si="49"/>
        <v>0.50478065100356351</v>
      </c>
      <c r="S114" s="360">
        <f t="shared" ca="1" si="50"/>
        <v>10.946587520197602</v>
      </c>
      <c r="T114" s="357">
        <f t="shared" ca="1" si="30"/>
        <v>107.38602357313847</v>
      </c>
      <c r="U114" s="364">
        <f t="shared" ca="1" si="31"/>
        <v>0</v>
      </c>
      <c r="V114" s="359">
        <f t="shared" ca="1" si="32"/>
        <v>1.2191798265934004</v>
      </c>
      <c r="W114" s="357">
        <f t="shared" ca="1" si="33"/>
        <v>22.083144157035711</v>
      </c>
      <c r="X114" s="343"/>
      <c r="Y114" s="367" t="str">
        <f t="shared" ca="1" si="51"/>
        <v/>
      </c>
      <c r="Z114" s="368" t="str">
        <f t="shared" ca="1" si="52"/>
        <v/>
      </c>
      <c r="AA114" s="369" t="str">
        <f t="shared" ca="1" si="53"/>
        <v/>
      </c>
      <c r="AB114" s="344"/>
      <c r="AC114" s="363" t="e">
        <f t="shared" ca="1" si="54"/>
        <v>#N/A</v>
      </c>
      <c r="AD114" s="376" t="e">
        <f t="shared" ca="1" si="55"/>
        <v>#N/A</v>
      </c>
      <c r="AE114" s="377">
        <f t="shared" ca="1" si="34"/>
        <v>47.624756110614101</v>
      </c>
      <c r="AF114" s="344"/>
      <c r="AG114" s="359">
        <f t="shared" ca="1" si="56"/>
        <v>80.461484278936936</v>
      </c>
      <c r="AH114" s="357">
        <f t="shared" ca="1" si="57"/>
        <v>90.073242802526053</v>
      </c>
    </row>
    <row r="115" spans="1:34" x14ac:dyDescent="0.25">
      <c r="A115" s="402">
        <f t="shared" ca="1" si="35"/>
        <v>0.01</v>
      </c>
      <c r="B115" s="357">
        <f t="shared" ca="1" si="36"/>
        <v>1.1100000000000008</v>
      </c>
      <c r="C115" s="342"/>
      <c r="D115" s="359">
        <f t="shared" ca="1" si="37"/>
        <v>18.027755653026301</v>
      </c>
      <c r="E115" s="360">
        <f t="shared" ca="1" si="38"/>
        <v>78.399427147813086</v>
      </c>
      <c r="F115" s="357">
        <f t="shared" ca="1" si="39"/>
        <v>80.445448292557074</v>
      </c>
      <c r="G115" s="359">
        <f t="shared" ca="1" si="40"/>
        <v>18.01381344004146</v>
      </c>
      <c r="H115" s="360">
        <f t="shared" ca="1" si="41"/>
        <v>88.043108194537055</v>
      </c>
      <c r="I115" s="357">
        <f t="shared" ca="1" si="42"/>
        <v>89.867048328113995</v>
      </c>
      <c r="J115" s="359">
        <f t="shared" ca="1" si="43"/>
        <v>9.4003746284153831</v>
      </c>
      <c r="K115" s="360">
        <f t="shared" ca="1" si="44"/>
        <v>48.501267221202077</v>
      </c>
      <c r="L115" s="357">
        <f t="shared" ca="1" si="29"/>
        <v>49.403845652104927</v>
      </c>
      <c r="M115" s="359">
        <f t="shared" ca="1" si="45"/>
        <v>1.3689795185344236</v>
      </c>
      <c r="N115" s="357">
        <f t="shared" ca="1" si="46"/>
        <v>78.436748651873927</v>
      </c>
      <c r="O115" s="343"/>
      <c r="P115" s="363">
        <f t="shared" ca="1" si="47"/>
        <v>6</v>
      </c>
      <c r="Q115" s="357">
        <f t="shared" ca="1" si="48"/>
        <v>1007.180701754386</v>
      </c>
      <c r="R115" s="359">
        <f t="shared" ca="1" si="49"/>
        <v>0.50452930604459556</v>
      </c>
      <c r="S115" s="360">
        <f t="shared" ca="1" si="50"/>
        <v>10.941542227137155</v>
      </c>
      <c r="T115" s="357">
        <f t="shared" ca="1" si="30"/>
        <v>107.3365292482155</v>
      </c>
      <c r="U115" s="364">
        <f t="shared" ca="1" si="31"/>
        <v>0</v>
      </c>
      <c r="V115" s="359">
        <f t="shared" ca="1" si="32"/>
        <v>1.2190729681930774</v>
      </c>
      <c r="W115" s="357">
        <f t="shared" ca="1" si="33"/>
        <v>22.48178546260807</v>
      </c>
      <c r="X115" s="343"/>
      <c r="Y115" s="367" t="str">
        <f t="shared" ca="1" si="51"/>
        <v/>
      </c>
      <c r="Z115" s="368" t="str">
        <f t="shared" ca="1" si="52"/>
        <v/>
      </c>
      <c r="AA115" s="369" t="str">
        <f t="shared" ca="1" si="53"/>
        <v/>
      </c>
      <c r="AB115" s="344"/>
      <c r="AC115" s="363" t="e">
        <f t="shared" ca="1" si="54"/>
        <v>#N/A</v>
      </c>
      <c r="AD115" s="376" t="e">
        <f t="shared" ca="1" si="55"/>
        <v>#N/A</v>
      </c>
      <c r="AE115" s="377">
        <f t="shared" ca="1" si="34"/>
        <v>48.501267221202077</v>
      </c>
      <c r="AF115" s="344"/>
      <c r="AG115" s="359">
        <f t="shared" ca="1" si="56"/>
        <v>80.421462547363461</v>
      </c>
      <c r="AH115" s="357">
        <f t="shared" ca="1" si="57"/>
        <v>90.032788536346956</v>
      </c>
    </row>
    <row r="116" spans="1:34" x14ac:dyDescent="0.25">
      <c r="A116" s="402">
        <f t="shared" ca="1" si="35"/>
        <v>0.01</v>
      </c>
      <c r="B116" s="357">
        <f t="shared" ca="1" si="36"/>
        <v>1.1200000000000008</v>
      </c>
      <c r="C116" s="342"/>
      <c r="D116" s="359">
        <f t="shared" ca="1" si="37"/>
        <v>18.03885451993786</v>
      </c>
      <c r="E116" s="360">
        <f t="shared" ca="1" si="38"/>
        <v>78.355497299651603</v>
      </c>
      <c r="F116" s="357">
        <f t="shared" ca="1" si="39"/>
        <v>80.405125641759881</v>
      </c>
      <c r="G116" s="359">
        <f t="shared" ca="1" si="40"/>
        <v>18.194201985240838</v>
      </c>
      <c r="H116" s="360">
        <f t="shared" ca="1" si="41"/>
        <v>88.826663167533567</v>
      </c>
      <c r="I116" s="357">
        <f t="shared" ca="1" si="42"/>
        <v>90.670861225413574</v>
      </c>
      <c r="J116" s="359">
        <f t="shared" ca="1" si="43"/>
        <v>9.5814147055417944</v>
      </c>
      <c r="K116" s="360">
        <f t="shared" ca="1" si="44"/>
        <v>49.385616078012433</v>
      </c>
      <c r="L116" s="357">
        <f t="shared" ca="1" si="29"/>
        <v>50.306486491946671</v>
      </c>
      <c r="M116" s="359">
        <f t="shared" ca="1" si="45"/>
        <v>1.3687626450520654</v>
      </c>
      <c r="N116" s="357">
        <f t="shared" ca="1" si="46"/>
        <v>78.4243227166465</v>
      </c>
      <c r="O116" s="343"/>
      <c r="P116" s="363">
        <f t="shared" ca="1" si="47"/>
        <v>6</v>
      </c>
      <c r="Q116" s="357">
        <f t="shared" ca="1" si="48"/>
        <v>1006.6789473684209</v>
      </c>
      <c r="R116" s="359">
        <f t="shared" ca="1" si="49"/>
        <v>0.50427796108562761</v>
      </c>
      <c r="S116" s="360">
        <f t="shared" ca="1" si="50"/>
        <v>10.9364994475263</v>
      </c>
      <c r="T116" s="357">
        <f t="shared" ca="1" si="30"/>
        <v>107.28705958023301</v>
      </c>
      <c r="U116" s="364">
        <f t="shared" ca="1" si="31"/>
        <v>0</v>
      </c>
      <c r="V116" s="359">
        <f t="shared" ca="1" si="32"/>
        <v>1.2189651637357855</v>
      </c>
      <c r="W116" s="357">
        <f t="shared" ca="1" si="33"/>
        <v>22.883735462917528</v>
      </c>
      <c r="X116" s="343"/>
      <c r="Y116" s="367" t="str">
        <f t="shared" ca="1" si="51"/>
        <v/>
      </c>
      <c r="Z116" s="368" t="str">
        <f t="shared" ca="1" si="52"/>
        <v/>
      </c>
      <c r="AA116" s="369" t="str">
        <f t="shared" ca="1" si="53"/>
        <v/>
      </c>
      <c r="AB116" s="344"/>
      <c r="AC116" s="363" t="e">
        <f t="shared" ca="1" si="54"/>
        <v>#N/A</v>
      </c>
      <c r="AD116" s="376" t="e">
        <f t="shared" ca="1" si="55"/>
        <v>#N/A</v>
      </c>
      <c r="AE116" s="377">
        <f t="shared" ca="1" si="34"/>
        <v>49.385616078012433</v>
      </c>
      <c r="AF116" s="344"/>
      <c r="AG116" s="359">
        <f t="shared" ca="1" si="56"/>
        <v>80.381076498807829</v>
      </c>
      <c r="AH116" s="357">
        <f t="shared" ca="1" si="57"/>
        <v>89.991972900289042</v>
      </c>
    </row>
    <row r="117" spans="1:34" x14ac:dyDescent="0.25">
      <c r="A117" s="402">
        <f t="shared" ca="1" si="35"/>
        <v>0.01</v>
      </c>
      <c r="B117" s="357">
        <f t="shared" ca="1" si="36"/>
        <v>1.1300000000000008</v>
      </c>
      <c r="C117" s="342"/>
      <c r="D117" s="359">
        <f t="shared" ca="1" si="37"/>
        <v>18.049712262091614</v>
      </c>
      <c r="E117" s="360">
        <f t="shared" ca="1" si="38"/>
        <v>78.31124393673916</v>
      </c>
      <c r="F117" s="357">
        <f t="shared" ca="1" si="39"/>
        <v>80.364438899700943</v>
      </c>
      <c r="G117" s="359">
        <f t="shared" ca="1" si="40"/>
        <v>18.374699107861755</v>
      </c>
      <c r="H117" s="360">
        <f t="shared" ca="1" si="41"/>
        <v>89.609775606900953</v>
      </c>
      <c r="I117" s="357">
        <f t="shared" ca="1" si="42"/>
        <v>91.474266608831556</v>
      </c>
      <c r="J117" s="359">
        <f t="shared" ca="1" si="43"/>
        <v>9.7642592110073068</v>
      </c>
      <c r="K117" s="360">
        <f t="shared" ca="1" si="44"/>
        <v>50.277798271884606</v>
      </c>
      <c r="L117" s="357">
        <f t="shared" ca="1" si="29"/>
        <v>51.217162719229812</v>
      </c>
      <c r="M117" s="359">
        <f t="shared" ca="1" si="45"/>
        <v>1.3685474484817837</v>
      </c>
      <c r="N117" s="357">
        <f t="shared" ca="1" si="46"/>
        <v>78.411992861403661</v>
      </c>
      <c r="O117" s="343"/>
      <c r="P117" s="363">
        <f t="shared" ca="1" si="47"/>
        <v>6</v>
      </c>
      <c r="Q117" s="357">
        <f t="shared" ca="1" si="48"/>
        <v>1006.1771929824561</v>
      </c>
      <c r="R117" s="359">
        <f t="shared" ca="1" si="49"/>
        <v>0.50402661612665978</v>
      </c>
      <c r="S117" s="360">
        <f t="shared" ca="1" si="50"/>
        <v>10.931459181365033</v>
      </c>
      <c r="T117" s="357">
        <f t="shared" ca="1" si="30"/>
        <v>107.23761456919098</v>
      </c>
      <c r="U117" s="364">
        <f t="shared" ca="1" si="31"/>
        <v>0</v>
      </c>
      <c r="V117" s="359">
        <f t="shared" ca="1" si="32"/>
        <v>1.2188564140105467</v>
      </c>
      <c r="W117" s="357">
        <f t="shared" ca="1" si="33"/>
        <v>23.288985057095164</v>
      </c>
      <c r="X117" s="343"/>
      <c r="Y117" s="367" t="str">
        <f t="shared" ca="1" si="51"/>
        <v/>
      </c>
      <c r="Z117" s="368" t="str">
        <f t="shared" ca="1" si="52"/>
        <v/>
      </c>
      <c r="AA117" s="369" t="str">
        <f t="shared" ca="1" si="53"/>
        <v/>
      </c>
      <c r="AB117" s="344"/>
      <c r="AC117" s="363" t="e">
        <f t="shared" ca="1" si="54"/>
        <v>#N/A</v>
      </c>
      <c r="AD117" s="376" t="e">
        <f t="shared" ca="1" si="55"/>
        <v>#N/A</v>
      </c>
      <c r="AE117" s="377">
        <f t="shared" ca="1" si="34"/>
        <v>50.277798271884606</v>
      </c>
      <c r="AF117" s="344"/>
      <c r="AG117" s="359">
        <f t="shared" ca="1" si="56"/>
        <v>80.340326535130828</v>
      </c>
      <c r="AH117" s="357">
        <f t="shared" ca="1" si="57"/>
        <v>89.950796248296712</v>
      </c>
    </row>
    <row r="118" spans="1:34" x14ac:dyDescent="0.25">
      <c r="A118" s="402">
        <f t="shared" ca="1" si="35"/>
        <v>0.01</v>
      </c>
      <c r="B118" s="357">
        <f t="shared" ca="1" si="36"/>
        <v>1.1400000000000008</v>
      </c>
      <c r="C118" s="342"/>
      <c r="D118" s="359">
        <f t="shared" ca="1" si="37"/>
        <v>18.060331515274139</v>
      </c>
      <c r="E118" s="360">
        <f t="shared" ca="1" si="38"/>
        <v>78.266666995734383</v>
      </c>
      <c r="F118" s="357">
        <f t="shared" ca="1" si="39"/>
        <v>80.323388480957291</v>
      </c>
      <c r="G118" s="359">
        <f t="shared" ca="1" si="40"/>
        <v>18.555302423014496</v>
      </c>
      <c r="H118" s="360">
        <f t="shared" ca="1" si="41"/>
        <v>90.392442276858304</v>
      </c>
      <c r="I118" s="357">
        <f t="shared" ca="1" si="42"/>
        <v>92.277260843528992</v>
      </c>
      <c r="J118" s="359">
        <f t="shared" ca="1" si="43"/>
        <v>9.9489092186616883</v>
      </c>
      <c r="K118" s="360">
        <f t="shared" ca="1" si="44"/>
        <v>51.177809361303403</v>
      </c>
      <c r="L118" s="357">
        <f t="shared" ca="1" si="29"/>
        <v>52.135870239817478</v>
      </c>
      <c r="M118" s="359">
        <f t="shared" ca="1" si="45"/>
        <v>1.3683339004288158</v>
      </c>
      <c r="N118" s="357">
        <f t="shared" ca="1" si="46"/>
        <v>78.399757459245365</v>
      </c>
      <c r="O118" s="343"/>
      <c r="P118" s="363">
        <f t="shared" ca="1" si="47"/>
        <v>6</v>
      </c>
      <c r="Q118" s="357">
        <f t="shared" ca="1" si="48"/>
        <v>1005.6754385964912</v>
      </c>
      <c r="R118" s="359">
        <f t="shared" ca="1" si="49"/>
        <v>0.50377527116769194</v>
      </c>
      <c r="S118" s="360">
        <f t="shared" ca="1" si="50"/>
        <v>10.926421428653356</v>
      </c>
      <c r="T118" s="357">
        <f t="shared" ca="1" si="30"/>
        <v>107.18819421508942</v>
      </c>
      <c r="U118" s="364">
        <f t="shared" ca="1" si="31"/>
        <v>0</v>
      </c>
      <c r="V118" s="359">
        <f t="shared" ca="1" si="32"/>
        <v>1.2187467198123068</v>
      </c>
      <c r="W118" s="357">
        <f t="shared" ca="1" si="33"/>
        <v>23.697525072014233</v>
      </c>
      <c r="X118" s="343"/>
      <c r="Y118" s="367" t="str">
        <f t="shared" ca="1" si="51"/>
        <v/>
      </c>
      <c r="Z118" s="368" t="str">
        <f t="shared" ca="1" si="52"/>
        <v/>
      </c>
      <c r="AA118" s="369" t="str">
        <f t="shared" ca="1" si="53"/>
        <v/>
      </c>
      <c r="AB118" s="344"/>
      <c r="AC118" s="363" t="e">
        <f t="shared" ca="1" si="54"/>
        <v>#N/A</v>
      </c>
      <c r="AD118" s="376" t="e">
        <f t="shared" ca="1" si="55"/>
        <v>#N/A</v>
      </c>
      <c r="AE118" s="377">
        <f t="shared" ca="1" si="34"/>
        <v>51.177809361303403</v>
      </c>
      <c r="AF118" s="344"/>
      <c r="AG118" s="359">
        <f t="shared" ca="1" si="56"/>
        <v>80.299213064803368</v>
      </c>
      <c r="AH118" s="357">
        <f t="shared" ca="1" si="57"/>
        <v>89.909258942108352</v>
      </c>
    </row>
    <row r="119" spans="1:34" x14ac:dyDescent="0.25">
      <c r="A119" s="402">
        <f t="shared" ca="1" si="35"/>
        <v>0.01</v>
      </c>
      <c r="B119" s="357">
        <f t="shared" ca="1" si="36"/>
        <v>1.1500000000000008</v>
      </c>
      <c r="C119" s="342"/>
      <c r="D119" s="359">
        <f t="shared" ca="1" si="37"/>
        <v>18.070714849871866</v>
      </c>
      <c r="E119" s="360">
        <f t="shared" ca="1" si="38"/>
        <v>78.221766431497343</v>
      </c>
      <c r="F119" s="357">
        <f t="shared" ca="1" si="39"/>
        <v>80.281974806609639</v>
      </c>
      <c r="G119" s="359">
        <f t="shared" ca="1" si="40"/>
        <v>18.736009571513215</v>
      </c>
      <c r="H119" s="360">
        <f t="shared" ca="1" si="41"/>
        <v>91.174659941173275</v>
      </c>
      <c r="I119" s="357">
        <f t="shared" ca="1" si="42"/>
        <v>93.079840298812414</v>
      </c>
      <c r="J119" s="359">
        <f t="shared" ca="1" si="43"/>
        <v>10.135365778634327</v>
      </c>
      <c r="K119" s="360">
        <f t="shared" ca="1" si="44"/>
        <v>52.085644872393559</v>
      </c>
      <c r="L119" s="357">
        <f t="shared" ca="1" si="29"/>
        <v>53.062604923239583</v>
      </c>
      <c r="M119" s="359">
        <f t="shared" ca="1" si="45"/>
        <v>1.368121973217324</v>
      </c>
      <c r="N119" s="357">
        <f t="shared" ca="1" si="46"/>
        <v>78.387614924462909</v>
      </c>
      <c r="O119" s="343"/>
      <c r="P119" s="363">
        <f t="shared" ca="1" si="47"/>
        <v>6</v>
      </c>
      <c r="Q119" s="357">
        <f t="shared" ca="1" si="48"/>
        <v>1005.1736842105263</v>
      </c>
      <c r="R119" s="359">
        <f t="shared" ca="1" si="49"/>
        <v>0.50352392620872399</v>
      </c>
      <c r="S119" s="360">
        <f t="shared" ca="1" si="50"/>
        <v>10.921386189391269</v>
      </c>
      <c r="T119" s="357">
        <f t="shared" ca="1" si="30"/>
        <v>107.13879851792835</v>
      </c>
      <c r="U119" s="364">
        <f t="shared" ca="1" si="31"/>
        <v>0</v>
      </c>
      <c r="V119" s="359">
        <f t="shared" ca="1" si="32"/>
        <v>1.2186360819419304</v>
      </c>
      <c r="W119" s="357">
        <f t="shared" ca="1" si="33"/>
        <v>24.109346262614203</v>
      </c>
      <c r="X119" s="343"/>
      <c r="Y119" s="367" t="str">
        <f t="shared" ca="1" si="51"/>
        <v/>
      </c>
      <c r="Z119" s="368" t="str">
        <f t="shared" ca="1" si="52"/>
        <v/>
      </c>
      <c r="AA119" s="369" t="str">
        <f t="shared" ca="1" si="53"/>
        <v/>
      </c>
      <c r="AB119" s="344"/>
      <c r="AC119" s="363" t="e">
        <f t="shared" ca="1" si="54"/>
        <v>#N/A</v>
      </c>
      <c r="AD119" s="376" t="e">
        <f t="shared" ca="1" si="55"/>
        <v>#N/A</v>
      </c>
      <c r="AE119" s="377">
        <f t="shared" ca="1" si="34"/>
        <v>52.085644872393559</v>
      </c>
      <c r="AF119" s="344"/>
      <c r="AG119" s="359">
        <f t="shared" ca="1" si="56"/>
        <v>80.257736502933881</v>
      </c>
      <c r="AH119" s="357">
        <f t="shared" ca="1" si="57"/>
        <v>89.867361351244099</v>
      </c>
    </row>
    <row r="120" spans="1:34" x14ac:dyDescent="0.25">
      <c r="A120" s="402">
        <f t="shared" ca="1" si="35"/>
        <v>0.01</v>
      </c>
      <c r="B120" s="357">
        <f t="shared" ca="1" si="36"/>
        <v>1.1600000000000008</v>
      </c>
      <c r="C120" s="342"/>
      <c r="D120" s="359">
        <f t="shared" ca="1" si="37"/>
        <v>18.080864773178231</v>
      </c>
      <c r="E120" s="360">
        <f t="shared" ca="1" si="38"/>
        <v>78.176542216722495</v>
      </c>
      <c r="F120" s="357">
        <f t="shared" ca="1" si="39"/>
        <v>80.240198304272354</v>
      </c>
      <c r="G120" s="359">
        <f t="shared" ca="1" si="40"/>
        <v>18.916818219244998</v>
      </c>
      <c r="H120" s="360">
        <f t="shared" ca="1" si="41"/>
        <v>91.9564253633405</v>
      </c>
      <c r="I120" s="357">
        <f t="shared" ca="1" si="42"/>
        <v>93.882001348200774</v>
      </c>
      <c r="J120" s="359">
        <f t="shared" ca="1" si="43"/>
        <v>10.323629917588118</v>
      </c>
      <c r="K120" s="360">
        <f t="shared" ca="1" si="44"/>
        <v>53.001300298916128</v>
      </c>
      <c r="L120" s="357">
        <f t="shared" ca="1" si="29"/>
        <v>53.997362602734654</v>
      </c>
      <c r="M120" s="359">
        <f t="shared" ca="1" si="45"/>
        <v>1.3679116398660764</v>
      </c>
      <c r="N120" s="357">
        <f t="shared" ca="1" si="46"/>
        <v>78.375563711145588</v>
      </c>
      <c r="O120" s="343"/>
      <c r="P120" s="363">
        <f t="shared" ca="1" si="47"/>
        <v>6</v>
      </c>
      <c r="Q120" s="357">
        <f t="shared" ca="1" si="48"/>
        <v>1004.6719298245613</v>
      </c>
      <c r="R120" s="359">
        <f t="shared" ca="1" si="49"/>
        <v>0.50327258124975605</v>
      </c>
      <c r="S120" s="360">
        <f t="shared" ca="1" si="50"/>
        <v>10.916353463578771</v>
      </c>
      <c r="T120" s="357">
        <f t="shared" ca="1" si="30"/>
        <v>107.08942747770774</v>
      </c>
      <c r="U120" s="364">
        <f t="shared" ca="1" si="31"/>
        <v>0</v>
      </c>
      <c r="V120" s="359">
        <f t="shared" ca="1" si="32"/>
        <v>1.2185245012061907</v>
      </c>
      <c r="W120" s="357">
        <f t="shared" ca="1" si="33"/>
        <v>24.524439312228061</v>
      </c>
      <c r="X120" s="343"/>
      <c r="Y120" s="367" t="str">
        <f t="shared" ca="1" si="51"/>
        <v/>
      </c>
      <c r="Z120" s="368" t="str">
        <f t="shared" ca="1" si="52"/>
        <v/>
      </c>
      <c r="AA120" s="369" t="str">
        <f t="shared" ca="1" si="53"/>
        <v/>
      </c>
      <c r="AB120" s="344"/>
      <c r="AC120" s="363" t="e">
        <f t="shared" ca="1" si="54"/>
        <v>#N/A</v>
      </c>
      <c r="AD120" s="376" t="e">
        <f t="shared" ca="1" si="55"/>
        <v>#N/A</v>
      </c>
      <c r="AE120" s="377">
        <f t="shared" ca="1" si="34"/>
        <v>53.001300298916128</v>
      </c>
      <c r="AF120" s="344"/>
      <c r="AG120" s="359">
        <f t="shared" ca="1" si="56"/>
        <v>80.215897271293628</v>
      </c>
      <c r="AH120" s="357">
        <f t="shared" ca="1" si="57"/>
        <v>89.825103852993379</v>
      </c>
    </row>
    <row r="121" spans="1:34" x14ac:dyDescent="0.25">
      <c r="A121" s="402">
        <f t="shared" ca="1" si="35"/>
        <v>0.01</v>
      </c>
      <c r="B121" s="357">
        <f t="shared" ca="1" si="36"/>
        <v>1.1700000000000008</v>
      </c>
      <c r="C121" s="342"/>
      <c r="D121" s="359">
        <f t="shared" ca="1" si="37"/>
        <v>18.090783731602372</v>
      </c>
      <c r="E121" s="360">
        <f t="shared" ca="1" si="38"/>
        <v>78.130994341585662</v>
      </c>
      <c r="F121" s="357">
        <f t="shared" ca="1" si="39"/>
        <v>80.198059408120969</v>
      </c>
      <c r="G121" s="359">
        <f t="shared" ca="1" si="40"/>
        <v>19.097726056561022</v>
      </c>
      <c r="H121" s="360">
        <f t="shared" ca="1" si="41"/>
        <v>92.737735306756363</v>
      </c>
      <c r="I121" s="357">
        <f t="shared" ca="1" si="42"/>
        <v>94.683740369492455</v>
      </c>
      <c r="J121" s="359">
        <f t="shared" ca="1" si="43"/>
        <v>10.513702638967148</v>
      </c>
      <c r="K121" s="360">
        <f t="shared" ca="1" si="44"/>
        <v>53.924771102266611</v>
      </c>
      <c r="L121" s="357">
        <f t="shared" ca="1" si="29"/>
        <v>54.940139075292421</v>
      </c>
      <c r="M121" s="359">
        <f t="shared" ca="1" si="45"/>
        <v>1.3677028740651527</v>
      </c>
      <c r="N121" s="357">
        <f t="shared" ca="1" si="46"/>
        <v>78.36360231184598</v>
      </c>
      <c r="O121" s="343"/>
      <c r="P121" s="363">
        <f t="shared" ca="1" si="47"/>
        <v>6</v>
      </c>
      <c r="Q121" s="357">
        <f t="shared" ca="1" si="48"/>
        <v>1004.1701754385964</v>
      </c>
      <c r="R121" s="359">
        <f t="shared" ca="1" si="49"/>
        <v>0.50302123629078821</v>
      </c>
      <c r="S121" s="360">
        <f t="shared" ca="1" si="50"/>
        <v>10.911323251215864</v>
      </c>
      <c r="T121" s="357">
        <f t="shared" ca="1" si="30"/>
        <v>107.04008109442762</v>
      </c>
      <c r="U121" s="364">
        <f t="shared" ca="1" si="31"/>
        <v>0</v>
      </c>
      <c r="V121" s="359">
        <f t="shared" ca="1" si="32"/>
        <v>1.2184119784177645</v>
      </c>
      <c r="W121" s="357">
        <f t="shared" ca="1" si="33"/>
        <v>24.942794832912814</v>
      </c>
      <c r="X121" s="343"/>
      <c r="Y121" s="367" t="str">
        <f t="shared" ca="1" si="51"/>
        <v/>
      </c>
      <c r="Z121" s="368" t="str">
        <f t="shared" ca="1" si="52"/>
        <v/>
      </c>
      <c r="AA121" s="369" t="str">
        <f t="shared" ca="1" si="53"/>
        <v/>
      </c>
      <c r="AB121" s="344"/>
      <c r="AC121" s="363" t="e">
        <f t="shared" ca="1" si="54"/>
        <v>#N/A</v>
      </c>
      <c r="AD121" s="376" t="e">
        <f t="shared" ca="1" si="55"/>
        <v>#N/A</v>
      </c>
      <c r="AE121" s="377">
        <f t="shared" ca="1" si="34"/>
        <v>53.924771102266611</v>
      </c>
      <c r="AF121" s="344"/>
      <c r="AG121" s="359">
        <f t="shared" ca="1" si="56"/>
        <v>80.173695798340034</v>
      </c>
      <c r="AH121" s="357">
        <f t="shared" ca="1" si="57"/>
        <v>89.782486832401844</v>
      </c>
    </row>
    <row r="122" spans="1:34" x14ac:dyDescent="0.25">
      <c r="A122" s="402">
        <f t="shared" ca="1" si="35"/>
        <v>0.01</v>
      </c>
      <c r="B122" s="357">
        <f t="shared" ca="1" si="36"/>
        <v>1.1800000000000008</v>
      </c>
      <c r="C122" s="342"/>
      <c r="D122" s="359">
        <f t="shared" ca="1" si="37"/>
        <v>18.100474112784408</v>
      </c>
      <c r="E122" s="360">
        <f t="shared" ca="1" si="38"/>
        <v>78.085122813404979</v>
      </c>
      <c r="F122" s="357">
        <f t="shared" ca="1" si="39"/>
        <v>80.155558558917903</v>
      </c>
      <c r="G122" s="359">
        <f t="shared" ca="1" si="40"/>
        <v>19.278730797688866</v>
      </c>
      <c r="H122" s="360">
        <f t="shared" ca="1" si="41"/>
        <v>93.518586534890417</v>
      </c>
      <c r="I122" s="357">
        <f t="shared" ca="1" si="42"/>
        <v>95.48505374483247</v>
      </c>
      <c r="J122" s="359">
        <f t="shared" ca="1" si="43"/>
        <v>10.705584923238398</v>
      </c>
      <c r="K122" s="360">
        <f t="shared" ca="1" si="44"/>
        <v>54.856052711474845</v>
      </c>
      <c r="L122" s="357">
        <f t="shared" ca="1" si="29"/>
        <v>55.890930101696966</v>
      </c>
      <c r="M122" s="359">
        <f t="shared" ca="1" si="45"/>
        <v>1.3674956501536257</v>
      </c>
      <c r="N122" s="357">
        <f t="shared" ca="1" si="46"/>
        <v>78.351729256301297</v>
      </c>
      <c r="O122" s="343"/>
      <c r="P122" s="363">
        <f t="shared" ca="1" si="47"/>
        <v>6</v>
      </c>
      <c r="Q122" s="357">
        <f t="shared" ca="1" si="48"/>
        <v>1003.6684210526315</v>
      </c>
      <c r="R122" s="359">
        <f t="shared" ca="1" si="49"/>
        <v>0.50276989133182026</v>
      </c>
      <c r="S122" s="360">
        <f t="shared" ca="1" si="50"/>
        <v>10.906295552302545</v>
      </c>
      <c r="T122" s="357">
        <f t="shared" ca="1" si="30"/>
        <v>106.99075936808798</v>
      </c>
      <c r="U122" s="364">
        <f t="shared" ca="1" si="31"/>
        <v>0</v>
      </c>
      <c r="V122" s="359">
        <f t="shared" ca="1" si="32"/>
        <v>1.2182985143952234</v>
      </c>
      <c r="W122" s="357">
        <f t="shared" ca="1" si="33"/>
        <v>25.364403365783101</v>
      </c>
      <c r="X122" s="343"/>
      <c r="Y122" s="367" t="str">
        <f t="shared" ca="1" si="51"/>
        <v/>
      </c>
      <c r="Z122" s="368" t="str">
        <f t="shared" ca="1" si="52"/>
        <v/>
      </c>
      <c r="AA122" s="369" t="str">
        <f t="shared" ca="1" si="53"/>
        <v/>
      </c>
      <c r="AB122" s="344"/>
      <c r="AC122" s="363" t="e">
        <f t="shared" ca="1" si="54"/>
        <v>#N/A</v>
      </c>
      <c r="AD122" s="376" t="e">
        <f t="shared" ca="1" si="55"/>
        <v>#N/A</v>
      </c>
      <c r="AE122" s="377">
        <f t="shared" ca="1" si="34"/>
        <v>54.856052711474845</v>
      </c>
      <c r="AF122" s="344"/>
      <c r="AG122" s="359">
        <f t="shared" ca="1" si="56"/>
        <v>80.131132519238207</v>
      </c>
      <c r="AH122" s="357">
        <f t="shared" ca="1" si="57"/>
        <v>89.739510682258143</v>
      </c>
    </row>
    <row r="123" spans="1:34" x14ac:dyDescent="0.25">
      <c r="A123" s="402">
        <f t="shared" ca="1" si="35"/>
        <v>0.01</v>
      </c>
      <c r="B123" s="357">
        <f t="shared" ca="1" si="36"/>
        <v>1.1900000000000008</v>
      </c>
      <c r="C123" s="342"/>
      <c r="D123" s="359">
        <f t="shared" ca="1" si="37"/>
        <v>18.109938247621731</v>
      </c>
      <c r="E123" s="360">
        <f t="shared" ca="1" si="38"/>
        <v>78.038927656314641</v>
      </c>
      <c r="F123" s="357">
        <f t="shared" ca="1" si="39"/>
        <v>80.112696204036112</v>
      </c>
      <c r="G123" s="359">
        <f t="shared" ca="1" si="40"/>
        <v>19.459830180165081</v>
      </c>
      <c r="H123" s="360">
        <f t="shared" ca="1" si="41"/>
        <v>94.298975811453559</v>
      </c>
      <c r="I123" s="357">
        <f t="shared" ca="1" si="42"/>
        <v>96.285937860779896</v>
      </c>
      <c r="J123" s="359">
        <f t="shared" ca="1" si="43"/>
        <v>10.899277728127668</v>
      </c>
      <c r="K123" s="360">
        <f t="shared" ca="1" si="44"/>
        <v>55.795140523206562</v>
      </c>
      <c r="L123" s="357">
        <f t="shared" ca="1" si="29"/>
        <v>56.849731406570662</v>
      </c>
      <c r="M123" s="359">
        <f t="shared" ca="1" si="45"/>
        <v>1.367289943098166</v>
      </c>
      <c r="N123" s="357">
        <f t="shared" ca="1" si="46"/>
        <v>78.3399431102074</v>
      </c>
      <c r="O123" s="343"/>
      <c r="P123" s="363">
        <f t="shared" ca="1" si="47"/>
        <v>6</v>
      </c>
      <c r="Q123" s="357">
        <f t="shared" ca="1" si="48"/>
        <v>1003.1666666666666</v>
      </c>
      <c r="R123" s="359">
        <f t="shared" ca="1" si="49"/>
        <v>0.50251854637285243</v>
      </c>
      <c r="S123" s="360">
        <f t="shared" ca="1" si="50"/>
        <v>10.901270366838817</v>
      </c>
      <c r="T123" s="357">
        <f t="shared" ca="1" si="30"/>
        <v>106.9414622986888</v>
      </c>
      <c r="U123" s="364">
        <f t="shared" ca="1" si="31"/>
        <v>0</v>
      </c>
      <c r="V123" s="359">
        <f t="shared" ca="1" si="32"/>
        <v>1.2181841099630277</v>
      </c>
      <c r="W123" s="357">
        <f t="shared" ca="1" si="33"/>
        <v>25.789255381348106</v>
      </c>
      <c r="X123" s="343"/>
      <c r="Y123" s="367" t="str">
        <f t="shared" ca="1" si="51"/>
        <v/>
      </c>
      <c r="Z123" s="368" t="str">
        <f t="shared" ca="1" si="52"/>
        <v/>
      </c>
      <c r="AA123" s="369" t="str">
        <f t="shared" ca="1" si="53"/>
        <v/>
      </c>
      <c r="AB123" s="344"/>
      <c r="AC123" s="363" t="e">
        <f t="shared" ca="1" si="54"/>
        <v>#N/A</v>
      </c>
      <c r="AD123" s="376" t="e">
        <f t="shared" ca="1" si="55"/>
        <v>#N/A</v>
      </c>
      <c r="AE123" s="377">
        <f t="shared" ca="1" si="34"/>
        <v>55.795140523206562</v>
      </c>
      <c r="AF123" s="344"/>
      <c r="AG123" s="359">
        <f t="shared" ca="1" si="56"/>
        <v>80.088207875880698</v>
      </c>
      <c r="AH123" s="357">
        <f t="shared" ca="1" si="57"/>
        <v>89.696175803080237</v>
      </c>
    </row>
    <row r="124" spans="1:34" x14ac:dyDescent="0.25">
      <c r="A124" s="402">
        <f t="shared" ca="1" si="35"/>
        <v>0.01</v>
      </c>
      <c r="B124" s="357">
        <f t="shared" ca="1" si="36"/>
        <v>1.2000000000000008</v>
      </c>
      <c r="C124" s="342"/>
      <c r="D124" s="359">
        <f t="shared" ca="1" si="37"/>
        <v>18.119178412211262</v>
      </c>
      <c r="E124" s="360">
        <f t="shared" ca="1" si="38"/>
        <v>77.992408910951099</v>
      </c>
      <c r="F124" s="357">
        <f t="shared" ca="1" si="39"/>
        <v>80.069472797480984</v>
      </c>
      <c r="G124" s="359">
        <f t="shared" ca="1" si="40"/>
        <v>19.641021964287194</v>
      </c>
      <c r="H124" s="360">
        <f t="shared" ca="1" si="41"/>
        <v>95.078899900563073</v>
      </c>
      <c r="I124" s="357">
        <f t="shared" ca="1" si="42"/>
        <v>97.086389108375556</v>
      </c>
      <c r="J124" s="359">
        <f t="shared" ca="1" si="43"/>
        <v>11.094781988849929</v>
      </c>
      <c r="K124" s="360">
        <f t="shared" ca="1" si="44"/>
        <v>56.742029901766642</v>
      </c>
      <c r="L124" s="357">
        <f t="shared" ca="1" si="29"/>
        <v>57.816538678418723</v>
      </c>
      <c r="M124" s="359">
        <f t="shared" ca="1" si="45"/>
        <v>1.3670857284725275</v>
      </c>
      <c r="N124" s="357">
        <f t="shared" ca="1" si="46"/>
        <v>78.328242474043464</v>
      </c>
      <c r="O124" s="343"/>
      <c r="P124" s="363">
        <f t="shared" ca="1" si="47"/>
        <v>6</v>
      </c>
      <c r="Q124" s="357">
        <f t="shared" ca="1" si="48"/>
        <v>1002.6649122807017</v>
      </c>
      <c r="R124" s="359">
        <f t="shared" ca="1" si="49"/>
        <v>0.50226720141388459</v>
      </c>
      <c r="S124" s="360">
        <f t="shared" ca="1" si="50"/>
        <v>10.896247694824678</v>
      </c>
      <c r="T124" s="357">
        <f t="shared" ca="1" si="30"/>
        <v>106.8921898862301</v>
      </c>
      <c r="U124" s="364">
        <f t="shared" ca="1" si="31"/>
        <v>0</v>
      </c>
      <c r="V124" s="359">
        <f t="shared" ca="1" si="32"/>
        <v>1.2180687659515157</v>
      </c>
      <c r="W124" s="357">
        <f t="shared" ca="1" si="33"/>
        <v>26.217341279851489</v>
      </c>
      <c r="X124" s="343"/>
      <c r="Y124" s="367" t="str">
        <f t="shared" ca="1" si="51"/>
        <v/>
      </c>
      <c r="Z124" s="368" t="str">
        <f t="shared" ca="1" si="52"/>
        <v/>
      </c>
      <c r="AA124" s="369" t="str">
        <f t="shared" ca="1" si="53"/>
        <v/>
      </c>
      <c r="AB124" s="344"/>
      <c r="AC124" s="363" t="e">
        <f t="shared" ca="1" si="54"/>
        <v>#N/A</v>
      </c>
      <c r="AD124" s="376" t="e">
        <f t="shared" ca="1" si="55"/>
        <v>#N/A</v>
      </c>
      <c r="AE124" s="377">
        <f t="shared" ca="1" si="34"/>
        <v>56.742029901766642</v>
      </c>
      <c r="AF124" s="344"/>
      <c r="AG124" s="359">
        <f t="shared" ca="1" si="56"/>
        <v>80.044922316905499</v>
      </c>
      <c r="AH124" s="357">
        <f t="shared" ca="1" si="57"/>
        <v>89.652482603101447</v>
      </c>
    </row>
    <row r="125" spans="1:34" x14ac:dyDescent="0.25">
      <c r="A125" s="402">
        <f t="shared" ca="1" si="35"/>
        <v>0.01</v>
      </c>
      <c r="B125" s="357">
        <f t="shared" ca="1" si="36"/>
        <v>1.2100000000000009</v>
      </c>
      <c r="C125" s="342"/>
      <c r="D125" s="359">
        <f t="shared" ca="1" si="37"/>
        <v>18.128196829711285</v>
      </c>
      <c r="E125" s="360">
        <f t="shared" ca="1" si="38"/>
        <v>77.945566634150822</v>
      </c>
      <c r="F125" s="357">
        <f t="shared" ca="1" si="39"/>
        <v>80.025888799910248</v>
      </c>
      <c r="G125" s="359">
        <f t="shared" ca="1" si="40"/>
        <v>19.822303932584308</v>
      </c>
      <c r="H125" s="360">
        <f t="shared" ca="1" si="41"/>
        <v>95.858355566904578</v>
      </c>
      <c r="I125" s="357">
        <f t="shared" ca="1" si="42"/>
        <v>97.886403883209709</v>
      </c>
      <c r="J125" s="359">
        <f t="shared" ca="1" si="43"/>
        <v>11.292098618334286</v>
      </c>
      <c r="K125" s="360">
        <f t="shared" ca="1" si="44"/>
        <v>57.69671617910398</v>
      </c>
      <c r="L125" s="357">
        <f t="shared" ca="1" si="29"/>
        <v>58.79134756967445</v>
      </c>
      <c r="M125" s="359">
        <f t="shared" ca="1" si="45"/>
        <v>1.3668829824378697</v>
      </c>
      <c r="N125" s="357">
        <f t="shared" ca="1" si="46"/>
        <v>78.316625981944554</v>
      </c>
      <c r="O125" s="343"/>
      <c r="P125" s="363">
        <f t="shared" ca="1" si="47"/>
        <v>6</v>
      </c>
      <c r="Q125" s="357">
        <f t="shared" ca="1" si="48"/>
        <v>1002.1631578947367</v>
      </c>
      <c r="R125" s="359">
        <f t="shared" ca="1" si="49"/>
        <v>0.50201585645491664</v>
      </c>
      <c r="S125" s="360">
        <f t="shared" ca="1" si="50"/>
        <v>10.891227536260129</v>
      </c>
      <c r="T125" s="357">
        <f t="shared" ca="1" si="30"/>
        <v>106.84294213071186</v>
      </c>
      <c r="U125" s="364">
        <f t="shared" ca="1" si="31"/>
        <v>0</v>
      </c>
      <c r="V125" s="359">
        <f t="shared" ca="1" si="32"/>
        <v>1.2179524831968978</v>
      </c>
      <c r="W125" s="357">
        <f t="shared" ca="1" si="33"/>
        <v>26.648651391614571</v>
      </c>
      <c r="X125" s="343"/>
      <c r="Y125" s="367" t="str">
        <f t="shared" ca="1" si="51"/>
        <v/>
      </c>
      <c r="Z125" s="368" t="str">
        <f t="shared" ca="1" si="52"/>
        <v/>
      </c>
      <c r="AA125" s="369" t="str">
        <f t="shared" ca="1" si="53"/>
        <v/>
      </c>
      <c r="AB125" s="344"/>
      <c r="AC125" s="363" t="e">
        <f t="shared" ca="1" si="54"/>
        <v>#N/A</v>
      </c>
      <c r="AD125" s="376" t="e">
        <f t="shared" ca="1" si="55"/>
        <v>#N/A</v>
      </c>
      <c r="AE125" s="377">
        <f t="shared" ca="1" si="34"/>
        <v>57.69671617910398</v>
      </c>
      <c r="AF125" s="344"/>
      <c r="AG125" s="359">
        <f t="shared" ca="1" si="56"/>
        <v>80.001276297712479</v>
      </c>
      <c r="AH125" s="357">
        <f t="shared" ca="1" si="57"/>
        <v>89.60843149825601</v>
      </c>
    </row>
    <row r="126" spans="1:34" x14ac:dyDescent="0.25">
      <c r="A126" s="402">
        <f t="shared" ca="1" si="35"/>
        <v>0.01</v>
      </c>
      <c r="B126" s="357">
        <f t="shared" ca="1" si="36"/>
        <v>1.2200000000000009</v>
      </c>
      <c r="C126" s="342"/>
      <c r="D126" s="359">
        <f t="shared" ca="1" si="37"/>
        <v>18.136995672127185</v>
      </c>
      <c r="E126" s="360">
        <f t="shared" ca="1" si="38"/>
        <v>77.898400898659418</v>
      </c>
      <c r="F126" s="357">
        <f t="shared" ca="1" si="39"/>
        <v>79.981944678652454</v>
      </c>
      <c r="G126" s="359">
        <f t="shared" ca="1" si="40"/>
        <v>20.003673889305581</v>
      </c>
      <c r="H126" s="360">
        <f t="shared" ca="1" si="41"/>
        <v>96.637339575891176</v>
      </c>
      <c r="I126" s="357">
        <f t="shared" ca="1" si="42"/>
        <v>98.685978585489991</v>
      </c>
      <c r="J126" s="359">
        <f t="shared" ca="1" si="43"/>
        <v>11.491228507443736</v>
      </c>
      <c r="K126" s="360">
        <f t="shared" ca="1" si="44"/>
        <v>58.659194654817959</v>
      </c>
      <c r="L126" s="357">
        <f t="shared" ca="1" si="29"/>
        <v>59.774153696745145</v>
      </c>
      <c r="M126" s="359">
        <f t="shared" ca="1" si="45"/>
        <v>1.3666816817238741</v>
      </c>
      <c r="N126" s="357">
        <f t="shared" ca="1" si="46"/>
        <v>78.305092300619634</v>
      </c>
      <c r="O126" s="343"/>
      <c r="P126" s="363">
        <f t="shared" ca="1" si="47"/>
        <v>6</v>
      </c>
      <c r="Q126" s="357">
        <f t="shared" ca="1" si="48"/>
        <v>1001.6614035087719</v>
      </c>
      <c r="R126" s="359">
        <f t="shared" ca="1" si="49"/>
        <v>0.5017645114959487</v>
      </c>
      <c r="S126" s="360">
        <f t="shared" ca="1" si="50"/>
        <v>10.886209891145169</v>
      </c>
      <c r="T126" s="357">
        <f t="shared" ca="1" si="30"/>
        <v>106.79371903213412</v>
      </c>
      <c r="U126" s="364">
        <f t="shared" ca="1" si="31"/>
        <v>0</v>
      </c>
      <c r="V126" s="359">
        <f t="shared" ca="1" si="32"/>
        <v>1.2178352625412472</v>
      </c>
      <c r="W126" s="357">
        <f t="shared" ca="1" si="33"/>
        <v>27.08317597738252</v>
      </c>
      <c r="X126" s="343"/>
      <c r="Y126" s="367" t="str">
        <f t="shared" ca="1" si="51"/>
        <v/>
      </c>
      <c r="Z126" s="368" t="str">
        <f t="shared" ca="1" si="52"/>
        <v/>
      </c>
      <c r="AA126" s="369" t="str">
        <f t="shared" ca="1" si="53"/>
        <v/>
      </c>
      <c r="AB126" s="344"/>
      <c r="AC126" s="363" t="e">
        <f t="shared" ca="1" si="54"/>
        <v>#N/A</v>
      </c>
      <c r="AD126" s="376" t="e">
        <f t="shared" ca="1" si="55"/>
        <v>#N/A</v>
      </c>
      <c r="AE126" s="377">
        <f t="shared" ca="1" si="34"/>
        <v>58.659194654817959</v>
      </c>
      <c r="AF126" s="344"/>
      <c r="AG126" s="359">
        <f t="shared" ca="1" si="56"/>
        <v>79.957270280478156</v>
      </c>
      <c r="AH126" s="357">
        <f t="shared" ca="1" si="57"/>
        <v>89.564022912164461</v>
      </c>
    </row>
    <row r="127" spans="1:34" x14ac:dyDescent="0.25">
      <c r="A127" s="402">
        <f t="shared" ca="1" si="35"/>
        <v>0.01</v>
      </c>
      <c r="B127" s="357">
        <f t="shared" ca="1" si="36"/>
        <v>1.2300000000000009</v>
      </c>
      <c r="C127" s="342"/>
      <c r="D127" s="359">
        <f t="shared" ca="1" si="37"/>
        <v>18.145577062024614</v>
      </c>
      <c r="E127" s="360">
        <f t="shared" ca="1" si="38"/>
        <v>77.850911792851093</v>
      </c>
      <c r="F127" s="357">
        <f t="shared" ca="1" si="39"/>
        <v>79.937640907723534</v>
      </c>
      <c r="G127" s="359">
        <f t="shared" ca="1" si="40"/>
        <v>20.185129659925828</v>
      </c>
      <c r="H127" s="360">
        <f t="shared" ca="1" si="41"/>
        <v>97.415848693819683</v>
      </c>
      <c r="I127" s="357">
        <f t="shared" ca="1" si="42"/>
        <v>99.485109620109412</v>
      </c>
      <c r="J127" s="359">
        <f t="shared" ca="1" si="43"/>
        <v>11.692172525189893</v>
      </c>
      <c r="K127" s="360">
        <f t="shared" ca="1" si="44"/>
        <v>59.629460596166517</v>
      </c>
      <c r="L127" s="357">
        <f t="shared" ca="1" si="29"/>
        <v>60.764952640058738</v>
      </c>
      <c r="M127" s="359">
        <f t="shared" ca="1" si="45"/>
        <v>1.3664818036106186</v>
      </c>
      <c r="N127" s="357">
        <f t="shared" ca="1" si="46"/>
        <v>78.293640128313058</v>
      </c>
      <c r="O127" s="343"/>
      <c r="P127" s="363">
        <f t="shared" ca="1" si="47"/>
        <v>6</v>
      </c>
      <c r="Q127" s="357">
        <f t="shared" ca="1" si="48"/>
        <v>1001.159649122807</v>
      </c>
      <c r="R127" s="359">
        <f t="shared" ca="1" si="49"/>
        <v>0.50151316653698086</v>
      </c>
      <c r="S127" s="360">
        <f t="shared" ca="1" si="50"/>
        <v>10.881194759479799</v>
      </c>
      <c r="T127" s="357">
        <f t="shared" ca="1" si="30"/>
        <v>106.74452059049683</v>
      </c>
      <c r="U127" s="364">
        <f t="shared" ca="1" si="31"/>
        <v>0</v>
      </c>
      <c r="V127" s="359">
        <f t="shared" ca="1" si="32"/>
        <v>1.2177171048324906</v>
      </c>
      <c r="W127" s="357">
        <f t="shared" ca="1" si="33"/>
        <v>27.520905228673712</v>
      </c>
      <c r="X127" s="343"/>
      <c r="Y127" s="367" t="str">
        <f t="shared" ca="1" si="51"/>
        <v/>
      </c>
      <c r="Z127" s="368" t="str">
        <f t="shared" ca="1" si="52"/>
        <v/>
      </c>
      <c r="AA127" s="369" t="str">
        <f t="shared" ca="1" si="53"/>
        <v/>
      </c>
      <c r="AB127" s="344"/>
      <c r="AC127" s="363" t="e">
        <f t="shared" ca="1" si="54"/>
        <v>#N/A</v>
      </c>
      <c r="AD127" s="376" t="e">
        <f t="shared" ca="1" si="55"/>
        <v>#N/A</v>
      </c>
      <c r="AE127" s="377">
        <f t="shared" ca="1" si="34"/>
        <v>59.629460596166517</v>
      </c>
      <c r="AF127" s="344"/>
      <c r="AG127" s="359">
        <f t="shared" ca="1" si="56"/>
        <v>79.912904734169032</v>
      </c>
      <c r="AH127" s="357">
        <f t="shared" ca="1" si="57"/>
        <v>89.519257276118495</v>
      </c>
    </row>
    <row r="128" spans="1:34" x14ac:dyDescent="0.25">
      <c r="A128" s="402">
        <f t="shared" ca="1" si="35"/>
        <v>0.01</v>
      </c>
      <c r="B128" s="357">
        <f t="shared" ca="1" si="36"/>
        <v>1.2400000000000009</v>
      </c>
      <c r="C128" s="342"/>
      <c r="D128" s="359">
        <f t="shared" ca="1" si="37"/>
        <v>18.153943074173736</v>
      </c>
      <c r="E128" s="360">
        <f t="shared" ca="1" si="38"/>
        <v>77.803099420458352</v>
      </c>
      <c r="F128" s="357">
        <f t="shared" ca="1" si="39"/>
        <v>79.892977967841873</v>
      </c>
      <c r="G128" s="359">
        <f t="shared" ca="1" si="40"/>
        <v>20.366669090667564</v>
      </c>
      <c r="H128" s="360">
        <f t="shared" ca="1" si="41"/>
        <v>98.193879688024268</v>
      </c>
      <c r="I128" s="357">
        <f t="shared" ca="1" si="42"/>
        <v>100.2837933967146</v>
      </c>
      <c r="J128" s="359">
        <f t="shared" ca="1" si="43"/>
        <v>11.89493151894286</v>
      </c>
      <c r="K128" s="360">
        <f t="shared" ca="1" si="44"/>
        <v>60.607509238075735</v>
      </c>
      <c r="L128" s="357">
        <f t="shared" ca="1" si="29"/>
        <v>61.76373994411103</v>
      </c>
      <c r="M128" s="359">
        <f t="shared" ca="1" si="45"/>
        <v>1.3662833259111733</v>
      </c>
      <c r="N128" s="357">
        <f t="shared" ca="1" si="46"/>
        <v>78.282268193807383</v>
      </c>
      <c r="O128" s="343"/>
      <c r="P128" s="363">
        <f t="shared" ca="1" si="47"/>
        <v>6</v>
      </c>
      <c r="Q128" s="357">
        <f t="shared" ca="1" si="48"/>
        <v>1000.6578947368421</v>
      </c>
      <c r="R128" s="359">
        <f t="shared" ca="1" si="49"/>
        <v>0.50126182157801302</v>
      </c>
      <c r="S128" s="360">
        <f t="shared" ca="1" si="50"/>
        <v>10.876182141264019</v>
      </c>
      <c r="T128" s="357">
        <f t="shared" ca="1" si="30"/>
        <v>106.69534680580003</v>
      </c>
      <c r="U128" s="364">
        <f t="shared" ca="1" si="31"/>
        <v>0</v>
      </c>
      <c r="V128" s="359">
        <f t="shared" ca="1" si="32"/>
        <v>1.2175980109244</v>
      </c>
      <c r="W128" s="357">
        <f t="shared" ca="1" si="33"/>
        <v>27.961829268132156</v>
      </c>
      <c r="X128" s="343"/>
      <c r="Y128" s="367" t="str">
        <f t="shared" ca="1" si="51"/>
        <v/>
      </c>
      <c r="Z128" s="368" t="str">
        <f t="shared" ca="1" si="52"/>
        <v/>
      </c>
      <c r="AA128" s="369" t="str">
        <f t="shared" ca="1" si="53"/>
        <v/>
      </c>
      <c r="AB128" s="344"/>
      <c r="AC128" s="363" t="e">
        <f t="shared" ca="1" si="54"/>
        <v>#N/A</v>
      </c>
      <c r="AD128" s="376" t="e">
        <f t="shared" ca="1" si="55"/>
        <v>#N/A</v>
      </c>
      <c r="AE128" s="377">
        <f t="shared" ca="1" si="34"/>
        <v>60.607509238075735</v>
      </c>
      <c r="AF128" s="344"/>
      <c r="AG128" s="359">
        <f t="shared" ca="1" si="56"/>
        <v>79.868180134553398</v>
      </c>
      <c r="AH128" s="357">
        <f t="shared" ca="1" si="57"/>
        <v>89.474135029065579</v>
      </c>
    </row>
    <row r="129" spans="1:34" x14ac:dyDescent="0.25">
      <c r="A129" s="402">
        <f t="shared" ca="1" si="35"/>
        <v>0.01</v>
      </c>
      <c r="B129" s="357">
        <f t="shared" ca="1" si="36"/>
        <v>1.2500000000000009</v>
      </c>
      <c r="C129" s="342"/>
      <c r="D129" s="359">
        <f t="shared" ca="1" si="37"/>
        <v>18.162095737127629</v>
      </c>
      <c r="E129" s="360">
        <f t="shared" ca="1" si="38"/>
        <v>77.754963900311139</v>
      </c>
      <c r="F129" s="357">
        <f t="shared" ca="1" si="39"/>
        <v>79.847956346441819</v>
      </c>
      <c r="G129" s="359">
        <f t="shared" ca="1" si="40"/>
        <v>20.54829004803884</v>
      </c>
      <c r="H129" s="360">
        <f t="shared" ca="1" si="41"/>
        <v>98.97142932702738</v>
      </c>
      <c r="I129" s="357">
        <f t="shared" ca="1" si="42"/>
        <v>101.08202632977391</v>
      </c>
      <c r="J129" s="359">
        <f t="shared" ca="1" si="43"/>
        <v>12.099506314636391</v>
      </c>
      <c r="K129" s="360">
        <f t="shared" ca="1" si="44"/>
        <v>61.593335783150991</v>
      </c>
      <c r="L129" s="357">
        <f t="shared" ca="1" si="29"/>
        <v>62.770511117513728</v>
      </c>
      <c r="M129" s="359">
        <f t="shared" ca="1" si="45"/>
        <v>1.3660862269548817</v>
      </c>
      <c r="N129" s="357">
        <f t="shared" ca="1" si="46"/>
        <v>78.270975255465444</v>
      </c>
      <c r="O129" s="343"/>
      <c r="P129" s="363">
        <f t="shared" ca="1" si="47"/>
        <v>6</v>
      </c>
      <c r="Q129" s="357">
        <f t="shared" ca="1" si="48"/>
        <v>1000.1561403508771</v>
      </c>
      <c r="R129" s="359">
        <f t="shared" ca="1" si="49"/>
        <v>0.50101047661904508</v>
      </c>
      <c r="S129" s="360">
        <f t="shared" ca="1" si="50"/>
        <v>10.871172036497828</v>
      </c>
      <c r="T129" s="357">
        <f t="shared" ca="1" si="30"/>
        <v>106.64619767804371</v>
      </c>
      <c r="U129" s="364">
        <f t="shared" ca="1" si="31"/>
        <v>0</v>
      </c>
      <c r="V129" s="359">
        <f t="shared" ca="1" si="32"/>
        <v>1.2174779816765819</v>
      </c>
      <c r="W129" s="357">
        <f t="shared" ca="1" si="33"/>
        <v>28.405938149882868</v>
      </c>
      <c r="X129" s="343"/>
      <c r="Y129" s="367" t="str">
        <f t="shared" ca="1" si="51"/>
        <v/>
      </c>
      <c r="Z129" s="368" t="str">
        <f t="shared" ca="1" si="52"/>
        <v/>
      </c>
      <c r="AA129" s="369" t="str">
        <f t="shared" ca="1" si="53"/>
        <v/>
      </c>
      <c r="AB129" s="344"/>
      <c r="AC129" s="363" t="e">
        <f t="shared" ca="1" si="54"/>
        <v>#N/A</v>
      </c>
      <c r="AD129" s="376" t="e">
        <f t="shared" ca="1" si="55"/>
        <v>#N/A</v>
      </c>
      <c r="AE129" s="377">
        <f t="shared" ca="1" si="34"/>
        <v>61.593335783150991</v>
      </c>
      <c r="AF129" s="344"/>
      <c r="AG129" s="359">
        <f t="shared" ca="1" si="56"/>
        <v>79.823096964211729</v>
      </c>
      <c r="AH129" s="357">
        <f t="shared" ca="1" si="57"/>
        <v>89.428656617593134</v>
      </c>
    </row>
    <row r="130" spans="1:34" x14ac:dyDescent="0.25">
      <c r="A130" s="402">
        <f t="shared" ca="1" si="35"/>
        <v>0.01</v>
      </c>
      <c r="B130" s="357">
        <f t="shared" ca="1" si="36"/>
        <v>1.2600000000000009</v>
      </c>
      <c r="C130" s="342"/>
      <c r="D130" s="359">
        <f t="shared" ca="1" si="37"/>
        <v>18.170037034738272</v>
      </c>
      <c r="E130" s="360">
        <f t="shared" ca="1" si="38"/>
        <v>77.706505366085324</v>
      </c>
      <c r="F130" s="357">
        <f t="shared" ca="1" si="39"/>
        <v>79.802576537685852</v>
      </c>
      <c r="G130" s="359">
        <f t="shared" ca="1" si="40"/>
        <v>20.729990418386222</v>
      </c>
      <c r="H130" s="360">
        <f t="shared" ca="1" si="41"/>
        <v>99.748494380688228</v>
      </c>
      <c r="I130" s="357">
        <f t="shared" ca="1" si="42"/>
        <v>101.8798048386459</v>
      </c>
      <c r="J130" s="359">
        <f t="shared" ca="1" si="43"/>
        <v>12.305897716968516</v>
      </c>
      <c r="K130" s="360">
        <f t="shared" ca="1" si="44"/>
        <v>62.586935401689566</v>
      </c>
      <c r="L130" s="357">
        <f t="shared" ca="1" si="29"/>
        <v>63.785261633043049</v>
      </c>
      <c r="M130" s="359">
        <f t="shared" ca="1" si="45"/>
        <v>1.3658904855712963</v>
      </c>
      <c r="N130" s="357">
        <f t="shared" ca="1" si="46"/>
        <v>78.259760100309947</v>
      </c>
      <c r="O130" s="343"/>
      <c r="P130" s="363">
        <f t="shared" ca="1" si="47"/>
        <v>6</v>
      </c>
      <c r="Q130" s="357">
        <f t="shared" ca="1" si="48"/>
        <v>999.65438596491219</v>
      </c>
      <c r="R130" s="359">
        <f t="shared" ca="1" si="49"/>
        <v>0.50075913166007713</v>
      </c>
      <c r="S130" s="360">
        <f t="shared" ca="1" si="50"/>
        <v>10.866164445181228</v>
      </c>
      <c r="T130" s="357">
        <f t="shared" ca="1" si="30"/>
        <v>106.59707320722785</v>
      </c>
      <c r="U130" s="364">
        <f t="shared" ca="1" si="31"/>
        <v>0</v>
      </c>
      <c r="V130" s="359">
        <f t="shared" ca="1" si="32"/>
        <v>1.217357017954471</v>
      </c>
      <c r="W130" s="357">
        <f t="shared" ca="1" si="33"/>
        <v>28.853221859890517</v>
      </c>
      <c r="X130" s="343"/>
      <c r="Y130" s="367" t="str">
        <f t="shared" ca="1" si="51"/>
        <v/>
      </c>
      <c r="Z130" s="368" t="str">
        <f t="shared" ca="1" si="52"/>
        <v/>
      </c>
      <c r="AA130" s="369" t="str">
        <f t="shared" ca="1" si="53"/>
        <v/>
      </c>
      <c r="AB130" s="344"/>
      <c r="AC130" s="363" t="e">
        <f t="shared" ca="1" si="54"/>
        <v>#N/A</v>
      </c>
      <c r="AD130" s="376" t="e">
        <f t="shared" ca="1" si="55"/>
        <v>#N/A</v>
      </c>
      <c r="AE130" s="377">
        <f t="shared" ca="1" si="34"/>
        <v>62.586935401689566</v>
      </c>
      <c r="AF130" s="344"/>
      <c r="AG130" s="359">
        <f t="shared" ca="1" si="56"/>
        <v>79.777655712545851</v>
      </c>
      <c r="AH130" s="357">
        <f t="shared" ca="1" si="57"/>
        <v>89.382822495912507</v>
      </c>
    </row>
    <row r="131" spans="1:34" x14ac:dyDescent="0.25">
      <c r="A131" s="402">
        <f t="shared" ca="1" si="35"/>
        <v>0.01</v>
      </c>
      <c r="B131" s="357">
        <f t="shared" ca="1" si="36"/>
        <v>1.2700000000000009</v>
      </c>
      <c r="C131" s="342"/>
      <c r="D131" s="359">
        <f t="shared" ca="1" si="37"/>
        <v>18.177768907612819</v>
      </c>
      <c r="E131" s="360">
        <f t="shared" ca="1" si="38"/>
        <v>77.65772396605955</v>
      </c>
      <c r="F131" s="357">
        <f t="shared" ca="1" si="39"/>
        <v>79.756839042475065</v>
      </c>
      <c r="G131" s="359">
        <f t="shared" ca="1" si="40"/>
        <v>20.91176810746235</v>
      </c>
      <c r="H131" s="360">
        <f t="shared" ca="1" si="41"/>
        <v>100.52507162034883</v>
      </c>
      <c r="I131" s="357">
        <f t="shared" ca="1" si="42"/>
        <v>102.67712534764762</v>
      </c>
      <c r="J131" s="359">
        <f t="shared" ca="1" si="43"/>
        <v>12.514106509597759</v>
      </c>
      <c r="K131" s="360">
        <f t="shared" ca="1" si="44"/>
        <v>63.588303231694752</v>
      </c>
      <c r="L131" s="357">
        <f t="shared" ca="1" si="29"/>
        <v>64.807986927689072</v>
      </c>
      <c r="M131" s="359">
        <f t="shared" ca="1" si="45"/>
        <v>1.3656960810747398</v>
      </c>
      <c r="N131" s="357">
        <f t="shared" ca="1" si="46"/>
        <v>78.248621543138896</v>
      </c>
      <c r="O131" s="343"/>
      <c r="P131" s="363">
        <f t="shared" ca="1" si="47"/>
        <v>6</v>
      </c>
      <c r="Q131" s="357">
        <f t="shared" ca="1" si="48"/>
        <v>999.15263157894731</v>
      </c>
      <c r="R131" s="359">
        <f t="shared" ca="1" si="49"/>
        <v>0.50050778670110929</v>
      </c>
      <c r="S131" s="360">
        <f t="shared" ca="1" si="50"/>
        <v>10.861159367314217</v>
      </c>
      <c r="T131" s="357">
        <f t="shared" ca="1" si="30"/>
        <v>106.54797339335248</v>
      </c>
      <c r="U131" s="364">
        <f t="shared" ca="1" si="31"/>
        <v>0</v>
      </c>
      <c r="V131" s="359">
        <f t="shared" ca="1" si="32"/>
        <v>1.2172351206293162</v>
      </c>
      <c r="W131" s="357">
        <f t="shared" ca="1" si="33"/>
        <v>29.303670316320762</v>
      </c>
      <c r="X131" s="343"/>
      <c r="Y131" s="367" t="str">
        <f t="shared" ca="1" si="51"/>
        <v/>
      </c>
      <c r="Z131" s="368" t="str">
        <f t="shared" ca="1" si="52"/>
        <v/>
      </c>
      <c r="AA131" s="369" t="str">
        <f t="shared" ca="1" si="53"/>
        <v/>
      </c>
      <c r="AB131" s="344"/>
      <c r="AC131" s="363" t="e">
        <f t="shared" ca="1" si="54"/>
        <v>#N/A</v>
      </c>
      <c r="AD131" s="376" t="e">
        <f t="shared" ca="1" si="55"/>
        <v>#N/A</v>
      </c>
      <c r="AE131" s="377">
        <f t="shared" ca="1" si="34"/>
        <v>63.588303231694752</v>
      </c>
      <c r="AF131" s="344"/>
      <c r="AG131" s="359">
        <f t="shared" ca="1" si="56"/>
        <v>79.731856875786562</v>
      </c>
      <c r="AH131" s="357">
        <f t="shared" ca="1" si="57"/>
        <v>89.336633125842411</v>
      </c>
    </row>
    <row r="132" spans="1:34" x14ac:dyDescent="0.25">
      <c r="A132" s="402">
        <f t="shared" ca="1" si="35"/>
        <v>0.01</v>
      </c>
      <c r="B132" s="357">
        <f t="shared" ca="1" si="36"/>
        <v>1.2800000000000009</v>
      </c>
      <c r="C132" s="342"/>
      <c r="D132" s="359">
        <f t="shared" ca="1" si="37"/>
        <v>18.185293254512942</v>
      </c>
      <c r="E132" s="360">
        <f t="shared" ca="1" si="38"/>
        <v>77.608619862880545</v>
      </c>
      <c r="F132" s="357">
        <f t="shared" ca="1" si="39"/>
        <v>79.71074436845845</v>
      </c>
      <c r="G132" s="359">
        <f t="shared" ca="1" si="40"/>
        <v>21.093621040007481</v>
      </c>
      <c r="H132" s="360">
        <f t="shared" ca="1" si="41"/>
        <v>101.30115781897763</v>
      </c>
      <c r="I132" s="357">
        <f t="shared" ca="1" si="42"/>
        <v>103.47398428612314</v>
      </c>
      <c r="J132" s="359">
        <f t="shared" ca="1" si="43"/>
        <v>12.724133455335108</v>
      </c>
      <c r="K132" s="360">
        <f t="shared" ca="1" si="44"/>
        <v>64.597434378891379</v>
      </c>
      <c r="L132" s="357">
        <f t="shared" ref="L132:L195" ca="1" si="58">SQRT(pos_x^2+pos_z^2)</f>
        <v>65.838682402705743</v>
      </c>
      <c r="M132" s="359">
        <f t="shared" ca="1" si="45"/>
        <v>1.3655029932494573</v>
      </c>
      <c r="N132" s="357">
        <f t="shared" ca="1" si="46"/>
        <v>78.237558425674848</v>
      </c>
      <c r="O132" s="343"/>
      <c r="P132" s="363">
        <f t="shared" ca="1" si="47"/>
        <v>6</v>
      </c>
      <c r="Q132" s="357">
        <f t="shared" ca="1" si="48"/>
        <v>998.65087719298242</v>
      </c>
      <c r="R132" s="359">
        <f t="shared" ca="1" si="49"/>
        <v>0.50025644174214146</v>
      </c>
      <c r="S132" s="360">
        <f t="shared" ca="1" si="50"/>
        <v>10.856156802896797</v>
      </c>
      <c r="T132" s="357">
        <f t="shared" ref="T132:T195" ca="1" si="59">m*g</f>
        <v>106.49889823641757</v>
      </c>
      <c r="U132" s="364">
        <f t="shared" ref="U132:U195" ca="1" si="60">IF(pos_xz&lt;L_rampe,Poids*COS(Beta),0)</f>
        <v>0</v>
      </c>
      <c r="V132" s="359">
        <f t="shared" ref="V132:V195" ca="1" si="61">Rho_moyen*(20000-Alt_rampe-pos_z)/(20000+Alt_rampe+pos_z)</f>
        <v>1.2171122905781748</v>
      </c>
      <c r="W132" s="357">
        <f t="shared" ref="W132:W195" ca="1" si="62">1/2*Rho*Sref*Cx*vit_xz^2</f>
        <v>29.757273369904876</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64.597434378891379</v>
      </c>
      <c r="AF132" s="344"/>
      <c r="AG132" s="359">
        <f t="shared" ca="1" si="56"/>
        <v>79.685700957000137</v>
      </c>
      <c r="AH132" s="357">
        <f t="shared" ca="1" si="57"/>
        <v>89.290088976792077</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18.185488833106628</v>
      </c>
      <c r="E133" s="360">
        <f t="shared" ref="E133:E196" ca="1" si="67">IF(AND(L132&lt;L_rampe,Poussee&lt;Poids*SIN(M132)),0,(-W132+Poussee)/m*SIN(M132)+U132/m*COS(M132)-Poids/m)</f>
        <v>77.524984865980926</v>
      </c>
      <c r="F133" s="357">
        <f t="shared" ref="F133:F196" ca="1" si="68">SQRT(acc_x^2+acc_z^2)</f>
        <v>79.629361937476418</v>
      </c>
      <c r="G133" s="359">
        <f t="shared" ref="G133:G196" ca="1" si="69">G132+acc_x*pas</f>
        <v>21.275475928338548</v>
      </c>
      <c r="H133" s="360">
        <f t="shared" ref="H133:H196" ca="1" si="70">H132+acc_z*pas</f>
        <v>102.07640766763744</v>
      </c>
      <c r="I133" s="357">
        <f t="shared" ref="I133:I196" ca="1" si="71">SQRT(vit_x^2+vit_z^2)</f>
        <v>104.27002866743167</v>
      </c>
      <c r="J133" s="359">
        <f t="shared" ref="J133:J196" ca="1" si="72">J132+0.5*(vit_x+G132)*pas*(K132&gt;=0)</f>
        <v>12.935978940176838</v>
      </c>
      <c r="K133" s="360">
        <f t="shared" ref="K133:K196" ca="1" si="73">K132+0.5*(vit_z+H132)*pas</f>
        <v>65.614322206324459</v>
      </c>
      <c r="L133" s="357">
        <f t="shared" ca="1" si="58"/>
        <v>66.87734167665505</v>
      </c>
      <c r="M133" s="359">
        <f t="shared" ref="M133:M196" ca="1" si="74">IF(AND(L132&gt;L_rampe,G133&gt;0),ATAN2(G133,H133),$M$4)</f>
        <v>1.3653112016926261</v>
      </c>
      <c r="N133" s="357">
        <f t="shared" ref="N133:N196" ca="1" si="75">DEGREES(Beta)</f>
        <v>78.226569578922167</v>
      </c>
      <c r="O133" s="343"/>
      <c r="P133" s="363">
        <f t="shared" ref="P133:P196" ca="1" si="76">MATCH(t-pas/2-T_ini,CdP_t)</f>
        <v>7</v>
      </c>
      <c r="Q133" s="357">
        <f t="shared" ref="Q133:Q196" ca="1" si="77">(INDEX(CdP,2,i_P+1)-INDEX(CdP,2,i_P+0))/(INDEX(CdP,1,i_P+1)-INDEX(CdP,1,i_P+0))*(t-pas/2-T_ini-INDEX(CdP,1,i_P+0))+INDEX(CdP,2,i_P+0)</f>
        <v>997.77012987012972</v>
      </c>
      <c r="R133" s="359">
        <f t="shared" ref="R133:R196" ca="1" si="78">Poussee/(g*ISP)</f>
        <v>0.49981524699444074</v>
      </c>
      <c r="S133" s="360">
        <f t="shared" ref="S133:S196" ca="1" si="79">S132-Débit*pas</f>
        <v>10.851158650426852</v>
      </c>
      <c r="T133" s="357">
        <f t="shared" ca="1" si="59"/>
        <v>106.44986636068742</v>
      </c>
      <c r="U133" s="364">
        <f t="shared" ca="1" si="60"/>
        <v>0</v>
      </c>
      <c r="V133" s="359">
        <f t="shared" ca="1" si="61"/>
        <v>1.2169885288920563</v>
      </c>
      <c r="W133" s="357">
        <f t="shared" ca="1" si="62"/>
        <v>30.213818309046836</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65.614322206324459</v>
      </c>
      <c r="AF133" s="344"/>
      <c r="AG133" s="359">
        <f t="shared" ref="AG133:AG196" ca="1" si="85">IF(AND(L132&lt;L_rampe,Poussee&lt;Poids*SIN(M132)),0,(-W132+Poussee)/m-Poids*SIN(M132)/m)</f>
        <v>79.604246357411029</v>
      </c>
      <c r="AH133" s="357">
        <f t="shared" ref="AH133:AH196" ca="1" si="86">IF(AND(L132&lt;L_rampe,Poussee&lt;Poids*SIN(M132)), g*SIN(M132), (-W132+Poussee)/m)</f>
        <v>89.20824841706154</v>
      </c>
    </row>
    <row r="134" spans="1:34" x14ac:dyDescent="0.25">
      <c r="A134" s="402">
        <f t="shared" ca="1" si="64"/>
        <v>0.01</v>
      </c>
      <c r="B134" s="357">
        <f t="shared" ca="1" si="65"/>
        <v>1.3000000000000009</v>
      </c>
      <c r="C134" s="342"/>
      <c r="D134" s="359">
        <f t="shared" ca="1" si="66"/>
        <v>18.178328621088749</v>
      </c>
      <c r="E134" s="360">
        <f t="shared" ca="1" si="67"/>
        <v>77.406779041400441</v>
      </c>
      <c r="F134" s="357">
        <f t="shared" ca="1" si="68"/>
        <v>79.512647251996867</v>
      </c>
      <c r="G134" s="359">
        <f t="shared" ca="1" si="69"/>
        <v>21.457259214549435</v>
      </c>
      <c r="H134" s="360">
        <f t="shared" ca="1" si="70"/>
        <v>102.85047545805145</v>
      </c>
      <c r="I134" s="357">
        <f t="shared" ca="1" si="71"/>
        <v>105.06490505848092</v>
      </c>
      <c r="J134" s="359">
        <f t="shared" ca="1" si="72"/>
        <v>13.149642615891278</v>
      </c>
      <c r="K134" s="360">
        <f t="shared" ca="1" si="73"/>
        <v>66.6389566219529</v>
      </c>
      <c r="L134" s="357">
        <f t="shared" ca="1" si="58"/>
        <v>67.923954836185629</v>
      </c>
      <c r="M134" s="359">
        <f t="shared" ca="1" si="74"/>
        <v>1.3651206858356568</v>
      </c>
      <c r="N134" s="357">
        <f t="shared" ca="1" si="75"/>
        <v>78.215653824387516</v>
      </c>
      <c r="O134" s="343"/>
      <c r="P134" s="363">
        <f t="shared" ca="1" si="76"/>
        <v>7</v>
      </c>
      <c r="Q134" s="357">
        <f t="shared" ca="1" si="77"/>
        <v>996.51038961038944</v>
      </c>
      <c r="R134" s="359">
        <f t="shared" ca="1" si="78"/>
        <v>0.49918420245800738</v>
      </c>
      <c r="S134" s="360">
        <f t="shared" ca="1" si="79"/>
        <v>10.846166808402272</v>
      </c>
      <c r="T134" s="357">
        <f t="shared" ca="1" si="59"/>
        <v>106.40089639042628</v>
      </c>
      <c r="U134" s="364">
        <f t="shared" ca="1" si="60"/>
        <v>0</v>
      </c>
      <c r="V134" s="359">
        <f t="shared" ca="1" si="61"/>
        <v>1.2168638370841918</v>
      </c>
      <c r="W134" s="357">
        <f t="shared" ca="1" si="62"/>
        <v>30.673086007290824</v>
      </c>
      <c r="X134" s="343"/>
      <c r="Y134" s="367" t="str">
        <f t="shared" ca="1" si="80"/>
        <v/>
      </c>
      <c r="Z134" s="368" t="str">
        <f t="shared" ca="1" si="81"/>
        <v/>
      </c>
      <c r="AA134" s="369" t="str">
        <f t="shared" ca="1" si="82"/>
        <v/>
      </c>
      <c r="AB134" s="344"/>
      <c r="AC134" s="363" t="e">
        <f t="shared" ca="1" si="83"/>
        <v>#N/A</v>
      </c>
      <c r="AD134" s="376" t="e">
        <f t="shared" ca="1" si="84"/>
        <v>#N/A</v>
      </c>
      <c r="AE134" s="377">
        <f t="shared" ca="1" si="63"/>
        <v>66.6389566219529</v>
      </c>
      <c r="AF134" s="344"/>
      <c r="AG134" s="359">
        <f t="shared" ca="1" si="85"/>
        <v>79.487448431601891</v>
      </c>
      <c r="AH134" s="357">
        <f t="shared" ca="1" si="86"/>
        <v>89.091066767733579</v>
      </c>
    </row>
    <row r="135" spans="1:34" x14ac:dyDescent="0.25">
      <c r="A135" s="402">
        <f t="shared" ca="1" si="64"/>
        <v>0.01</v>
      </c>
      <c r="B135" s="357">
        <f t="shared" ca="1" si="65"/>
        <v>1.3100000000000009</v>
      </c>
      <c r="C135" s="342"/>
      <c r="D135" s="359">
        <f t="shared" ca="1" si="66"/>
        <v>18.170928717594332</v>
      </c>
      <c r="E135" s="360">
        <f t="shared" ca="1" si="67"/>
        <v>77.288200167694654</v>
      </c>
      <c r="F135" s="357">
        <f t="shared" ca="1" si="68"/>
        <v>79.395519619318137</v>
      </c>
      <c r="G135" s="359">
        <f t="shared" ca="1" si="69"/>
        <v>21.63896850172538</v>
      </c>
      <c r="H135" s="360">
        <f t="shared" ca="1" si="70"/>
        <v>103.6233574597284</v>
      </c>
      <c r="I135" s="357">
        <f t="shared" ca="1" si="71"/>
        <v>105.85860932888411</v>
      </c>
      <c r="J135" s="359">
        <f t="shared" ca="1" si="72"/>
        <v>13.365123754472652</v>
      </c>
      <c r="K135" s="360">
        <f t="shared" ca="1" si="73"/>
        <v>67.6713257865418</v>
      </c>
      <c r="L135" s="357">
        <f t="shared" ca="1" si="58"/>
        <v>68.978510180205021</v>
      </c>
      <c r="M135" s="359">
        <f t="shared" ca="1" si="74"/>
        <v>1.3649314255893479</v>
      </c>
      <c r="N135" s="357">
        <f t="shared" ca="1" si="75"/>
        <v>78.204810011044401</v>
      </c>
      <c r="O135" s="343"/>
      <c r="P135" s="363">
        <f t="shared" ca="1" si="76"/>
        <v>7</v>
      </c>
      <c r="Q135" s="357">
        <f t="shared" ca="1" si="77"/>
        <v>995.25064935064916</v>
      </c>
      <c r="R135" s="359">
        <f t="shared" ca="1" si="78"/>
        <v>0.49855315792157406</v>
      </c>
      <c r="S135" s="360">
        <f t="shared" ca="1" si="79"/>
        <v>10.841181276823056</v>
      </c>
      <c r="T135" s="357">
        <f t="shared" ca="1" si="59"/>
        <v>106.35198832563418</v>
      </c>
      <c r="U135" s="364">
        <f t="shared" ca="1" si="60"/>
        <v>0</v>
      </c>
      <c r="V135" s="359">
        <f t="shared" ca="1" si="61"/>
        <v>1.2167382168819965</v>
      </c>
      <c r="W135" s="357">
        <f t="shared" ca="1" si="62"/>
        <v>31.135056668987719</v>
      </c>
      <c r="X135" s="343"/>
      <c r="Y135" s="367" t="str">
        <f t="shared" ca="1" si="80"/>
        <v/>
      </c>
      <c r="Z135" s="368" t="str">
        <f t="shared" ca="1" si="81"/>
        <v/>
      </c>
      <c r="AA135" s="369" t="str">
        <f t="shared" ca="1" si="82"/>
        <v/>
      </c>
      <c r="AB135" s="344"/>
      <c r="AC135" s="363" t="e">
        <f t="shared" ca="1" si="83"/>
        <v>#N/A</v>
      </c>
      <c r="AD135" s="376" t="e">
        <f t="shared" ca="1" si="84"/>
        <v>#N/A</v>
      </c>
      <c r="AE135" s="377">
        <f t="shared" ca="1" si="63"/>
        <v>67.6713257865418</v>
      </c>
      <c r="AF135" s="344"/>
      <c r="AG135" s="359">
        <f t="shared" ca="1" si="85"/>
        <v>79.370237450510473</v>
      </c>
      <c r="AH135" s="357">
        <f t="shared" ca="1" si="86"/>
        <v>88.97347426571416</v>
      </c>
    </row>
    <row r="136" spans="1:34" x14ac:dyDescent="0.25">
      <c r="A136" s="402">
        <f t="shared" ca="1" si="64"/>
        <v>0.01</v>
      </c>
      <c r="B136" s="357">
        <f t="shared" ca="1" si="65"/>
        <v>1.320000000000001</v>
      </c>
      <c r="C136" s="342"/>
      <c r="D136" s="359">
        <f t="shared" ca="1" si="66"/>
        <v>18.163291395415165</v>
      </c>
      <c r="E136" s="360">
        <f t="shared" ca="1" si="67"/>
        <v>77.169249346485387</v>
      </c>
      <c r="F136" s="357">
        <f t="shared" ca="1" si="68"/>
        <v>79.27798054324289</v>
      </c>
      <c r="G136" s="359">
        <f t="shared" ca="1" si="69"/>
        <v>21.82060141567953</v>
      </c>
      <c r="H136" s="360">
        <f t="shared" ca="1" si="70"/>
        <v>104.39504995319325</v>
      </c>
      <c r="I136" s="357">
        <f t="shared" ca="1" si="71"/>
        <v>106.65113736323524</v>
      </c>
      <c r="J136" s="359">
        <f t="shared" ca="1" si="72"/>
        <v>13.582421604059677</v>
      </c>
      <c r="K136" s="360">
        <f t="shared" ca="1" si="73"/>
        <v>68.711417823606411</v>
      </c>
      <c r="L136" s="357">
        <f t="shared" ca="1" si="58"/>
        <v>70.040995966367035</v>
      </c>
      <c r="M136" s="359">
        <f t="shared" ca="1" si="74"/>
        <v>1.3647434013289361</v>
      </c>
      <c r="N136" s="357">
        <f t="shared" ca="1" si="75"/>
        <v>78.194037014476748</v>
      </c>
      <c r="O136" s="343"/>
      <c r="P136" s="363">
        <f t="shared" ca="1" si="76"/>
        <v>7</v>
      </c>
      <c r="Q136" s="357">
        <f t="shared" ca="1" si="77"/>
        <v>993.99090909090899</v>
      </c>
      <c r="R136" s="359">
        <f t="shared" ca="1" si="78"/>
        <v>0.49792211338514075</v>
      </c>
      <c r="S136" s="360">
        <f t="shared" ca="1" si="79"/>
        <v>10.836202055689204</v>
      </c>
      <c r="T136" s="357">
        <f t="shared" ca="1" si="59"/>
        <v>106.3031421663111</v>
      </c>
      <c r="U136" s="364">
        <f t="shared" ca="1" si="60"/>
        <v>0</v>
      </c>
      <c r="V136" s="359">
        <f t="shared" ca="1" si="61"/>
        <v>1.2166116700189167</v>
      </c>
      <c r="W136" s="357">
        <f t="shared" ca="1" si="62"/>
        <v>31.599710454592898</v>
      </c>
      <c r="X136" s="343"/>
      <c r="Y136" s="367" t="str">
        <f t="shared" ca="1" si="80"/>
        <v/>
      </c>
      <c r="Z136" s="368" t="str">
        <f t="shared" ca="1" si="81"/>
        <v/>
      </c>
      <c r="AA136" s="369" t="str">
        <f t="shared" ca="1" si="82"/>
        <v/>
      </c>
      <c r="AB136" s="344"/>
      <c r="AC136" s="363" t="e">
        <f t="shared" ca="1" si="83"/>
        <v>#N/A</v>
      </c>
      <c r="AD136" s="376" t="e">
        <f t="shared" ca="1" si="84"/>
        <v>#N/A</v>
      </c>
      <c r="AE136" s="377">
        <f t="shared" ca="1" si="63"/>
        <v>68.711417823606411</v>
      </c>
      <c r="AF136" s="344"/>
      <c r="AG136" s="359">
        <f t="shared" ca="1" si="85"/>
        <v>79.25261491257541</v>
      </c>
      <c r="AH136" s="357">
        <f t="shared" ca="1" si="86"/>
        <v>88.855472376172997</v>
      </c>
    </row>
    <row r="137" spans="1:34" x14ac:dyDescent="0.25">
      <c r="A137" s="402">
        <f t="shared" ca="1" si="64"/>
        <v>0.01</v>
      </c>
      <c r="B137" s="357">
        <f t="shared" ca="1" si="65"/>
        <v>1.330000000000001</v>
      </c>
      <c r="C137" s="342"/>
      <c r="D137" s="359">
        <f t="shared" ca="1" si="66"/>
        <v>18.155418883130753</v>
      </c>
      <c r="E137" s="360">
        <f t="shared" ca="1" si="67"/>
        <v>77.049927694919546</v>
      </c>
      <c r="F137" s="357">
        <f t="shared" ca="1" si="68"/>
        <v>79.160031534949951</v>
      </c>
      <c r="G137" s="359">
        <f t="shared" ca="1" si="69"/>
        <v>22.002155604510836</v>
      </c>
      <c r="H137" s="360">
        <f t="shared" ca="1" si="70"/>
        <v>105.16554923014245</v>
      </c>
      <c r="I137" s="357">
        <f t="shared" ca="1" si="71"/>
        <v>107.4424850611834</v>
      </c>
      <c r="J137" s="359">
        <f t="shared" ca="1" si="72"/>
        <v>13.801535389160628</v>
      </c>
      <c r="K137" s="360">
        <f t="shared" ca="1" si="73"/>
        <v>69.759220819523094</v>
      </c>
      <c r="L137" s="357">
        <f t="shared" ca="1" si="58"/>
        <v>71.111400411222661</v>
      </c>
      <c r="M137" s="359">
        <f t="shared" ca="1" si="74"/>
        <v>1.3645565938797311</v>
      </c>
      <c r="N137" s="357">
        <f t="shared" ca="1" si="75"/>
        <v>78.183333736055687</v>
      </c>
      <c r="O137" s="343"/>
      <c r="P137" s="363">
        <f t="shared" ca="1" si="76"/>
        <v>7</v>
      </c>
      <c r="Q137" s="357">
        <f t="shared" ca="1" si="77"/>
        <v>992.7311688311687</v>
      </c>
      <c r="R137" s="359">
        <f t="shared" ca="1" si="78"/>
        <v>0.49729106884870744</v>
      </c>
      <c r="S137" s="360">
        <f t="shared" ca="1" si="79"/>
        <v>10.831229145000718</v>
      </c>
      <c r="T137" s="357">
        <f t="shared" ca="1" si="59"/>
        <v>106.25435791245704</v>
      </c>
      <c r="U137" s="364">
        <f t="shared" ca="1" si="60"/>
        <v>0</v>
      </c>
      <c r="V137" s="359">
        <f t="shared" ca="1" si="61"/>
        <v>1.2164841982343997</v>
      </c>
      <c r="W137" s="357">
        <f t="shared" ca="1" si="62"/>
        <v>32.067027481518267</v>
      </c>
      <c r="X137" s="343"/>
      <c r="Y137" s="367" t="str">
        <f t="shared" ca="1" si="80"/>
        <v/>
      </c>
      <c r="Z137" s="368" t="str">
        <f t="shared" ca="1" si="81"/>
        <v/>
      </c>
      <c r="AA137" s="369" t="str">
        <f t="shared" ca="1" si="82"/>
        <v/>
      </c>
      <c r="AB137" s="344"/>
      <c r="AC137" s="363" t="e">
        <f t="shared" ca="1" si="83"/>
        <v>#N/A</v>
      </c>
      <c r="AD137" s="376" t="e">
        <f t="shared" ca="1" si="84"/>
        <v>#N/A</v>
      </c>
      <c r="AE137" s="377">
        <f t="shared" ca="1" si="63"/>
        <v>69.759220819523094</v>
      </c>
      <c r="AF137" s="344"/>
      <c r="AG137" s="359">
        <f t="shared" ca="1" si="85"/>
        <v>79.134582323675417</v>
      </c>
      <c r="AH137" s="357">
        <f t="shared" ca="1" si="86"/>
        <v>88.737062572459507</v>
      </c>
    </row>
    <row r="138" spans="1:34" x14ac:dyDescent="0.25">
      <c r="A138" s="402">
        <f t="shared" ca="1" si="64"/>
        <v>0.01</v>
      </c>
      <c r="B138" s="357">
        <f t="shared" ca="1" si="65"/>
        <v>1.340000000000001</v>
      </c>
      <c r="C138" s="342"/>
      <c r="D138" s="359">
        <f t="shared" ca="1" si="66"/>
        <v>18.147313366532661</v>
      </c>
      <c r="E138" s="360">
        <f t="shared" ca="1" si="67"/>
        <v>76.930236345371583</v>
      </c>
      <c r="F138" s="357">
        <f t="shared" ca="1" si="68"/>
        <v>79.041674112950489</v>
      </c>
      <c r="G138" s="359">
        <f t="shared" ca="1" si="69"/>
        <v>22.183628738176164</v>
      </c>
      <c r="H138" s="360">
        <f t="shared" ca="1" si="70"/>
        <v>105.93485159359616</v>
      </c>
      <c r="I138" s="357">
        <f t="shared" ca="1" si="71"/>
        <v>108.2326483375071</v>
      </c>
      <c r="J138" s="359">
        <f t="shared" ca="1" si="72"/>
        <v>14.022464310874064</v>
      </c>
      <c r="K138" s="360">
        <f t="shared" ca="1" si="73"/>
        <v>70.814722823641787</v>
      </c>
      <c r="L138" s="357">
        <f t="shared" ca="1" si="58"/>
        <v>72.189711690371439</v>
      </c>
      <c r="M138" s="359">
        <f t="shared" ca="1" si="74"/>
        <v>1.3643709845033016</v>
      </c>
      <c r="N138" s="357">
        <f t="shared" ca="1" si="75"/>
        <v>78.172699102148229</v>
      </c>
      <c r="O138" s="343"/>
      <c r="P138" s="363">
        <f t="shared" ca="1" si="76"/>
        <v>7</v>
      </c>
      <c r="Q138" s="357">
        <f t="shared" ca="1" si="77"/>
        <v>991.47142857142842</v>
      </c>
      <c r="R138" s="359">
        <f t="shared" ca="1" si="78"/>
        <v>0.49666002431227407</v>
      </c>
      <c r="S138" s="360">
        <f t="shared" ca="1" si="79"/>
        <v>10.826262544757595</v>
      </c>
      <c r="T138" s="357">
        <f t="shared" ca="1" si="59"/>
        <v>106.20563556407201</v>
      </c>
      <c r="U138" s="364">
        <f t="shared" ca="1" si="60"/>
        <v>0</v>
      </c>
      <c r="V138" s="359">
        <f t="shared" ca="1" si="61"/>
        <v>1.2163558032738639</v>
      </c>
      <c r="W138" s="357">
        <f t="shared" ca="1" si="62"/>
        <v>32.536987824985303</v>
      </c>
      <c r="X138" s="343"/>
      <c r="Y138" s="367" t="str">
        <f t="shared" ca="1" si="80"/>
        <v/>
      </c>
      <c r="Z138" s="368" t="str">
        <f t="shared" ca="1" si="81"/>
        <v/>
      </c>
      <c r="AA138" s="369" t="str">
        <f t="shared" ca="1" si="82"/>
        <v/>
      </c>
      <c r="AB138" s="344"/>
      <c r="AC138" s="363" t="e">
        <f t="shared" ca="1" si="83"/>
        <v>#N/A</v>
      </c>
      <c r="AD138" s="376" t="e">
        <f t="shared" ca="1" si="84"/>
        <v>#N/A</v>
      </c>
      <c r="AE138" s="377">
        <f t="shared" ca="1" si="63"/>
        <v>70.814722823641787</v>
      </c>
      <c r="AF138" s="344"/>
      <c r="AG138" s="359">
        <f t="shared" ca="1" si="85"/>
        <v>79.016141197082916</v>
      </c>
      <c r="AH138" s="357">
        <f t="shared" ca="1" si="86"/>
        <v>88.618246336034304</v>
      </c>
    </row>
    <row r="139" spans="1:34" x14ac:dyDescent="0.25">
      <c r="A139" s="402">
        <f t="shared" ca="1" si="64"/>
        <v>0.01</v>
      </c>
      <c r="B139" s="357">
        <f t="shared" ca="1" si="65"/>
        <v>1.350000000000001</v>
      </c>
      <c r="C139" s="342"/>
      <c r="D139" s="359">
        <f t="shared" ca="1" si="66"/>
        <v>18.138976989993491</v>
      </c>
      <c r="E139" s="360">
        <f t="shared" ca="1" si="67"/>
        <v>76.810176445154354</v>
      </c>
      <c r="F139" s="357">
        <f t="shared" ca="1" si="68"/>
        <v>78.922909803042984</v>
      </c>
      <c r="G139" s="359">
        <f t="shared" ca="1" si="69"/>
        <v>22.365018508076098</v>
      </c>
      <c r="H139" s="360">
        <f t="shared" ca="1" si="70"/>
        <v>106.70295335804771</v>
      </c>
      <c r="I139" s="357">
        <f t="shared" ca="1" si="71"/>
        <v>109.02162312218751</v>
      </c>
      <c r="J139" s="359">
        <f t="shared" ca="1" si="72"/>
        <v>14.245207547105325</v>
      </c>
      <c r="K139" s="360">
        <f t="shared" ca="1" si="73"/>
        <v>71.877911848400004</v>
      </c>
      <c r="L139" s="357">
        <f t="shared" ca="1" si="58"/>
        <v>73.27591793861383</v>
      </c>
      <c r="M139" s="359">
        <f t="shared" ca="1" si="74"/>
        <v>1.3641865548841914</v>
      </c>
      <c r="N139" s="357">
        <f t="shared" ca="1" si="75"/>
        <v>78.162132063356012</v>
      </c>
      <c r="O139" s="343"/>
      <c r="P139" s="363">
        <f t="shared" ca="1" si="76"/>
        <v>7</v>
      </c>
      <c r="Q139" s="357">
        <f t="shared" ca="1" si="77"/>
        <v>990.21168831168814</v>
      </c>
      <c r="R139" s="359">
        <f t="shared" ca="1" si="78"/>
        <v>0.49602897977584076</v>
      </c>
      <c r="S139" s="360">
        <f t="shared" ca="1" si="79"/>
        <v>10.821302254959837</v>
      </c>
      <c r="T139" s="357">
        <f t="shared" ca="1" si="59"/>
        <v>106.15697512115601</v>
      </c>
      <c r="U139" s="364">
        <f t="shared" ca="1" si="60"/>
        <v>0</v>
      </c>
      <c r="V139" s="359">
        <f t="shared" ca="1" si="61"/>
        <v>1.2162264868886719</v>
      </c>
      <c r="W139" s="357">
        <f t="shared" ca="1" si="62"/>
        <v>33.009571518878701</v>
      </c>
      <c r="X139" s="343"/>
      <c r="Y139" s="367" t="str">
        <f t="shared" ca="1" si="80"/>
        <v/>
      </c>
      <c r="Z139" s="368" t="str">
        <f t="shared" ca="1" si="81"/>
        <v/>
      </c>
      <c r="AA139" s="369" t="str">
        <f t="shared" ca="1" si="82"/>
        <v/>
      </c>
      <c r="AB139" s="344"/>
      <c r="AC139" s="363" t="e">
        <f t="shared" ca="1" si="83"/>
        <v>#N/A</v>
      </c>
      <c r="AD139" s="376" t="e">
        <f t="shared" ca="1" si="84"/>
        <v>#N/A</v>
      </c>
      <c r="AE139" s="377">
        <f t="shared" ca="1" si="63"/>
        <v>71.877911848400004</v>
      </c>
      <c r="AF139" s="344"/>
      <c r="AG139" s="359">
        <f t="shared" ca="1" si="85"/>
        <v>78.89729305341676</v>
      </c>
      <c r="AH139" s="357">
        <f t="shared" ca="1" si="86"/>
        <v>88.499025156400378</v>
      </c>
    </row>
    <row r="140" spans="1:34" x14ac:dyDescent="0.25">
      <c r="A140" s="402">
        <f t="shared" ca="1" si="64"/>
        <v>0.01</v>
      </c>
      <c r="B140" s="357">
        <f t="shared" ca="1" si="65"/>
        <v>1.360000000000001</v>
      </c>
      <c r="C140" s="342"/>
      <c r="D140" s="359">
        <f t="shared" ca="1" si="66"/>
        <v>18.130411857782892</v>
      </c>
      <c r="E140" s="360">
        <f t="shared" ca="1" si="67"/>
        <v>76.689749156238008</v>
      </c>
      <c r="F140" s="357">
        <f t="shared" ca="1" si="68"/>
        <v>78.803740138267187</v>
      </c>
      <c r="G140" s="359">
        <f t="shared" ca="1" si="69"/>
        <v>22.546322626653925</v>
      </c>
      <c r="H140" s="360">
        <f t="shared" ca="1" si="70"/>
        <v>107.46985084961008</v>
      </c>
      <c r="I140" s="357">
        <f t="shared" ca="1" si="71"/>
        <v>109.80940536048178</v>
      </c>
      <c r="J140" s="359">
        <f t="shared" ca="1" si="72"/>
        <v>14.469764252778976</v>
      </c>
      <c r="K140" s="360">
        <f t="shared" ca="1" si="73"/>
        <v>72.948775869438293</v>
      </c>
      <c r="L140" s="357">
        <f t="shared" ca="1" si="58"/>
        <v>74.370007250104152</v>
      </c>
      <c r="M140" s="359">
        <f t="shared" ca="1" si="74"/>
        <v>1.3640032871171393</v>
      </c>
      <c r="N140" s="357">
        <f t="shared" ca="1" si="75"/>
        <v>78.151631593783137</v>
      </c>
      <c r="O140" s="343"/>
      <c r="P140" s="363">
        <f t="shared" ca="1" si="76"/>
        <v>7</v>
      </c>
      <c r="Q140" s="357">
        <f t="shared" ca="1" si="77"/>
        <v>988.95194805194785</v>
      </c>
      <c r="R140" s="359">
        <f t="shared" ca="1" si="78"/>
        <v>0.49539793523940739</v>
      </c>
      <c r="S140" s="360">
        <f t="shared" ca="1" si="79"/>
        <v>10.816348275607444</v>
      </c>
      <c r="T140" s="357">
        <f t="shared" ca="1" si="59"/>
        <v>106.10837658370903</v>
      </c>
      <c r="U140" s="364">
        <f t="shared" ca="1" si="60"/>
        <v>0</v>
      </c>
      <c r="V140" s="359">
        <f t="shared" ca="1" si="61"/>
        <v>1.2160962508361017</v>
      </c>
      <c r="W140" s="357">
        <f t="shared" ca="1" si="62"/>
        <v>33.484758556600958</v>
      </c>
      <c r="X140" s="343"/>
      <c r="Y140" s="367" t="str">
        <f t="shared" ca="1" si="80"/>
        <v/>
      </c>
      <c r="Z140" s="368" t="str">
        <f t="shared" ca="1" si="81"/>
        <v/>
      </c>
      <c r="AA140" s="369" t="str">
        <f t="shared" ca="1" si="82"/>
        <v/>
      </c>
      <c r="AB140" s="344"/>
      <c r="AC140" s="363" t="e">
        <f t="shared" ca="1" si="83"/>
        <v>#N/A</v>
      </c>
      <c r="AD140" s="376" t="e">
        <f t="shared" ca="1" si="84"/>
        <v>#N/A</v>
      </c>
      <c r="AE140" s="377">
        <f t="shared" ca="1" si="63"/>
        <v>72.948775869438293</v>
      </c>
      <c r="AF140" s="344"/>
      <c r="AG140" s="359">
        <f t="shared" ca="1" si="85"/>
        <v>78.778039420593714</v>
      </c>
      <c r="AH140" s="357">
        <f t="shared" ca="1" si="86"/>
        <v>88.379400531033994</v>
      </c>
    </row>
    <row r="141" spans="1:34" x14ac:dyDescent="0.25">
      <c r="A141" s="402">
        <f t="shared" ca="1" si="64"/>
        <v>0.01</v>
      </c>
      <c r="B141" s="357">
        <f t="shared" ca="1" si="65"/>
        <v>1.370000000000001</v>
      </c>
      <c r="C141" s="342"/>
      <c r="D141" s="359">
        <f t="shared" ca="1" si="66"/>
        <v>18.121620035332857</v>
      </c>
      <c r="E141" s="360">
        <f t="shared" ca="1" si="67"/>
        <v>76.568955654976321</v>
      </c>
      <c r="F141" s="357">
        <f t="shared" ca="1" si="68"/>
        <v>78.684166658856512</v>
      </c>
      <c r="G141" s="359">
        <f t="shared" ca="1" si="69"/>
        <v>22.727538827007255</v>
      </c>
      <c r="H141" s="360">
        <f t="shared" ca="1" si="70"/>
        <v>108.23554040615984</v>
      </c>
      <c r="I141" s="357">
        <f t="shared" ca="1" si="71"/>
        <v>110.5959910129955</v>
      </c>
      <c r="J141" s="359">
        <f t="shared" ca="1" si="72"/>
        <v>14.696133560047281</v>
      </c>
      <c r="K141" s="360">
        <f t="shared" ca="1" si="73"/>
        <v>74.027302825717143</v>
      </c>
      <c r="L141" s="357">
        <f t="shared" ca="1" si="58"/>
        <v>75.471967678504171</v>
      </c>
      <c r="M141" s="359">
        <f t="shared" ca="1" si="74"/>
        <v>1.3638211636947799</v>
      </c>
      <c r="N141" s="357">
        <f t="shared" ca="1" si="75"/>
        <v>78.141196690331469</v>
      </c>
      <c r="O141" s="343"/>
      <c r="P141" s="363">
        <f t="shared" ca="1" si="76"/>
        <v>7</v>
      </c>
      <c r="Q141" s="357">
        <f t="shared" ca="1" si="77"/>
        <v>987.69220779220768</v>
      </c>
      <c r="R141" s="359">
        <f t="shared" ca="1" si="78"/>
        <v>0.49476689070297414</v>
      </c>
      <c r="S141" s="360">
        <f t="shared" ca="1" si="79"/>
        <v>10.811400606700415</v>
      </c>
      <c r="T141" s="357">
        <f t="shared" ca="1" si="59"/>
        <v>106.05983995173108</v>
      </c>
      <c r="U141" s="364">
        <f t="shared" ca="1" si="60"/>
        <v>0</v>
      </c>
      <c r="V141" s="359">
        <f t="shared" ca="1" si="61"/>
        <v>1.2159650968793154</v>
      </c>
      <c r="W141" s="357">
        <f t="shared" ca="1" si="62"/>
        <v>33.962528891927334</v>
      </c>
      <c r="X141" s="343"/>
      <c r="Y141" s="367" t="str">
        <f t="shared" ca="1" si="80"/>
        <v/>
      </c>
      <c r="Z141" s="368" t="str">
        <f t="shared" ca="1" si="81"/>
        <v/>
      </c>
      <c r="AA141" s="369" t="str">
        <f t="shared" ca="1" si="82"/>
        <v/>
      </c>
      <c r="AB141" s="344"/>
      <c r="AC141" s="363" t="e">
        <f t="shared" ca="1" si="83"/>
        <v>#N/A</v>
      </c>
      <c r="AD141" s="376" t="e">
        <f t="shared" ca="1" si="84"/>
        <v>#N/A</v>
      </c>
      <c r="AE141" s="377">
        <f t="shared" ca="1" si="63"/>
        <v>74.027302825717143</v>
      </c>
      <c r="AF141" s="344"/>
      <c r="AG141" s="359">
        <f t="shared" ca="1" si="85"/>
        <v>78.658381833778733</v>
      </c>
      <c r="AH141" s="357">
        <f t="shared" ca="1" si="86"/>
        <v>88.25937396531512</v>
      </c>
    </row>
    <row r="142" spans="1:34" x14ac:dyDescent="0.25">
      <c r="A142" s="402">
        <f t="shared" ca="1" si="64"/>
        <v>0.01</v>
      </c>
      <c r="B142" s="357">
        <f t="shared" ca="1" si="65"/>
        <v>1.380000000000001</v>
      </c>
      <c r="C142" s="342"/>
      <c r="D142" s="359">
        <f t="shared" ca="1" si="66"/>
        <v>18.112603550454942</v>
      </c>
      <c r="E142" s="360">
        <f t="shared" ca="1" si="67"/>
        <v>76.447797131840517</v>
      </c>
      <c r="F142" s="357">
        <f t="shared" ca="1" si="68"/>
        <v>78.56419091218973</v>
      </c>
      <c r="G142" s="359">
        <f t="shared" ca="1" si="69"/>
        <v>22.908664862511806</v>
      </c>
      <c r="H142" s="360">
        <f t="shared" ca="1" si="70"/>
        <v>109.00001837747824</v>
      </c>
      <c r="I142" s="357">
        <f t="shared" ca="1" si="71"/>
        <v>111.38137605575484</v>
      </c>
      <c r="J142" s="359">
        <f t="shared" ca="1" si="72"/>
        <v>14.924314578494876</v>
      </c>
      <c r="K142" s="360">
        <f t="shared" ca="1" si="73"/>
        <v>75.11348061963534</v>
      </c>
      <c r="L142" s="357">
        <f t="shared" ca="1" si="58"/>
        <v>76.58178723713759</v>
      </c>
      <c r="M142" s="359">
        <f t="shared" ca="1" si="74"/>
        <v>1.3636401674958063</v>
      </c>
      <c r="N142" s="357">
        <f t="shared" ca="1" si="75"/>
        <v>78.130826372022369</v>
      </c>
      <c r="O142" s="343"/>
      <c r="P142" s="363">
        <f t="shared" ca="1" si="76"/>
        <v>7</v>
      </c>
      <c r="Q142" s="357">
        <f t="shared" ca="1" si="77"/>
        <v>986.4324675324674</v>
      </c>
      <c r="R142" s="359">
        <f t="shared" ca="1" si="78"/>
        <v>0.49413584616654077</v>
      </c>
      <c r="S142" s="360">
        <f t="shared" ca="1" si="79"/>
        <v>10.806459248238749</v>
      </c>
      <c r="T142" s="357">
        <f t="shared" ca="1" si="59"/>
        <v>106.01136522522214</v>
      </c>
      <c r="U142" s="364">
        <f t="shared" ca="1" si="60"/>
        <v>0</v>
      </c>
      <c r="V142" s="359">
        <f t="shared" ca="1" si="61"/>
        <v>1.2158330267873323</v>
      </c>
      <c r="W142" s="357">
        <f t="shared" ca="1" si="62"/>
        <v>34.442862439861692</v>
      </c>
      <c r="X142" s="343"/>
      <c r="Y142" s="367" t="str">
        <f t="shared" ca="1" si="80"/>
        <v/>
      </c>
      <c r="Z142" s="368" t="str">
        <f t="shared" ca="1" si="81"/>
        <v/>
      </c>
      <c r="AA142" s="369" t="str">
        <f t="shared" ca="1" si="82"/>
        <v/>
      </c>
      <c r="AB142" s="344"/>
      <c r="AC142" s="363" t="e">
        <f t="shared" ca="1" si="83"/>
        <v>#N/A</v>
      </c>
      <c r="AD142" s="376" t="e">
        <f t="shared" ca="1" si="84"/>
        <v>#N/A</v>
      </c>
      <c r="AE142" s="377">
        <f t="shared" ca="1" si="63"/>
        <v>75.11348061963534</v>
      </c>
      <c r="AF142" s="344"/>
      <c r="AG142" s="359">
        <f t="shared" ca="1" si="85"/>
        <v>78.538321835334386</v>
      </c>
      <c r="AH142" s="357">
        <f t="shared" ca="1" si="86"/>
        <v>88.138946972457688</v>
      </c>
    </row>
    <row r="143" spans="1:34" x14ac:dyDescent="0.25">
      <c r="A143" s="402">
        <f t="shared" ca="1" si="64"/>
        <v>0.01</v>
      </c>
      <c r="B143" s="357">
        <f t="shared" ca="1" si="65"/>
        <v>1.390000000000001</v>
      </c>
      <c r="C143" s="342"/>
      <c r="D143" s="359">
        <f t="shared" ca="1" si="66"/>
        <v>18.103364394511182</v>
      </c>
      <c r="E143" s="360">
        <f t="shared" ca="1" si="67"/>
        <v>76.32627479115979</v>
      </c>
      <c r="F143" s="357">
        <f t="shared" ca="1" si="68"/>
        <v>78.443814452741208</v>
      </c>
      <c r="G143" s="359">
        <f t="shared" ca="1" si="69"/>
        <v>23.089698506456919</v>
      </c>
      <c r="H143" s="360">
        <f t="shared" ca="1" si="70"/>
        <v>109.76328112538984</v>
      </c>
      <c r="I143" s="357">
        <f t="shared" ca="1" si="71"/>
        <v>112.16555648027801</v>
      </c>
      <c r="J143" s="359">
        <f t="shared" ca="1" si="72"/>
        <v>15.15430639533972</v>
      </c>
      <c r="K143" s="360">
        <f t="shared" ca="1" si="73"/>
        <v>76.207297117149679</v>
      </c>
      <c r="L143" s="357">
        <f t="shared" ca="1" si="58"/>
        <v>77.699453899145027</v>
      </c>
      <c r="M143" s="359">
        <f t="shared" ca="1" si="74"/>
        <v>1.3634602817735695</v>
      </c>
      <c r="N143" s="357">
        <f t="shared" ca="1" si="75"/>
        <v>78.120519679343531</v>
      </c>
      <c r="O143" s="343"/>
      <c r="P143" s="363">
        <f t="shared" ca="1" si="76"/>
        <v>7</v>
      </c>
      <c r="Q143" s="357">
        <f t="shared" ca="1" si="77"/>
        <v>985.17272727272712</v>
      </c>
      <c r="R143" s="359">
        <f t="shared" ca="1" si="78"/>
        <v>0.49350480163010746</v>
      </c>
      <c r="S143" s="360">
        <f t="shared" ca="1" si="79"/>
        <v>10.801524200222447</v>
      </c>
      <c r="T143" s="357">
        <f t="shared" ca="1" si="59"/>
        <v>105.96295240418222</v>
      </c>
      <c r="U143" s="364">
        <f t="shared" ca="1" si="60"/>
        <v>0</v>
      </c>
      <c r="V143" s="359">
        <f t="shared" ca="1" si="61"/>
        <v>1.2157000423349968</v>
      </c>
      <c r="W143" s="357">
        <f t="shared" ca="1" si="62"/>
        <v>34.925739077492594</v>
      </c>
      <c r="X143" s="343"/>
      <c r="Y143" s="367" t="str">
        <f t="shared" ca="1" si="80"/>
        <v/>
      </c>
      <c r="Z143" s="368" t="str">
        <f t="shared" ca="1" si="81"/>
        <v/>
      </c>
      <c r="AA143" s="369" t="str">
        <f t="shared" ca="1" si="82"/>
        <v/>
      </c>
      <c r="AB143" s="344"/>
      <c r="AC143" s="363" t="e">
        <f t="shared" ca="1" si="83"/>
        <v>#N/A</v>
      </c>
      <c r="AD143" s="376" t="e">
        <f t="shared" ca="1" si="84"/>
        <v>#N/A</v>
      </c>
      <c r="AE143" s="377">
        <f t="shared" ca="1" si="63"/>
        <v>76.207297117149679</v>
      </c>
      <c r="AF143" s="344"/>
      <c r="AG143" s="359">
        <f t="shared" ca="1" si="85"/>
        <v>78.417860974769084</v>
      </c>
      <c r="AH143" s="357">
        <f t="shared" ca="1" si="86"/>
        <v>88.018121073439445</v>
      </c>
    </row>
    <row r="144" spans="1:34" x14ac:dyDescent="0.25">
      <c r="A144" s="402">
        <f t="shared" ca="1" si="64"/>
        <v>0.01</v>
      </c>
      <c r="B144" s="357">
        <f t="shared" ca="1" si="65"/>
        <v>1.400000000000001</v>
      </c>
      <c r="C144" s="342"/>
      <c r="D144" s="359">
        <f t="shared" ca="1" si="66"/>
        <v>18.093904523541088</v>
      </c>
      <c r="E144" s="360">
        <f t="shared" ca="1" si="67"/>
        <v>76.20438985086858</v>
      </c>
      <c r="F144" s="357">
        <f t="shared" ca="1" si="68"/>
        <v>78.323038842030272</v>
      </c>
      <c r="G144" s="359">
        <f t="shared" ca="1" si="69"/>
        <v>23.270637551692332</v>
      </c>
      <c r="H144" s="360">
        <f t="shared" ca="1" si="70"/>
        <v>110.52532502389852</v>
      </c>
      <c r="I144" s="357">
        <f t="shared" ca="1" si="71"/>
        <v>112.9485282936464</v>
      </c>
      <c r="J144" s="359">
        <f t="shared" ca="1" si="72"/>
        <v>15.386108075630466</v>
      </c>
      <c r="K144" s="360">
        <f t="shared" ca="1" si="73"/>
        <v>77.308740147896117</v>
      </c>
      <c r="L144" s="357">
        <f t="shared" ca="1" si="58"/>
        <v>78.824955597639928</v>
      </c>
      <c r="M144" s="359">
        <f t="shared" ca="1" si="74"/>
        <v>1.3632814901450987</v>
      </c>
      <c r="N144" s="357">
        <f t="shared" ca="1" si="75"/>
        <v>78.110275673619881</v>
      </c>
      <c r="O144" s="343"/>
      <c r="P144" s="363">
        <f t="shared" ca="1" si="76"/>
        <v>7</v>
      </c>
      <c r="Q144" s="357">
        <f t="shared" ca="1" si="77"/>
        <v>983.91298701298683</v>
      </c>
      <c r="R144" s="359">
        <f t="shared" ca="1" si="78"/>
        <v>0.49287375709367409</v>
      </c>
      <c r="S144" s="360">
        <f t="shared" ca="1" si="79"/>
        <v>10.79659546265151</v>
      </c>
      <c r="T144" s="357">
        <f t="shared" ca="1" si="59"/>
        <v>105.91460148861131</v>
      </c>
      <c r="U144" s="364">
        <f t="shared" ca="1" si="60"/>
        <v>0</v>
      </c>
      <c r="V144" s="359">
        <f t="shared" ca="1" si="61"/>
        <v>1.2155661453029514</v>
      </c>
      <c r="W144" s="357">
        <f t="shared" ca="1" si="62"/>
        <v>35.411138644850141</v>
      </c>
      <c r="X144" s="343"/>
      <c r="Y144" s="367" t="str">
        <f t="shared" ca="1" si="80"/>
        <v/>
      </c>
      <c r="Z144" s="368" t="str">
        <f t="shared" ca="1" si="81"/>
        <v/>
      </c>
      <c r="AA144" s="369" t="str">
        <f t="shared" ca="1" si="82"/>
        <v/>
      </c>
      <c r="AB144" s="344"/>
      <c r="AC144" s="363" t="e">
        <f t="shared" ca="1" si="83"/>
        <v>#N/A</v>
      </c>
      <c r="AD144" s="376" t="e">
        <f t="shared" ca="1" si="84"/>
        <v>#N/A</v>
      </c>
      <c r="AE144" s="377">
        <f t="shared" ca="1" si="63"/>
        <v>77.308740147896117</v>
      </c>
      <c r="AF144" s="344"/>
      <c r="AG144" s="359">
        <f t="shared" ca="1" si="85"/>
        <v>78.297000808684473</v>
      </c>
      <c r="AH144" s="357">
        <f t="shared" ca="1" si="86"/>
        <v>87.896897796931512</v>
      </c>
    </row>
    <row r="145" spans="1:34" x14ac:dyDescent="0.25">
      <c r="A145" s="402">
        <f t="shared" ca="1" si="64"/>
        <v>0.01</v>
      </c>
      <c r="B145" s="357">
        <f t="shared" ca="1" si="65"/>
        <v>1.410000000000001</v>
      </c>
      <c r="C145" s="342"/>
      <c r="D145" s="359">
        <f t="shared" ca="1" si="66"/>
        <v>18.084225859346553</v>
      </c>
      <c r="E145" s="360">
        <f t="shared" ca="1" si="67"/>
        <v>76.082143542260184</v>
      </c>
      <c r="F145" s="357">
        <f t="shared" ca="1" si="68"/>
        <v>78.201865648569679</v>
      </c>
      <c r="G145" s="359">
        <f t="shared" ca="1" si="69"/>
        <v>23.451479810285797</v>
      </c>
      <c r="H145" s="360">
        <f t="shared" ca="1" si="70"/>
        <v>111.28614645932112</v>
      </c>
      <c r="I145" s="357">
        <f t="shared" ca="1" si="71"/>
        <v>113.7302875185749</v>
      </c>
      <c r="J145" s="359">
        <f t="shared" ca="1" si="72"/>
        <v>15.619718662440356</v>
      </c>
      <c r="K145" s="360">
        <f t="shared" ca="1" si="73"/>
        <v>78.417797505312208</v>
      </c>
      <c r="L145" s="357">
        <f t="shared" ca="1" si="58"/>
        <v>79.958280225864897</v>
      </c>
      <c r="M145" s="359">
        <f t="shared" ca="1" si="74"/>
        <v>1.3631037765805236</v>
      </c>
      <c r="N145" s="357">
        <f t="shared" ca="1" si="75"/>
        <v>78.100093436407505</v>
      </c>
      <c r="O145" s="343"/>
      <c r="P145" s="363">
        <f t="shared" ca="1" si="76"/>
        <v>7</v>
      </c>
      <c r="Q145" s="357">
        <f t="shared" ca="1" si="77"/>
        <v>982.65324675324655</v>
      </c>
      <c r="R145" s="359">
        <f t="shared" ca="1" si="78"/>
        <v>0.49224271255724078</v>
      </c>
      <c r="S145" s="360">
        <f t="shared" ca="1" si="79"/>
        <v>10.791673035525937</v>
      </c>
      <c r="T145" s="357">
        <f t="shared" ca="1" si="59"/>
        <v>105.86631247850944</v>
      </c>
      <c r="U145" s="364">
        <f t="shared" ca="1" si="60"/>
        <v>0</v>
      </c>
      <c r="V145" s="359">
        <f t="shared" ca="1" si="61"/>
        <v>1.2154313374776031</v>
      </c>
      <c r="W145" s="357">
        <f t="shared" ca="1" si="62"/>
        <v>35.899040945762863</v>
      </c>
      <c r="X145" s="343"/>
      <c r="Y145" s="367" t="str">
        <f t="shared" ca="1" si="80"/>
        <v/>
      </c>
      <c r="Z145" s="368" t="str">
        <f t="shared" ca="1" si="81"/>
        <v/>
      </c>
      <c r="AA145" s="369" t="str">
        <f t="shared" ca="1" si="82"/>
        <v/>
      </c>
      <c r="AB145" s="344"/>
      <c r="AC145" s="363" t="e">
        <f t="shared" ca="1" si="83"/>
        <v>#N/A</v>
      </c>
      <c r="AD145" s="376" t="e">
        <f t="shared" ca="1" si="84"/>
        <v>#N/A</v>
      </c>
      <c r="AE145" s="377">
        <f t="shared" ca="1" si="63"/>
        <v>78.417797505312208</v>
      </c>
      <c r="AF145" s="344"/>
      <c r="AG145" s="359">
        <f t="shared" ca="1" si="85"/>
        <v>78.175742900721815</v>
      </c>
      <c r="AH145" s="357">
        <f t="shared" ca="1" si="86"/>
        <v>87.775278679227711</v>
      </c>
    </row>
    <row r="146" spans="1:34" x14ac:dyDescent="0.25">
      <c r="A146" s="402">
        <f t="shared" ca="1" si="64"/>
        <v>0.01</v>
      </c>
      <c r="B146" s="357">
        <f t="shared" ca="1" si="65"/>
        <v>1.420000000000001</v>
      </c>
      <c r="C146" s="342"/>
      <c r="D146" s="359">
        <f t="shared" ca="1" si="66"/>
        <v>18.074330290536377</v>
      </c>
      <c r="E146" s="360">
        <f t="shared" ca="1" si="67"/>
        <v>75.959537109746393</v>
      </c>
      <c r="F146" s="357">
        <f t="shared" ca="1" si="68"/>
        <v>78.08029644781287</v>
      </c>
      <c r="G146" s="359">
        <f t="shared" ca="1" si="69"/>
        <v>23.632223113191159</v>
      </c>
      <c r="H146" s="360">
        <f t="shared" ca="1" si="70"/>
        <v>112.04574183041858</v>
      </c>
      <c r="I146" s="357">
        <f t="shared" ca="1" si="71"/>
        <v>114.51083019348195</v>
      </c>
      <c r="J146" s="359">
        <f t="shared" ca="1" si="72"/>
        <v>15.85513717705774</v>
      </c>
      <c r="K146" s="360">
        <f t="shared" ca="1" si="73"/>
        <v>79.534456946760912</v>
      </c>
      <c r="L146" s="357">
        <f t="shared" ca="1" si="58"/>
        <v>81.099415637348983</v>
      </c>
      <c r="M146" s="359">
        <f t="shared" ca="1" si="74"/>
        <v>1.3629271253928787</v>
      </c>
      <c r="N146" s="357">
        <f t="shared" ca="1" si="75"/>
        <v>78.089972068909489</v>
      </c>
      <c r="O146" s="343"/>
      <c r="P146" s="363">
        <f t="shared" ca="1" si="76"/>
        <v>7</v>
      </c>
      <c r="Q146" s="357">
        <f t="shared" ca="1" si="77"/>
        <v>981.39350649350638</v>
      </c>
      <c r="R146" s="359">
        <f t="shared" ca="1" si="78"/>
        <v>0.49161166802080747</v>
      </c>
      <c r="S146" s="360">
        <f t="shared" ca="1" si="79"/>
        <v>10.786756918845729</v>
      </c>
      <c r="T146" s="357">
        <f t="shared" ca="1" si="59"/>
        <v>105.8180853738766</v>
      </c>
      <c r="U146" s="364">
        <f t="shared" ca="1" si="60"/>
        <v>0</v>
      </c>
      <c r="V146" s="359">
        <f t="shared" ca="1" si="61"/>
        <v>1.2152956206510981</v>
      </c>
      <c r="W146" s="357">
        <f t="shared" ca="1" si="62"/>
        <v>36.389425748715396</v>
      </c>
      <c r="X146" s="343"/>
      <c r="Y146" s="367" t="str">
        <f t="shared" ca="1" si="80"/>
        <v/>
      </c>
      <c r="Z146" s="368" t="str">
        <f t="shared" ca="1" si="81"/>
        <v/>
      </c>
      <c r="AA146" s="369" t="str">
        <f t="shared" ca="1" si="82"/>
        <v/>
      </c>
      <c r="AB146" s="344"/>
      <c r="AC146" s="363" t="e">
        <f t="shared" ca="1" si="83"/>
        <v>#N/A</v>
      </c>
      <c r="AD146" s="376" t="e">
        <f t="shared" ca="1" si="84"/>
        <v>#N/A</v>
      </c>
      <c r="AE146" s="377">
        <f t="shared" ca="1" si="63"/>
        <v>79.534456946760912</v>
      </c>
      <c r="AF146" s="344"/>
      <c r="AG146" s="359">
        <f t="shared" ca="1" si="85"/>
        <v>78.054088821507449</v>
      </c>
      <c r="AH146" s="357">
        <f t="shared" ca="1" si="86"/>
        <v>87.653265264173498</v>
      </c>
    </row>
    <row r="147" spans="1:34" x14ac:dyDescent="0.25">
      <c r="A147" s="402">
        <f t="shared" ca="1" si="64"/>
        <v>0.01</v>
      </c>
      <c r="B147" s="357">
        <f t="shared" ca="1" si="65"/>
        <v>1.430000000000001</v>
      </c>
      <c r="C147" s="342"/>
      <c r="D147" s="359">
        <f t="shared" ca="1" si="66"/>
        <v>18.06421967353246</v>
      </c>
      <c r="E147" s="360">
        <f t="shared" ca="1" si="67"/>
        <v>75.836571810622758</v>
      </c>
      <c r="F147" s="357">
        <f t="shared" ca="1" si="68"/>
        <v>77.958332822100417</v>
      </c>
      <c r="G147" s="359">
        <f t="shared" ca="1" si="69"/>
        <v>23.812865309926483</v>
      </c>
      <c r="H147" s="360">
        <f t="shared" ca="1" si="70"/>
        <v>112.80410754852481</v>
      </c>
      <c r="I147" s="357">
        <f t="shared" ca="1" si="71"/>
        <v>115.29015237255892</v>
      </c>
      <c r="J147" s="359">
        <f t="shared" ca="1" si="72"/>
        <v>16.092362619173329</v>
      </c>
      <c r="K147" s="360">
        <f t="shared" ca="1" si="73"/>
        <v>80.658706193655632</v>
      </c>
      <c r="L147" s="357">
        <f t="shared" ca="1" si="58"/>
        <v>82.248349646065407</v>
      </c>
      <c r="M147" s="359">
        <f t="shared" ca="1" si="74"/>
        <v>1.362751521228277</v>
      </c>
      <c r="N147" s="357">
        <f t="shared" ca="1" si="75"/>
        <v>78.079910691412891</v>
      </c>
      <c r="O147" s="343"/>
      <c r="P147" s="363">
        <f t="shared" ca="1" si="76"/>
        <v>7</v>
      </c>
      <c r="Q147" s="357">
        <f t="shared" ca="1" si="77"/>
        <v>980.1337662337661</v>
      </c>
      <c r="R147" s="359">
        <f t="shared" ca="1" si="78"/>
        <v>0.4909806234843741</v>
      </c>
      <c r="S147" s="360">
        <f t="shared" ca="1" si="79"/>
        <v>10.781847112610885</v>
      </c>
      <c r="T147" s="357">
        <f t="shared" ca="1" si="59"/>
        <v>105.76992017471279</v>
      </c>
      <c r="U147" s="364">
        <f t="shared" ca="1" si="60"/>
        <v>0</v>
      </c>
      <c r="V147" s="359">
        <f t="shared" ca="1" si="61"/>
        <v>1.2151589966212861</v>
      </c>
      <c r="W147" s="357">
        <f t="shared" ca="1" si="62"/>
        <v>36.882272787706057</v>
      </c>
      <c r="X147" s="343"/>
      <c r="Y147" s="367" t="str">
        <f t="shared" ca="1" si="80"/>
        <v/>
      </c>
      <c r="Z147" s="368" t="str">
        <f t="shared" ca="1" si="81"/>
        <v/>
      </c>
      <c r="AA147" s="369" t="str">
        <f t="shared" ca="1" si="82"/>
        <v/>
      </c>
      <c r="AB147" s="344"/>
      <c r="AC147" s="363" t="e">
        <f t="shared" ca="1" si="83"/>
        <v>#N/A</v>
      </c>
      <c r="AD147" s="376" t="e">
        <f t="shared" ca="1" si="84"/>
        <v>#N/A</v>
      </c>
      <c r="AE147" s="377">
        <f t="shared" ca="1" si="63"/>
        <v>80.658706193655632</v>
      </c>
      <c r="AF147" s="344"/>
      <c r="AG147" s="359">
        <f t="shared" ca="1" si="85"/>
        <v>77.93204014859738</v>
      </c>
      <c r="AH147" s="357">
        <f t="shared" ca="1" si="86"/>
        <v>87.530859103094599</v>
      </c>
    </row>
    <row r="148" spans="1:34" x14ac:dyDescent="0.25">
      <c r="A148" s="402">
        <f t="shared" ca="1" si="64"/>
        <v>0.01</v>
      </c>
      <c r="B148" s="357">
        <f t="shared" ca="1" si="65"/>
        <v>1.4400000000000011</v>
      </c>
      <c r="C148" s="342"/>
      <c r="D148" s="359">
        <f t="shared" ca="1" si="66"/>
        <v>18.053895833538963</v>
      </c>
      <c r="E148" s="360">
        <f t="shared" ca="1" si="67"/>
        <v>75.713248914839667</v>
      </c>
      <c r="F148" s="357">
        <f t="shared" ca="1" si="68"/>
        <v>77.835976360605542</v>
      </c>
      <c r="G148" s="359">
        <f t="shared" ca="1" si="69"/>
        <v>23.993404268261873</v>
      </c>
      <c r="H148" s="360">
        <f t="shared" ca="1" si="70"/>
        <v>113.5612400376732</v>
      </c>
      <c r="I148" s="357">
        <f t="shared" ca="1" si="71"/>
        <v>116.0682501258388</v>
      </c>
      <c r="J148" s="359">
        <f t="shared" ca="1" si="72"/>
        <v>16.331393967064272</v>
      </c>
      <c r="K148" s="360">
        <f t="shared" ca="1" si="73"/>
        <v>81.790532931586625</v>
      </c>
      <c r="L148" s="357">
        <f t="shared" ca="1" si="58"/>
        <v>83.405070026590224</v>
      </c>
      <c r="M148" s="359">
        <f t="shared" ca="1" si="74"/>
        <v>1.3625769490564326</v>
      </c>
      <c r="N148" s="357">
        <f t="shared" ca="1" si="75"/>
        <v>78.069908442745771</v>
      </c>
      <c r="O148" s="343"/>
      <c r="P148" s="363">
        <f t="shared" ca="1" si="76"/>
        <v>7</v>
      </c>
      <c r="Q148" s="357">
        <f t="shared" ca="1" si="77"/>
        <v>978.87402597402581</v>
      </c>
      <c r="R148" s="359">
        <f t="shared" ca="1" si="78"/>
        <v>0.49034957894794079</v>
      </c>
      <c r="S148" s="360">
        <f t="shared" ca="1" si="79"/>
        <v>10.776943616821406</v>
      </c>
      <c r="T148" s="357">
        <f t="shared" ca="1" si="59"/>
        <v>105.721816881018</v>
      </c>
      <c r="U148" s="364">
        <f t="shared" ca="1" si="60"/>
        <v>0</v>
      </c>
      <c r="V148" s="359">
        <f t="shared" ca="1" si="61"/>
        <v>1.2150214671916939</v>
      </c>
      <c r="W148" s="357">
        <f t="shared" ca="1" si="62"/>
        <v>37.377561763104779</v>
      </c>
      <c r="X148" s="343"/>
      <c r="Y148" s="367" t="str">
        <f t="shared" ca="1" si="80"/>
        <v/>
      </c>
      <c r="Z148" s="368" t="str">
        <f t="shared" ca="1" si="81"/>
        <v/>
      </c>
      <c r="AA148" s="369" t="str">
        <f t="shared" ca="1" si="82"/>
        <v/>
      </c>
      <c r="AB148" s="344"/>
      <c r="AC148" s="363" t="e">
        <f t="shared" ca="1" si="83"/>
        <v>#N/A</v>
      </c>
      <c r="AD148" s="376" t="e">
        <f t="shared" ca="1" si="84"/>
        <v>#N/A</v>
      </c>
      <c r="AE148" s="377">
        <f t="shared" ca="1" si="63"/>
        <v>81.790532931586625</v>
      </c>
      <c r="AF148" s="344"/>
      <c r="AG148" s="359">
        <f t="shared" ca="1" si="85"/>
        <v>77.80959846642105</v>
      </c>
      <c r="AH148" s="357">
        <f t="shared" ca="1" si="86"/>
        <v>87.408061754725466</v>
      </c>
    </row>
    <row r="149" spans="1:34" x14ac:dyDescent="0.25">
      <c r="A149" s="402">
        <f t="shared" ca="1" si="64"/>
        <v>0.01</v>
      </c>
      <c r="B149" s="357">
        <f t="shared" ca="1" si="65"/>
        <v>1.4500000000000011</v>
      </c>
      <c r="C149" s="342"/>
      <c r="D149" s="359">
        <f t="shared" ca="1" si="66"/>
        <v>18.043360565476448</v>
      </c>
      <c r="E149" s="360">
        <f t="shared" ca="1" si="67"/>
        <v>75.589569704778441</v>
      </c>
      <c r="F149" s="357">
        <f t="shared" ca="1" si="68"/>
        <v>77.713228659278784</v>
      </c>
      <c r="G149" s="359">
        <f t="shared" ca="1" si="69"/>
        <v>24.173837873916639</v>
      </c>
      <c r="H149" s="360">
        <f t="shared" ca="1" si="70"/>
        <v>114.31713573472099</v>
      </c>
      <c r="I149" s="357">
        <f t="shared" ca="1" si="71"/>
        <v>116.84511953926459</v>
      </c>
      <c r="J149" s="359">
        <f t="shared" ca="1" si="72"/>
        <v>16.572230177775165</v>
      </c>
      <c r="K149" s="360">
        <f t="shared" ca="1" si="73"/>
        <v>82.929924810448597</v>
      </c>
      <c r="L149" s="357">
        <f t="shared" ca="1" si="58"/>
        <v>84.569564514261387</v>
      </c>
      <c r="M149" s="359">
        <f t="shared" ca="1" si="74"/>
        <v>1.3624033941615212</v>
      </c>
      <c r="N149" s="357">
        <f t="shared" ca="1" si="75"/>
        <v>78.059964479753503</v>
      </c>
      <c r="O149" s="343"/>
      <c r="P149" s="363">
        <f t="shared" ca="1" si="76"/>
        <v>7</v>
      </c>
      <c r="Q149" s="357">
        <f t="shared" ca="1" si="77"/>
        <v>977.61428571428553</v>
      </c>
      <c r="R149" s="359">
        <f t="shared" ca="1" si="78"/>
        <v>0.48971853441150742</v>
      </c>
      <c r="S149" s="360">
        <f t="shared" ca="1" si="79"/>
        <v>10.772046431477291</v>
      </c>
      <c r="T149" s="357">
        <f t="shared" ca="1" si="59"/>
        <v>105.67377549279223</v>
      </c>
      <c r="U149" s="364">
        <f t="shared" ca="1" si="60"/>
        <v>0</v>
      </c>
      <c r="V149" s="359">
        <f t="shared" ca="1" si="61"/>
        <v>1.2148830341714938</v>
      </c>
      <c r="W149" s="357">
        <f t="shared" ca="1" si="62"/>
        <v>37.875272342511359</v>
      </c>
      <c r="X149" s="343"/>
      <c r="Y149" s="367" t="str">
        <f t="shared" ca="1" si="80"/>
        <v/>
      </c>
      <c r="Z149" s="368" t="str">
        <f t="shared" ca="1" si="81"/>
        <v/>
      </c>
      <c r="AA149" s="369" t="str">
        <f t="shared" ca="1" si="82"/>
        <v/>
      </c>
      <c r="AB149" s="344"/>
      <c r="AC149" s="363" t="e">
        <f t="shared" ca="1" si="83"/>
        <v>#N/A</v>
      </c>
      <c r="AD149" s="376" t="e">
        <f t="shared" ca="1" si="84"/>
        <v>#N/A</v>
      </c>
      <c r="AE149" s="377">
        <f t="shared" ca="1" si="63"/>
        <v>82.929924810448597</v>
      </c>
      <c r="AF149" s="344"/>
      <c r="AG149" s="359">
        <f t="shared" ca="1" si="85"/>
        <v>77.686765366224236</v>
      </c>
      <c r="AH149" s="357">
        <f t="shared" ca="1" si="86"/>
        <v>87.284874785137333</v>
      </c>
    </row>
    <row r="150" spans="1:34" x14ac:dyDescent="0.25">
      <c r="A150" s="402">
        <f t="shared" ca="1" si="64"/>
        <v>0.01</v>
      </c>
      <c r="B150" s="357">
        <f t="shared" ca="1" si="65"/>
        <v>1.4600000000000011</v>
      </c>
      <c r="C150" s="342"/>
      <c r="D150" s="359">
        <f t="shared" ca="1" si="66"/>
        <v>18.032615634882077</v>
      </c>
      <c r="E150" s="360">
        <f t="shared" ca="1" si="67"/>
        <v>75.465535475032667</v>
      </c>
      <c r="F150" s="357">
        <f t="shared" ca="1" si="68"/>
        <v>77.590091320791771</v>
      </c>
      <c r="G150" s="359">
        <f t="shared" ca="1" si="69"/>
        <v>24.354164030265459</v>
      </c>
      <c r="H150" s="360">
        <f t="shared" ca="1" si="70"/>
        <v>115.07179108947132</v>
      </c>
      <c r="I150" s="357">
        <f t="shared" ca="1" si="71"/>
        <v>117.62075671475679</v>
      </c>
      <c r="J150" s="359">
        <f t="shared" ca="1" si="72"/>
        <v>16.814870187296076</v>
      </c>
      <c r="K150" s="360">
        <f t="shared" ca="1" si="73"/>
        <v>84.076869444569553</v>
      </c>
      <c r="L150" s="357">
        <f t="shared" ca="1" si="58"/>
        <v>85.741820805338691</v>
      </c>
      <c r="M150" s="359">
        <f t="shared" ca="1" si="74"/>
        <v>1.3622308421333629</v>
      </c>
      <c r="N150" s="357">
        <f t="shared" ca="1" si="75"/>
        <v>78.050077976793617</v>
      </c>
      <c r="O150" s="343"/>
      <c r="P150" s="363">
        <f t="shared" ca="1" si="76"/>
        <v>7</v>
      </c>
      <c r="Q150" s="357">
        <f t="shared" ca="1" si="77"/>
        <v>976.35454545454525</v>
      </c>
      <c r="R150" s="359">
        <f t="shared" ca="1" si="78"/>
        <v>0.48908748987507411</v>
      </c>
      <c r="S150" s="360">
        <f t="shared" ca="1" si="79"/>
        <v>10.76715555657854</v>
      </c>
      <c r="T150" s="357">
        <f t="shared" ca="1" si="59"/>
        <v>105.62579601003549</v>
      </c>
      <c r="U150" s="364">
        <f t="shared" ca="1" si="60"/>
        <v>0</v>
      </c>
      <c r="V150" s="359">
        <f t="shared" ca="1" si="61"/>
        <v>1.2147436993754701</v>
      </c>
      <c r="W150" s="357">
        <f t="shared" ca="1" si="62"/>
        <v>38.375384161613447</v>
      </c>
      <c r="X150" s="343"/>
      <c r="Y150" s="367" t="str">
        <f t="shared" ca="1" si="80"/>
        <v/>
      </c>
      <c r="Z150" s="368" t="str">
        <f t="shared" ca="1" si="81"/>
        <v/>
      </c>
      <c r="AA150" s="369" t="str">
        <f t="shared" ca="1" si="82"/>
        <v/>
      </c>
      <c r="AB150" s="344"/>
      <c r="AC150" s="363" t="e">
        <f t="shared" ca="1" si="83"/>
        <v>#N/A</v>
      </c>
      <c r="AD150" s="376" t="e">
        <f t="shared" ca="1" si="84"/>
        <v>#N/A</v>
      </c>
      <c r="AE150" s="377">
        <f t="shared" ca="1" si="63"/>
        <v>84.076869444569553</v>
      </c>
      <c r="AF150" s="344"/>
      <c r="AG150" s="359">
        <f t="shared" ca="1" si="85"/>
        <v>77.56354244601124</v>
      </c>
      <c r="AH150" s="357">
        <f t="shared" ca="1" si="86"/>
        <v>87.161299767666094</v>
      </c>
    </row>
    <row r="151" spans="1:34" x14ac:dyDescent="0.25">
      <c r="A151" s="402">
        <f t="shared" ca="1" si="64"/>
        <v>0.01</v>
      </c>
      <c r="B151" s="357">
        <f t="shared" ca="1" si="65"/>
        <v>1.4700000000000011</v>
      </c>
      <c r="C151" s="342"/>
      <c r="D151" s="359">
        <f t="shared" ca="1" si="66"/>
        <v>18.021662778777571</v>
      </c>
      <c r="E151" s="360">
        <f t="shared" ca="1" si="67"/>
        <v>75.341147532194327</v>
      </c>
      <c r="F151" s="357">
        <f t="shared" ca="1" si="68"/>
        <v>77.466565954480316</v>
      </c>
      <c r="G151" s="359">
        <f t="shared" ca="1" si="69"/>
        <v>24.534380658053234</v>
      </c>
      <c r="H151" s="360">
        <f t="shared" ca="1" si="70"/>
        <v>115.82520256479326</v>
      </c>
      <c r="I151" s="357">
        <f t="shared" ca="1" si="71"/>
        <v>118.39515777028066</v>
      </c>
      <c r="J151" s="359">
        <f t="shared" ca="1" si="72"/>
        <v>17.05931291073767</v>
      </c>
      <c r="K151" s="360">
        <f t="shared" ca="1" si="73"/>
        <v>85.231354412840872</v>
      </c>
      <c r="L151" s="357">
        <f t="shared" ca="1" si="58"/>
        <v>86.92182655716428</v>
      </c>
      <c r="M151" s="359">
        <f t="shared" ca="1" si="74"/>
        <v>1.3620592788589112</v>
      </c>
      <c r="N151" s="357">
        <f t="shared" ca="1" si="75"/>
        <v>78.040248125248084</v>
      </c>
      <c r="O151" s="343"/>
      <c r="P151" s="363">
        <f t="shared" ca="1" si="76"/>
        <v>7</v>
      </c>
      <c r="Q151" s="357">
        <f t="shared" ca="1" si="77"/>
        <v>975.09480519480508</v>
      </c>
      <c r="R151" s="359">
        <f t="shared" ca="1" si="78"/>
        <v>0.4884564453386408</v>
      </c>
      <c r="S151" s="360">
        <f t="shared" ca="1" si="79"/>
        <v>10.762270992125154</v>
      </c>
      <c r="T151" s="357">
        <f t="shared" ca="1" si="59"/>
        <v>105.57787843274777</v>
      </c>
      <c r="U151" s="364">
        <f t="shared" ca="1" si="60"/>
        <v>0</v>
      </c>
      <c r="V151" s="359">
        <f t="shared" ca="1" si="61"/>
        <v>1.214603464623992</v>
      </c>
      <c r="W151" s="357">
        <f t="shared" ca="1" si="62"/>
        <v>38.877876825044964</v>
      </c>
      <c r="X151" s="343"/>
      <c r="Y151" s="367" t="str">
        <f t="shared" ca="1" si="80"/>
        <v/>
      </c>
      <c r="Z151" s="368" t="str">
        <f t="shared" ca="1" si="81"/>
        <v/>
      </c>
      <c r="AA151" s="369" t="str">
        <f t="shared" ca="1" si="82"/>
        <v/>
      </c>
      <c r="AB151" s="344"/>
      <c r="AC151" s="363" t="e">
        <f t="shared" ca="1" si="83"/>
        <v>#N/A</v>
      </c>
      <c r="AD151" s="376" t="e">
        <f t="shared" ca="1" si="84"/>
        <v>#N/A</v>
      </c>
      <c r="AE151" s="377">
        <f t="shared" ca="1" si="63"/>
        <v>85.231354412840872</v>
      </c>
      <c r="AF151" s="344"/>
      <c r="AG151" s="359">
        <f t="shared" ca="1" si="85"/>
        <v>77.439931310486273</v>
      </c>
      <c r="AH151" s="357">
        <f t="shared" ca="1" si="86"/>
        <v>87.037338282839869</v>
      </c>
    </row>
    <row r="152" spans="1:34" x14ac:dyDescent="0.25">
      <c r="A152" s="402">
        <f t="shared" ca="1" si="64"/>
        <v>0.01</v>
      </c>
      <c r="B152" s="357">
        <f t="shared" ca="1" si="65"/>
        <v>1.4800000000000011</v>
      </c>
      <c r="C152" s="342"/>
      <c r="D152" s="359">
        <f t="shared" ca="1" si="66"/>
        <v>18.010503706506213</v>
      </c>
      <c r="E152" s="360">
        <f t="shared" ca="1" si="67"/>
        <v>75.216407194644404</v>
      </c>
      <c r="F152" s="357">
        <f t="shared" ca="1" si="68"/>
        <v>77.342654176286374</v>
      </c>
      <c r="G152" s="359">
        <f t="shared" ca="1" si="69"/>
        <v>24.714485695118295</v>
      </c>
      <c r="H152" s="360">
        <f t="shared" ca="1" si="70"/>
        <v>116.5773666367397</v>
      </c>
      <c r="I152" s="357">
        <f t="shared" ca="1" si="71"/>
        <v>119.16831883991247</v>
      </c>
      <c r="J152" s="359">
        <f t="shared" ca="1" si="72"/>
        <v>17.305557242503529</v>
      </c>
      <c r="K152" s="360">
        <f t="shared" ca="1" si="73"/>
        <v>86.393367258848542</v>
      </c>
      <c r="L152" s="357">
        <f t="shared" ca="1" si="58"/>
        <v>88.10956938832382</v>
      </c>
      <c r="M152" s="359">
        <f t="shared" ca="1" si="74"/>
        <v>1.3618886905140408</v>
      </c>
      <c r="N152" s="357">
        <f t="shared" ca="1" si="75"/>
        <v>78.030474133052891</v>
      </c>
      <c r="O152" s="343"/>
      <c r="P152" s="363">
        <f t="shared" ca="1" si="76"/>
        <v>7</v>
      </c>
      <c r="Q152" s="357">
        <f t="shared" ca="1" si="77"/>
        <v>973.83506493506479</v>
      </c>
      <c r="R152" s="359">
        <f t="shared" ca="1" si="78"/>
        <v>0.48782540080220749</v>
      </c>
      <c r="S152" s="360">
        <f t="shared" ca="1" si="79"/>
        <v>10.757392738117133</v>
      </c>
      <c r="T152" s="357">
        <f t="shared" ca="1" si="59"/>
        <v>105.53002276092909</v>
      </c>
      <c r="U152" s="364">
        <f t="shared" ca="1" si="60"/>
        <v>0</v>
      </c>
      <c r="V152" s="359">
        <f t="shared" ca="1" si="61"/>
        <v>1.2144623317429799</v>
      </c>
      <c r="W152" s="357">
        <f t="shared" ca="1" si="62"/>
        <v>39.382729907244197</v>
      </c>
      <c r="X152" s="343"/>
      <c r="Y152" s="367" t="str">
        <f t="shared" ca="1" si="80"/>
        <v/>
      </c>
      <c r="Z152" s="368" t="str">
        <f t="shared" ca="1" si="81"/>
        <v/>
      </c>
      <c r="AA152" s="369" t="str">
        <f t="shared" ca="1" si="82"/>
        <v/>
      </c>
      <c r="AB152" s="344"/>
      <c r="AC152" s="363" t="e">
        <f t="shared" ca="1" si="83"/>
        <v>#N/A</v>
      </c>
      <c r="AD152" s="376" t="e">
        <f t="shared" ca="1" si="84"/>
        <v>#N/A</v>
      </c>
      <c r="AE152" s="377">
        <f t="shared" ca="1" si="63"/>
        <v>86.393367258848542</v>
      </c>
      <c r="AF152" s="344"/>
      <c r="AG152" s="359">
        <f t="shared" ca="1" si="85"/>
        <v>77.31593357099392</v>
      </c>
      <c r="AH152" s="357">
        <f t="shared" ca="1" si="86"/>
        <v>86.912991918306162</v>
      </c>
    </row>
    <row r="153" spans="1:34" x14ac:dyDescent="0.25">
      <c r="A153" s="402">
        <f t="shared" ca="1" si="64"/>
        <v>0.01</v>
      </c>
      <c r="B153" s="357">
        <f t="shared" ca="1" si="65"/>
        <v>1.4900000000000011</v>
      </c>
      <c r="C153" s="342"/>
      <c r="D153" s="359">
        <f t="shared" ca="1" si="66"/>
        <v>17.999140100540149</v>
      </c>
      <c r="E153" s="360">
        <f t="shared" ca="1" si="67"/>
        <v>75.091315792348283</v>
      </c>
      <c r="F153" s="357">
        <f t="shared" ca="1" si="68"/>
        <v>77.218357608699804</v>
      </c>
      <c r="G153" s="359">
        <f t="shared" ca="1" si="69"/>
        <v>24.894477096123698</v>
      </c>
      <c r="H153" s="360">
        <f t="shared" ca="1" si="70"/>
        <v>117.32827979466317</v>
      </c>
      <c r="I153" s="357">
        <f t="shared" ca="1" si="71"/>
        <v>119.94023607390555</v>
      </c>
      <c r="J153" s="359">
        <f t="shared" ca="1" si="72"/>
        <v>17.553602056459738</v>
      </c>
      <c r="K153" s="360">
        <f t="shared" ca="1" si="73"/>
        <v>87.562895491005563</v>
      </c>
      <c r="L153" s="357">
        <f t="shared" ca="1" si="58"/>
        <v>89.305036878808295</v>
      </c>
      <c r="M153" s="359">
        <f t="shared" ca="1" si="74"/>
        <v>1.361719063555616</v>
      </c>
      <c r="N153" s="357">
        <f t="shared" ca="1" si="75"/>
        <v>78.020755224243516</v>
      </c>
      <c r="O153" s="343"/>
      <c r="P153" s="363">
        <f t="shared" ca="1" si="76"/>
        <v>7</v>
      </c>
      <c r="Q153" s="357">
        <f t="shared" ca="1" si="77"/>
        <v>972.57532467532451</v>
      </c>
      <c r="R153" s="359">
        <f t="shared" ca="1" si="78"/>
        <v>0.48719435626577412</v>
      </c>
      <c r="S153" s="360">
        <f t="shared" ca="1" si="79"/>
        <v>10.752520794554476</v>
      </c>
      <c r="T153" s="357">
        <f t="shared" ca="1" si="59"/>
        <v>105.48222899457942</v>
      </c>
      <c r="U153" s="364">
        <f t="shared" ca="1" si="60"/>
        <v>0</v>
      </c>
      <c r="V153" s="359">
        <f t="shared" ca="1" si="61"/>
        <v>1.2143203025638756</v>
      </c>
      <c r="W153" s="357">
        <f t="shared" ca="1" si="62"/>
        <v>39.889922953312023</v>
      </c>
      <c r="X153" s="343"/>
      <c r="Y153" s="367" t="str">
        <f t="shared" ca="1" si="80"/>
        <v/>
      </c>
      <c r="Z153" s="368" t="str">
        <f t="shared" ca="1" si="81"/>
        <v/>
      </c>
      <c r="AA153" s="369" t="str">
        <f t="shared" ca="1" si="82"/>
        <v/>
      </c>
      <c r="AB153" s="344"/>
      <c r="AC153" s="363" t="e">
        <f t="shared" ca="1" si="83"/>
        <v>#N/A</v>
      </c>
      <c r="AD153" s="376" t="e">
        <f t="shared" ca="1" si="84"/>
        <v>#N/A</v>
      </c>
      <c r="AE153" s="377">
        <f t="shared" ca="1" si="63"/>
        <v>87.562895491005563</v>
      </c>
      <c r="AF153" s="344"/>
      <c r="AG153" s="359">
        <f t="shared" ca="1" si="85"/>
        <v>77.191550845459375</v>
      </c>
      <c r="AH153" s="357">
        <f t="shared" ca="1" si="86"/>
        <v>86.788262268759141</v>
      </c>
    </row>
    <row r="154" spans="1:34" x14ac:dyDescent="0.25">
      <c r="A154" s="402">
        <f t="shared" ca="1" si="64"/>
        <v>0.01</v>
      </c>
      <c r="B154" s="357">
        <f t="shared" ca="1" si="65"/>
        <v>1.5000000000000011</v>
      </c>
      <c r="C154" s="342"/>
      <c r="D154" s="359">
        <f t="shared" ca="1" si="66"/>
        <v>17.987573617259272</v>
      </c>
      <c r="E154" s="360">
        <f t="shared" ca="1" si="67"/>
        <v>74.965874666655068</v>
      </c>
      <c r="F154" s="357">
        <f t="shared" ca="1" si="68"/>
        <v>77.093677880698863</v>
      </c>
      <c r="G154" s="359">
        <f t="shared" ca="1" si="69"/>
        <v>25.074352832296292</v>
      </c>
      <c r="H154" s="360">
        <f t="shared" ca="1" si="70"/>
        <v>118.07793854132973</v>
      </c>
      <c r="I154" s="357">
        <f t="shared" ca="1" si="71"/>
        <v>120.71090563875546</v>
      </c>
      <c r="J154" s="359">
        <f t="shared" ca="1" si="72"/>
        <v>17.803446206101839</v>
      </c>
      <c r="K154" s="360">
        <f t="shared" ca="1" si="73"/>
        <v>88.739926582685527</v>
      </c>
      <c r="L154" s="357">
        <f t="shared" ca="1" si="58"/>
        <v>90.508216570176543</v>
      </c>
      <c r="M154" s="359">
        <f t="shared" ca="1" si="74"/>
        <v>1.3615503847138315</v>
      </c>
      <c r="N154" s="357">
        <f t="shared" ca="1" si="75"/>
        <v>78.011090638516109</v>
      </c>
      <c r="O154" s="343"/>
      <c r="P154" s="363">
        <f t="shared" ca="1" si="76"/>
        <v>7</v>
      </c>
      <c r="Q154" s="357">
        <f t="shared" ca="1" si="77"/>
        <v>971.31558441558423</v>
      </c>
      <c r="R154" s="359">
        <f t="shared" ca="1" si="78"/>
        <v>0.48656331172934081</v>
      </c>
      <c r="S154" s="360">
        <f t="shared" ca="1" si="79"/>
        <v>10.747655161437182</v>
      </c>
      <c r="T154" s="357">
        <f t="shared" ca="1" si="59"/>
        <v>105.43449713369876</v>
      </c>
      <c r="U154" s="364">
        <f t="shared" ca="1" si="60"/>
        <v>0</v>
      </c>
      <c r="V154" s="359">
        <f t="shared" ca="1" si="61"/>
        <v>1.2141773789236088</v>
      </c>
      <c r="W154" s="357">
        <f t="shared" ca="1" si="62"/>
        <v>40.399435479869787</v>
      </c>
      <c r="X154" s="343"/>
      <c r="Y154" s="367" t="str">
        <f t="shared" ca="1" si="80"/>
        <v/>
      </c>
      <c r="Z154" s="368" t="str">
        <f t="shared" ca="1" si="81"/>
        <v/>
      </c>
      <c r="AA154" s="369" t="str">
        <f t="shared" ca="1" si="82"/>
        <v/>
      </c>
      <c r="AB154" s="344"/>
      <c r="AC154" s="363" t="e">
        <f t="shared" ca="1" si="83"/>
        <v>#N/A</v>
      </c>
      <c r="AD154" s="376" t="e">
        <f t="shared" ca="1" si="84"/>
        <v>#N/A</v>
      </c>
      <c r="AE154" s="377">
        <f t="shared" ca="1" si="63"/>
        <v>88.739926582685527</v>
      </c>
      <c r="AF154" s="344"/>
      <c r="AG154" s="359">
        <f t="shared" ca="1" si="85"/>
        <v>77.066784758327429</v>
      </c>
      <c r="AH154" s="357">
        <f t="shared" ca="1" si="86"/>
        <v>86.663150935866227</v>
      </c>
    </row>
    <row r="155" spans="1:34" x14ac:dyDescent="0.25">
      <c r="A155" s="402">
        <f t="shared" ca="1" si="64"/>
        <v>0.01</v>
      </c>
      <c r="B155" s="357">
        <f t="shared" ca="1" si="65"/>
        <v>1.5100000000000011</v>
      </c>
      <c r="C155" s="342"/>
      <c r="D155" s="359">
        <f t="shared" ca="1" si="66"/>
        <v>17.975805887702833</v>
      </c>
      <c r="E155" s="360">
        <f t="shared" ca="1" si="67"/>
        <v>74.840085170101119</v>
      </c>
      <c r="F155" s="357">
        <f t="shared" ca="1" si="68"/>
        <v>76.968616627690281</v>
      </c>
      <c r="G155" s="359">
        <f t="shared" ca="1" si="69"/>
        <v>25.254110891173319</v>
      </c>
      <c r="H155" s="360">
        <f t="shared" ca="1" si="70"/>
        <v>118.82633939303074</v>
      </c>
      <c r="I155" s="357">
        <f t="shared" ca="1" si="71"/>
        <v>121.48032371726462</v>
      </c>
      <c r="J155" s="359">
        <f t="shared" ca="1" si="72"/>
        <v>18.055088524719189</v>
      </c>
      <c r="K155" s="360">
        <f t="shared" ca="1" si="73"/>
        <v>89.924447972357328</v>
      </c>
      <c r="L155" s="357">
        <f t="shared" ca="1" si="58"/>
        <v>91.719095965718324</v>
      </c>
      <c r="M155" s="359">
        <f t="shared" ca="1" si="74"/>
        <v>1.3613826409848151</v>
      </c>
      <c r="N155" s="357">
        <f t="shared" ca="1" si="75"/>
        <v>78.001479630803672</v>
      </c>
      <c r="O155" s="343"/>
      <c r="P155" s="363">
        <f t="shared" ca="1" si="76"/>
        <v>7</v>
      </c>
      <c r="Q155" s="357">
        <f t="shared" ca="1" si="77"/>
        <v>970.05584415584394</v>
      </c>
      <c r="R155" s="359">
        <f t="shared" ca="1" si="78"/>
        <v>0.48593226719290744</v>
      </c>
      <c r="S155" s="360">
        <f t="shared" ca="1" si="79"/>
        <v>10.742795838765252</v>
      </c>
      <c r="T155" s="357">
        <f t="shared" ca="1" si="59"/>
        <v>105.38682717828713</v>
      </c>
      <c r="U155" s="364">
        <f t="shared" ca="1" si="60"/>
        <v>0</v>
      </c>
      <c r="V155" s="359">
        <f t="shared" ca="1" si="61"/>
        <v>1.2140335626645671</v>
      </c>
      <c r="W155" s="357">
        <f t="shared" ca="1" si="62"/>
        <v>40.911246975917066</v>
      </c>
      <c r="X155" s="343"/>
      <c r="Y155" s="367" t="str">
        <f t="shared" ca="1" si="80"/>
        <v/>
      </c>
      <c r="Z155" s="368" t="str">
        <f t="shared" ca="1" si="81"/>
        <v/>
      </c>
      <c r="AA155" s="369" t="str">
        <f t="shared" ca="1" si="82"/>
        <v/>
      </c>
      <c r="AB155" s="344"/>
      <c r="AC155" s="363" t="e">
        <f t="shared" ca="1" si="83"/>
        <v>#N/A</v>
      </c>
      <c r="AD155" s="376" t="e">
        <f t="shared" ca="1" si="84"/>
        <v>#N/A</v>
      </c>
      <c r="AE155" s="377">
        <f t="shared" ca="1" si="63"/>
        <v>89.924447972357328</v>
      </c>
      <c r="AF155" s="344"/>
      <c r="AG155" s="359">
        <f t="shared" ca="1" si="85"/>
        <v>76.941636940501127</v>
      </c>
      <c r="AH155" s="357">
        <f t="shared" ca="1" si="86"/>
        <v>86.537659528194695</v>
      </c>
    </row>
    <row r="156" spans="1:34" x14ac:dyDescent="0.25">
      <c r="A156" s="402">
        <f t="shared" ca="1" si="64"/>
        <v>0.01</v>
      </c>
      <c r="B156" s="357">
        <f t="shared" ca="1" si="65"/>
        <v>1.5200000000000011</v>
      </c>
      <c r="C156" s="342"/>
      <c r="D156" s="359">
        <f t="shared" ca="1" si="66"/>
        <v>17.963838518294821</v>
      </c>
      <c r="E156" s="360">
        <f t="shared" ca="1" si="67"/>
        <v>74.713948666217576</v>
      </c>
      <c r="F156" s="357">
        <f t="shared" ca="1" si="68"/>
        <v>76.843175491448605</v>
      </c>
      <c r="G156" s="359">
        <f t="shared" ca="1" si="69"/>
        <v>25.433749276356266</v>
      </c>
      <c r="H156" s="360">
        <f t="shared" ca="1" si="70"/>
        <v>119.57347887969291</v>
      </c>
      <c r="I156" s="357">
        <f t="shared" ca="1" si="71"/>
        <v>122.24848650860639</v>
      </c>
      <c r="J156" s="359">
        <f t="shared" ca="1" si="72"/>
        <v>18.308527825556837</v>
      </c>
      <c r="K156" s="360">
        <f t="shared" ca="1" si="73"/>
        <v>91.11644706372094</v>
      </c>
      <c r="L156" s="357">
        <f t="shared" ca="1" si="58"/>
        <v>92.93766253061807</v>
      </c>
      <c r="M156" s="359">
        <f t="shared" ca="1" si="74"/>
        <v>1.3612158196234772</v>
      </c>
      <c r="N156" s="357">
        <f t="shared" ca="1" si="75"/>
        <v>77.991921470866387</v>
      </c>
      <c r="O156" s="343"/>
      <c r="P156" s="363">
        <f t="shared" ca="1" si="76"/>
        <v>7</v>
      </c>
      <c r="Q156" s="357">
        <f t="shared" ca="1" si="77"/>
        <v>968.79610389610366</v>
      </c>
      <c r="R156" s="359">
        <f t="shared" ca="1" si="78"/>
        <v>0.48530122265647413</v>
      </c>
      <c r="S156" s="360">
        <f t="shared" ca="1" si="79"/>
        <v>10.737942826538687</v>
      </c>
      <c r="T156" s="357">
        <f t="shared" ca="1" si="59"/>
        <v>105.33921912834452</v>
      </c>
      <c r="U156" s="364">
        <f t="shared" ca="1" si="60"/>
        <v>0</v>
      </c>
      <c r="V156" s="359">
        <f t="shared" ca="1" si="61"/>
        <v>1.2138888556345639</v>
      </c>
      <c r="W156" s="357">
        <f t="shared" ca="1" si="62"/>
        <v>41.425336903689278</v>
      </c>
      <c r="X156" s="343"/>
      <c r="Y156" s="367" t="str">
        <f t="shared" ca="1" si="80"/>
        <v/>
      </c>
      <c r="Z156" s="368" t="str">
        <f t="shared" ca="1" si="81"/>
        <v/>
      </c>
      <c r="AA156" s="369" t="str">
        <f t="shared" ca="1" si="82"/>
        <v/>
      </c>
      <c r="AB156" s="344"/>
      <c r="AC156" s="363" t="e">
        <f t="shared" ca="1" si="83"/>
        <v>#N/A</v>
      </c>
      <c r="AD156" s="376" t="e">
        <f t="shared" ca="1" si="84"/>
        <v>#N/A</v>
      </c>
      <c r="AE156" s="377">
        <f t="shared" ca="1" si="63"/>
        <v>91.11644706372094</v>
      </c>
      <c r="AF156" s="344"/>
      <c r="AG156" s="359">
        <f t="shared" ca="1" si="85"/>
        <v>76.816109029279716</v>
      </c>
      <c r="AH156" s="357">
        <f t="shared" ca="1" si="86"/>
        <v>86.411789661138002</v>
      </c>
    </row>
    <row r="157" spans="1:34" x14ac:dyDescent="0.25">
      <c r="A157" s="402">
        <f t="shared" ca="1" si="64"/>
        <v>0.01</v>
      </c>
      <c r="B157" s="357">
        <f t="shared" ca="1" si="65"/>
        <v>1.5300000000000011</v>
      </c>
      <c r="C157" s="342"/>
      <c r="D157" s="359">
        <f t="shared" ca="1" si="66"/>
        <v>17.951673091544439</v>
      </c>
      <c r="E157" s="360">
        <f t="shared" ca="1" si="67"/>
        <v>74.587466529341441</v>
      </c>
      <c r="F157" s="357">
        <f t="shared" ca="1" si="68"/>
        <v>76.717356120054802</v>
      </c>
      <c r="G157" s="359">
        <f t="shared" ca="1" si="69"/>
        <v>25.613266007271712</v>
      </c>
      <c r="H157" s="360">
        <f t="shared" ca="1" si="70"/>
        <v>120.31935354498633</v>
      </c>
      <c r="I157" s="357">
        <f t="shared" ca="1" si="71"/>
        <v>123.0153902283884</v>
      </c>
      <c r="J157" s="359">
        <f t="shared" ca="1" si="72"/>
        <v>18.563762901974975</v>
      </c>
      <c r="K157" s="360">
        <f t="shared" ca="1" si="73"/>
        <v>92.315911225844332</v>
      </c>
      <c r="L157" s="357">
        <f t="shared" ca="1" si="58"/>
        <v>94.163903692119277</v>
      </c>
      <c r="M157" s="359">
        <f t="shared" ca="1" si="74"/>
        <v>1.3610499081366036</v>
      </c>
      <c r="N157" s="357">
        <f t="shared" ca="1" si="75"/>
        <v>77.9824154428958</v>
      </c>
      <c r="O157" s="343"/>
      <c r="P157" s="363">
        <f t="shared" ca="1" si="76"/>
        <v>7</v>
      </c>
      <c r="Q157" s="357">
        <f t="shared" ca="1" si="77"/>
        <v>967.53636363636349</v>
      </c>
      <c r="R157" s="359">
        <f t="shared" ca="1" si="78"/>
        <v>0.48467017812004082</v>
      </c>
      <c r="S157" s="360">
        <f t="shared" ca="1" si="79"/>
        <v>10.733096124757486</v>
      </c>
      <c r="T157" s="357">
        <f t="shared" ca="1" si="59"/>
        <v>105.29167298387094</v>
      </c>
      <c r="U157" s="364">
        <f t="shared" ca="1" si="60"/>
        <v>0</v>
      </c>
      <c r="V157" s="359">
        <f t="shared" ca="1" si="61"/>
        <v>1.2137432596868065</v>
      </c>
      <c r="W157" s="357">
        <f t="shared" ca="1" si="62"/>
        <v>41.941684699514738</v>
      </c>
      <c r="X157" s="343"/>
      <c r="Y157" s="367" t="str">
        <f t="shared" ca="1" si="80"/>
        <v/>
      </c>
      <c r="Z157" s="368" t="str">
        <f t="shared" ca="1" si="81"/>
        <v/>
      </c>
      <c r="AA157" s="369" t="str">
        <f t="shared" ca="1" si="82"/>
        <v/>
      </c>
      <c r="AB157" s="344"/>
      <c r="AC157" s="363" t="e">
        <f t="shared" ca="1" si="83"/>
        <v>#N/A</v>
      </c>
      <c r="AD157" s="376" t="e">
        <f t="shared" ca="1" si="84"/>
        <v>#N/A</v>
      </c>
      <c r="AE157" s="377">
        <f t="shared" ca="1" si="63"/>
        <v>92.315911225844332</v>
      </c>
      <c r="AF157" s="344"/>
      <c r="AG157" s="359">
        <f t="shared" ca="1" si="85"/>
        <v>76.690202668295925</v>
      </c>
      <c r="AH157" s="357">
        <f t="shared" ca="1" si="86"/>
        <v>86.285542956841795</v>
      </c>
    </row>
    <row r="158" spans="1:34" x14ac:dyDescent="0.25">
      <c r="A158" s="402">
        <f t="shared" ca="1" si="64"/>
        <v>0.01</v>
      </c>
      <c r="B158" s="357">
        <f t="shared" ca="1" si="65"/>
        <v>1.5400000000000011</v>
      </c>
      <c r="C158" s="342"/>
      <c r="D158" s="359">
        <f t="shared" ca="1" si="66"/>
        <v>17.939311166722195</v>
      </c>
      <c r="E158" s="360">
        <f t="shared" ca="1" si="67"/>
        <v>74.460640144430513</v>
      </c>
      <c r="F158" s="357">
        <f t="shared" ca="1" si="68"/>
        <v>76.591160167834389</v>
      </c>
      <c r="G158" s="359">
        <f t="shared" ca="1" si="69"/>
        <v>25.792659118938932</v>
      </c>
      <c r="H158" s="360">
        <f t="shared" ca="1" si="70"/>
        <v>121.06395994643063</v>
      </c>
      <c r="I158" s="357">
        <f t="shared" ca="1" si="71"/>
        <v>123.7810311087153</v>
      </c>
      <c r="J158" s="359">
        <f t="shared" ca="1" si="72"/>
        <v>18.820792527606027</v>
      </c>
      <c r="K158" s="360">
        <f t="shared" ca="1" si="73"/>
        <v>93.522827793301417</v>
      </c>
      <c r="L158" s="357">
        <f t="shared" ca="1" si="58"/>
        <v>95.397806839689466</v>
      </c>
      <c r="M158" s="359">
        <f t="shared" ca="1" si="74"/>
        <v>1.3608848942761762</v>
      </c>
      <c r="N158" s="357">
        <f t="shared" ca="1" si="75"/>
        <v>77.972960845132135</v>
      </c>
      <c r="O158" s="343"/>
      <c r="P158" s="363">
        <f t="shared" ca="1" si="76"/>
        <v>7</v>
      </c>
      <c r="Q158" s="357">
        <f t="shared" ca="1" si="77"/>
        <v>966.27662337662321</v>
      </c>
      <c r="R158" s="359">
        <f t="shared" ca="1" si="78"/>
        <v>0.48403913358360751</v>
      </c>
      <c r="S158" s="360">
        <f t="shared" ca="1" si="79"/>
        <v>10.72825573342165</v>
      </c>
      <c r="T158" s="357">
        <f t="shared" ca="1" si="59"/>
        <v>105.24418874486639</v>
      </c>
      <c r="U158" s="364">
        <f t="shared" ca="1" si="60"/>
        <v>0</v>
      </c>
      <c r="V158" s="359">
        <f t="shared" ca="1" si="61"/>
        <v>1.2135967766798634</v>
      </c>
      <c r="W158" s="357">
        <f t="shared" ca="1" si="62"/>
        <v>42.460269774671424</v>
      </c>
      <c r="X158" s="343"/>
      <c r="Y158" s="367" t="str">
        <f t="shared" ca="1" si="80"/>
        <v/>
      </c>
      <c r="Z158" s="368" t="str">
        <f t="shared" ca="1" si="81"/>
        <v/>
      </c>
      <c r="AA158" s="369" t="str">
        <f t="shared" ca="1" si="82"/>
        <v/>
      </c>
      <c r="AB158" s="344"/>
      <c r="AC158" s="363" t="e">
        <f t="shared" ca="1" si="83"/>
        <v>#N/A</v>
      </c>
      <c r="AD158" s="376" t="e">
        <f t="shared" ca="1" si="84"/>
        <v>#N/A</v>
      </c>
      <c r="AE158" s="377">
        <f t="shared" ca="1" si="63"/>
        <v>93.522827793301417</v>
      </c>
      <c r="AF158" s="344"/>
      <c r="AG158" s="359">
        <f t="shared" ca="1" si="85"/>
        <v>76.563919507452695</v>
      </c>
      <c r="AH158" s="357">
        <f t="shared" ca="1" si="86"/>
        <v>86.158921044129769</v>
      </c>
    </row>
    <row r="159" spans="1:34" x14ac:dyDescent="0.25">
      <c r="A159" s="402">
        <f t="shared" ca="1" si="64"/>
        <v>0.01</v>
      </c>
      <c r="B159" s="357">
        <f t="shared" ca="1" si="65"/>
        <v>1.5500000000000012</v>
      </c>
      <c r="C159" s="342"/>
      <c r="D159" s="359">
        <f t="shared" ca="1" si="66"/>
        <v>17.92675428051318</v>
      </c>
      <c r="E159" s="360">
        <f t="shared" ca="1" si="67"/>
        <v>74.333470906881573</v>
      </c>
      <c r="F159" s="357">
        <f t="shared" ca="1" si="68"/>
        <v>76.464589295294758</v>
      </c>
      <c r="G159" s="359">
        <f t="shared" ca="1" si="69"/>
        <v>25.971926661744064</v>
      </c>
      <c r="H159" s="360">
        <f t="shared" ca="1" si="70"/>
        <v>121.80729465549945</v>
      </c>
      <c r="I159" s="357">
        <f t="shared" ca="1" si="71"/>
        <v>124.54540539825095</v>
      </c>
      <c r="J159" s="359">
        <f t="shared" ca="1" si="72"/>
        <v>19.079615456509444</v>
      </c>
      <c r="K159" s="360">
        <f t="shared" ca="1" si="73"/>
        <v>94.737184066311073</v>
      </c>
      <c r="L159" s="357">
        <f t="shared" ca="1" si="58"/>
        <v>96.639359325185822</v>
      </c>
      <c r="M159" s="359">
        <f t="shared" ca="1" si="74"/>
        <v>1.3607207660329148</v>
      </c>
      <c r="N159" s="357">
        <f t="shared" ca="1" si="75"/>
        <v>77.963556989494364</v>
      </c>
      <c r="O159" s="343"/>
      <c r="P159" s="363">
        <f t="shared" ca="1" si="76"/>
        <v>7</v>
      </c>
      <c r="Q159" s="357">
        <f t="shared" ca="1" si="77"/>
        <v>965.01688311688292</v>
      </c>
      <c r="R159" s="359">
        <f t="shared" ca="1" si="78"/>
        <v>0.48340808904717414</v>
      </c>
      <c r="S159" s="360">
        <f t="shared" ca="1" si="79"/>
        <v>10.723421652531178</v>
      </c>
      <c r="T159" s="357">
        <f t="shared" ca="1" si="59"/>
        <v>105.19676641133086</v>
      </c>
      <c r="U159" s="364">
        <f t="shared" ca="1" si="60"/>
        <v>0</v>
      </c>
      <c r="V159" s="359">
        <f t="shared" ca="1" si="61"/>
        <v>1.2134494084776335</v>
      </c>
      <c r="W159" s="357">
        <f t="shared" ca="1" si="62"/>
        <v>42.981071516243439</v>
      </c>
      <c r="X159" s="343"/>
      <c r="Y159" s="367" t="str">
        <f t="shared" ca="1" si="80"/>
        <v/>
      </c>
      <c r="Z159" s="368" t="str">
        <f t="shared" ca="1" si="81"/>
        <v/>
      </c>
      <c r="AA159" s="369" t="str">
        <f t="shared" ca="1" si="82"/>
        <v/>
      </c>
      <c r="AB159" s="344"/>
      <c r="AC159" s="363" t="e">
        <f t="shared" ca="1" si="83"/>
        <v>#N/A</v>
      </c>
      <c r="AD159" s="376" t="e">
        <f t="shared" ca="1" si="84"/>
        <v>#N/A</v>
      </c>
      <c r="AE159" s="377">
        <f t="shared" ca="1" si="63"/>
        <v>94.737184066311073</v>
      </c>
      <c r="AF159" s="344"/>
      <c r="AG159" s="359">
        <f t="shared" ca="1" si="85"/>
        <v>76.437261202859389</v>
      </c>
      <c r="AH159" s="357">
        <f t="shared" ca="1" si="86"/>
        <v>86.031925558429322</v>
      </c>
    </row>
    <row r="160" spans="1:34" x14ac:dyDescent="0.25">
      <c r="A160" s="402">
        <f t="shared" ca="1" si="64"/>
        <v>0.01</v>
      </c>
      <c r="B160" s="357">
        <f t="shared" ca="1" si="65"/>
        <v>1.5600000000000012</v>
      </c>
      <c r="C160" s="342"/>
      <c r="D160" s="359">
        <f t="shared" ca="1" si="66"/>
        <v>17.914003947647924</v>
      </c>
      <c r="E160" s="360">
        <f t="shared" ca="1" si="67"/>
        <v>74.20596022235199</v>
      </c>
      <c r="F160" s="357">
        <f t="shared" ca="1" si="68"/>
        <v>76.3376451690621</v>
      </c>
      <c r="G160" s="359">
        <f t="shared" ca="1" si="69"/>
        <v>26.151066701220543</v>
      </c>
      <c r="H160" s="360">
        <f t="shared" ca="1" si="70"/>
        <v>122.54935425772297</v>
      </c>
      <c r="I160" s="357">
        <f t="shared" ca="1" si="71"/>
        <v>125.30850936227982</v>
      </c>
      <c r="J160" s="359">
        <f t="shared" ca="1" si="72"/>
        <v>19.340230423324268</v>
      </c>
      <c r="K160" s="360">
        <f t="shared" ca="1" si="73"/>
        <v>95.958967310877185</v>
      </c>
      <c r="L160" s="357">
        <f t="shared" ca="1" si="58"/>
        <v>97.888548463021323</v>
      </c>
      <c r="M160" s="359">
        <f t="shared" ca="1" si="74"/>
        <v>1.3605575116300319</v>
      </c>
      <c r="N160" s="357">
        <f t="shared" ca="1" si="75"/>
        <v>77.954203201222242</v>
      </c>
      <c r="O160" s="343"/>
      <c r="P160" s="363">
        <f t="shared" ca="1" si="76"/>
        <v>7</v>
      </c>
      <c r="Q160" s="357">
        <f t="shared" ca="1" si="77"/>
        <v>963.75714285714264</v>
      </c>
      <c r="R160" s="359">
        <f t="shared" ca="1" si="78"/>
        <v>0.48277704451074083</v>
      </c>
      <c r="S160" s="360">
        <f t="shared" ca="1" si="79"/>
        <v>10.71859388208607</v>
      </c>
      <c r="T160" s="357">
        <f t="shared" ca="1" si="59"/>
        <v>105.14940598326436</v>
      </c>
      <c r="U160" s="364">
        <f t="shared" ca="1" si="60"/>
        <v>0</v>
      </c>
      <c r="V160" s="359">
        <f t="shared" ca="1" si="61"/>
        <v>1.2133011569493113</v>
      </c>
      <c r="W160" s="357">
        <f t="shared" ca="1" si="62"/>
        <v>43.504069287976634</v>
      </c>
      <c r="X160" s="343"/>
      <c r="Y160" s="367" t="str">
        <f t="shared" ca="1" si="80"/>
        <v/>
      </c>
      <c r="Z160" s="368" t="str">
        <f t="shared" ca="1" si="81"/>
        <v/>
      </c>
      <c r="AA160" s="369" t="str">
        <f t="shared" ca="1" si="82"/>
        <v/>
      </c>
      <c r="AB160" s="344"/>
      <c r="AC160" s="363" t="e">
        <f t="shared" ca="1" si="83"/>
        <v>#N/A</v>
      </c>
      <c r="AD160" s="376" t="e">
        <f t="shared" ca="1" si="84"/>
        <v>#N/A</v>
      </c>
      <c r="AE160" s="377">
        <f t="shared" ca="1" si="63"/>
        <v>95.958967310877185</v>
      </c>
      <c r="AF160" s="344"/>
      <c r="AG160" s="359">
        <f t="shared" ca="1" si="85"/>
        <v>76.3102294167672</v>
      </c>
      <c r="AH160" s="357">
        <f t="shared" ca="1" si="86"/>
        <v>85.904558141696867</v>
      </c>
    </row>
    <row r="161" spans="1:34" x14ac:dyDescent="0.25">
      <c r="A161" s="402">
        <f t="shared" ca="1" si="64"/>
        <v>0.01</v>
      </c>
      <c r="B161" s="357">
        <f t="shared" ca="1" si="65"/>
        <v>1.5700000000000012</v>
      </c>
      <c r="C161" s="342"/>
      <c r="D161" s="359">
        <f t="shared" ca="1" si="66"/>
        <v>17.90106166151206</v>
      </c>
      <c r="E161" s="360">
        <f t="shared" ca="1" si="67"/>
        <v>74.07810950658444</v>
      </c>
      <c r="F161" s="357">
        <f t="shared" ca="1" si="68"/>
        <v>76.210329461817523</v>
      </c>
      <c r="G161" s="359">
        <f t="shared" ca="1" si="69"/>
        <v>26.330077317835663</v>
      </c>
      <c r="H161" s="360">
        <f t="shared" ca="1" si="70"/>
        <v>123.29013535278881</v>
      </c>
      <c r="I161" s="357">
        <f t="shared" ca="1" si="71"/>
        <v>126.0703392827678</v>
      </c>
      <c r="J161" s="359">
        <f t="shared" ca="1" si="72"/>
        <v>19.602636143419549</v>
      </c>
      <c r="K161" s="360">
        <f t="shared" ca="1" si="73"/>
        <v>97.188164758929744</v>
      </c>
      <c r="L161" s="357">
        <f t="shared" ca="1" si="58"/>
        <v>99.14536153033167</v>
      </c>
      <c r="M161" s="359">
        <f t="shared" ca="1" si="74"/>
        <v>1.3603951195171922</v>
      </c>
      <c r="N161" s="357">
        <f t="shared" ca="1" si="75"/>
        <v>77.944898818530319</v>
      </c>
      <c r="O161" s="343"/>
      <c r="P161" s="363">
        <f t="shared" ca="1" si="76"/>
        <v>7</v>
      </c>
      <c r="Q161" s="357">
        <f t="shared" ca="1" si="77"/>
        <v>962.49740259740236</v>
      </c>
      <c r="R161" s="359">
        <f t="shared" ca="1" si="78"/>
        <v>0.48214599997430746</v>
      </c>
      <c r="S161" s="360">
        <f t="shared" ca="1" si="79"/>
        <v>10.713772422086327</v>
      </c>
      <c r="T161" s="357">
        <f t="shared" ca="1" si="59"/>
        <v>105.10210746066687</v>
      </c>
      <c r="U161" s="364">
        <f t="shared" ca="1" si="60"/>
        <v>0</v>
      </c>
      <c r="V161" s="359">
        <f t="shared" ca="1" si="61"/>
        <v>1.2131520239693576</v>
      </c>
      <c r="W161" s="357">
        <f t="shared" ca="1" si="62"/>
        <v>44.029242431133994</v>
      </c>
      <c r="X161" s="343"/>
      <c r="Y161" s="367" t="str">
        <f t="shared" ca="1" si="80"/>
        <v/>
      </c>
      <c r="Z161" s="368" t="str">
        <f t="shared" ca="1" si="81"/>
        <v/>
      </c>
      <c r="AA161" s="369" t="str">
        <f t="shared" ca="1" si="82"/>
        <v/>
      </c>
      <c r="AB161" s="344"/>
      <c r="AC161" s="363" t="e">
        <f t="shared" ca="1" si="83"/>
        <v>#N/A</v>
      </c>
      <c r="AD161" s="376" t="e">
        <f t="shared" ca="1" si="84"/>
        <v>#N/A</v>
      </c>
      <c r="AE161" s="377">
        <f t="shared" ca="1" si="63"/>
        <v>97.188164758929744</v>
      </c>
      <c r="AF161" s="344"/>
      <c r="AG161" s="359">
        <f t="shared" ca="1" si="85"/>
        <v>76.182825817504352</v>
      </c>
      <c r="AH161" s="357">
        <f t="shared" ca="1" si="86"/>
        <v>85.776820442343052</v>
      </c>
    </row>
    <row r="162" spans="1:34" x14ac:dyDescent="0.25">
      <c r="A162" s="402">
        <f t="shared" ca="1" si="64"/>
        <v>0.01</v>
      </c>
      <c r="B162" s="357">
        <f t="shared" ca="1" si="65"/>
        <v>1.5800000000000012</v>
      </c>
      <c r="C162" s="342"/>
      <c r="D162" s="359">
        <f t="shared" ca="1" si="66"/>
        <v>17.88792889473531</v>
      </c>
      <c r="E162" s="360">
        <f t="shared" ca="1" si="67"/>
        <v>73.949920185234845</v>
      </c>
      <c r="F162" s="357">
        <f t="shared" ca="1" si="68"/>
        <v>76.082643852232891</v>
      </c>
      <c r="G162" s="359">
        <f t="shared" ca="1" si="69"/>
        <v>26.508956606783016</v>
      </c>
      <c r="H162" s="360">
        <f t="shared" ca="1" si="70"/>
        <v>124.02963455464116</v>
      </c>
      <c r="I162" s="357">
        <f t="shared" ca="1" si="71"/>
        <v>126.83089145842247</v>
      </c>
      <c r="J162" s="359">
        <f t="shared" ca="1" si="72"/>
        <v>19.866831313042642</v>
      </c>
      <c r="K162" s="360">
        <f t="shared" ca="1" si="73"/>
        <v>98.42476360846689</v>
      </c>
      <c r="L162" s="357">
        <f t="shared" ca="1" si="58"/>
        <v>100.40978576714264</v>
      </c>
      <c r="M162" s="359">
        <f t="shared" ca="1" si="74"/>
        <v>1.3602335783646651</v>
      </c>
      <c r="N162" s="357">
        <f t="shared" ca="1" si="75"/>
        <v>77.935643192272835</v>
      </c>
      <c r="O162" s="343"/>
      <c r="P162" s="363">
        <f t="shared" ca="1" si="76"/>
        <v>7</v>
      </c>
      <c r="Q162" s="357">
        <f t="shared" ca="1" si="77"/>
        <v>961.23766233766219</v>
      </c>
      <c r="R162" s="359">
        <f t="shared" ca="1" si="78"/>
        <v>0.4815149554378742</v>
      </c>
      <c r="S162" s="360">
        <f t="shared" ca="1" si="79"/>
        <v>10.708957272531949</v>
      </c>
      <c r="T162" s="357">
        <f t="shared" ca="1" si="59"/>
        <v>105.05487084353842</v>
      </c>
      <c r="U162" s="364">
        <f t="shared" ca="1" si="60"/>
        <v>0</v>
      </c>
      <c r="V162" s="359">
        <f t="shared" ca="1" si="61"/>
        <v>1.2130020114174638</v>
      </c>
      <c r="W162" s="357">
        <f t="shared" ca="1" si="62"/>
        <v>44.556570265350167</v>
      </c>
      <c r="X162" s="343"/>
      <c r="Y162" s="367" t="str">
        <f t="shared" ca="1" si="80"/>
        <v/>
      </c>
      <c r="Z162" s="368" t="str">
        <f t="shared" ca="1" si="81"/>
        <v/>
      </c>
      <c r="AA162" s="369" t="str">
        <f t="shared" ca="1" si="82"/>
        <v/>
      </c>
      <c r="AB162" s="344"/>
      <c r="AC162" s="363" t="e">
        <f t="shared" ca="1" si="83"/>
        <v>#N/A</v>
      </c>
      <c r="AD162" s="376" t="e">
        <f t="shared" ca="1" si="84"/>
        <v>#N/A</v>
      </c>
      <c r="AE162" s="377">
        <f t="shared" ca="1" si="63"/>
        <v>98.42476360846689</v>
      </c>
      <c r="AF162" s="344"/>
      <c r="AG162" s="359">
        <f t="shared" ca="1" si="85"/>
        <v>76.05505207941053</v>
      </c>
      <c r="AH162" s="357">
        <f t="shared" ca="1" si="86"/>
        <v>85.64871411515773</v>
      </c>
    </row>
    <row r="163" spans="1:34" x14ac:dyDescent="0.25">
      <c r="A163" s="402">
        <f t="shared" ca="1" si="64"/>
        <v>0.01</v>
      </c>
      <c r="B163" s="357">
        <f t="shared" ca="1" si="65"/>
        <v>1.5900000000000012</v>
      </c>
      <c r="C163" s="342"/>
      <c r="D163" s="359">
        <f t="shared" ca="1" si="66"/>
        <v>17.874607099761072</v>
      </c>
      <c r="E163" s="360">
        <f t="shared" ca="1" si="67"/>
        <v>73.821393693703044</v>
      </c>
      <c r="F163" s="357">
        <f t="shared" ca="1" si="68"/>
        <v>75.954590024905855</v>
      </c>
      <c r="G163" s="359">
        <f t="shared" ca="1" si="69"/>
        <v>26.687702677780628</v>
      </c>
      <c r="H163" s="360">
        <f t="shared" ca="1" si="70"/>
        <v>124.76784849157819</v>
      </c>
      <c r="I163" s="357">
        <f t="shared" ca="1" si="71"/>
        <v>127.5901622047524</v>
      </c>
      <c r="J163" s="359">
        <f t="shared" ca="1" si="72"/>
        <v>20.132814609465459</v>
      </c>
      <c r="K163" s="360">
        <f t="shared" ca="1" si="73"/>
        <v>99.668751023697993</v>
      </c>
      <c r="L163" s="357">
        <f t="shared" ca="1" si="58"/>
        <v>101.68180837653806</v>
      </c>
      <c r="M163" s="359">
        <f t="shared" ca="1" si="74"/>
        <v>1.3600728770576684</v>
      </c>
      <c r="N163" s="357">
        <f t="shared" ca="1" si="75"/>
        <v>77.926435685619694</v>
      </c>
      <c r="O163" s="343"/>
      <c r="P163" s="363">
        <f t="shared" ca="1" si="76"/>
        <v>7</v>
      </c>
      <c r="Q163" s="357">
        <f t="shared" ca="1" si="77"/>
        <v>959.9779220779219</v>
      </c>
      <c r="R163" s="359">
        <f t="shared" ca="1" si="78"/>
        <v>0.48088391090144084</v>
      </c>
      <c r="S163" s="360">
        <f t="shared" ca="1" si="79"/>
        <v>10.704148433422935</v>
      </c>
      <c r="T163" s="357">
        <f t="shared" ca="1" si="59"/>
        <v>105.007696131879</v>
      </c>
      <c r="U163" s="364">
        <f t="shared" ca="1" si="60"/>
        <v>0</v>
      </c>
      <c r="V163" s="359">
        <f t="shared" ca="1" si="61"/>
        <v>1.2128511211785207</v>
      </c>
      <c r="W163" s="357">
        <f t="shared" ca="1" si="62"/>
        <v>45.086032089485357</v>
      </c>
      <c r="X163" s="343"/>
      <c r="Y163" s="367" t="str">
        <f t="shared" ca="1" si="80"/>
        <v/>
      </c>
      <c r="Z163" s="368" t="str">
        <f t="shared" ca="1" si="81"/>
        <v/>
      </c>
      <c r="AA163" s="369" t="str">
        <f t="shared" ca="1" si="82"/>
        <v/>
      </c>
      <c r="AB163" s="344"/>
      <c r="AC163" s="363" t="e">
        <f t="shared" ca="1" si="83"/>
        <v>#N/A</v>
      </c>
      <c r="AD163" s="376" t="e">
        <f t="shared" ca="1" si="84"/>
        <v>#N/A</v>
      </c>
      <c r="AE163" s="377">
        <f t="shared" ca="1" si="63"/>
        <v>99.668751023697993</v>
      </c>
      <c r="AF163" s="344"/>
      <c r="AG163" s="359">
        <f t="shared" ca="1" si="85"/>
        <v>75.926909882770914</v>
      </c>
      <c r="AH163" s="357">
        <f t="shared" ca="1" si="86"/>
        <v>85.520240821234722</v>
      </c>
    </row>
    <row r="164" spans="1:34" x14ac:dyDescent="0.25">
      <c r="A164" s="402">
        <f t="shared" ca="1" si="64"/>
        <v>0.01</v>
      </c>
      <c r="B164" s="357">
        <f t="shared" ca="1" si="65"/>
        <v>1.6000000000000012</v>
      </c>
      <c r="C164" s="342"/>
      <c r="D164" s="359">
        <f t="shared" ca="1" si="66"/>
        <v>17.861097709396827</v>
      </c>
      <c r="E164" s="360">
        <f t="shared" ca="1" si="67"/>
        <v>73.692531476966437</v>
      </c>
      <c r="F164" s="357">
        <f t="shared" ca="1" si="68"/>
        <v>75.826169670294632</v>
      </c>
      <c r="G164" s="359">
        <f t="shared" ca="1" si="69"/>
        <v>26.866313654874595</v>
      </c>
      <c r="H164" s="360">
        <f t="shared" ca="1" si="70"/>
        <v>125.50477380634786</v>
      </c>
      <c r="I164" s="357">
        <f t="shared" ca="1" si="71"/>
        <v>128.34814785412621</v>
      </c>
      <c r="J164" s="359">
        <f t="shared" ca="1" si="72"/>
        <v>20.400584691128735</v>
      </c>
      <c r="K164" s="360">
        <f t="shared" ca="1" si="73"/>
        <v>100.92011413518762</v>
      </c>
      <c r="L164" s="357">
        <f t="shared" ca="1" si="58"/>
        <v>102.96141652482842</v>
      </c>
      <c r="M164" s="359">
        <f t="shared" ca="1" si="74"/>
        <v>1.3599130046908925</v>
      </c>
      <c r="N164" s="357">
        <f t="shared" ca="1" si="75"/>
        <v>77.917275673742665</v>
      </c>
      <c r="O164" s="343"/>
      <c r="P164" s="363">
        <f t="shared" ca="1" si="76"/>
        <v>7</v>
      </c>
      <c r="Q164" s="357">
        <f t="shared" ca="1" si="77"/>
        <v>958.71818181818162</v>
      </c>
      <c r="R164" s="359">
        <f t="shared" ca="1" si="78"/>
        <v>0.48025286636500752</v>
      </c>
      <c r="S164" s="360">
        <f t="shared" ca="1" si="79"/>
        <v>10.699345904759285</v>
      </c>
      <c r="T164" s="357">
        <f t="shared" ca="1" si="59"/>
        <v>104.96058332568859</v>
      </c>
      <c r="U164" s="364">
        <f t="shared" ca="1" si="60"/>
        <v>0</v>
      </c>
      <c r="V164" s="359">
        <f t="shared" ca="1" si="61"/>
        <v>1.2126993551425869</v>
      </c>
      <c r="W164" s="357">
        <f t="shared" ca="1" si="62"/>
        <v>45.617607182478629</v>
      </c>
      <c r="X164" s="343"/>
      <c r="Y164" s="367" t="str">
        <f t="shared" ca="1" si="80"/>
        <v/>
      </c>
      <c r="Z164" s="368" t="str">
        <f t="shared" ca="1" si="81"/>
        <v/>
      </c>
      <c r="AA164" s="369" t="str">
        <f t="shared" ca="1" si="82"/>
        <v/>
      </c>
      <c r="AB164" s="344"/>
      <c r="AC164" s="363" t="e">
        <f t="shared" ca="1" si="83"/>
        <v>#N/A</v>
      </c>
      <c r="AD164" s="376" t="e">
        <f t="shared" ca="1" si="84"/>
        <v>#N/A</v>
      </c>
      <c r="AE164" s="377">
        <f t="shared" ca="1" si="63"/>
        <v>100.92011413518762</v>
      </c>
      <c r="AF164" s="344"/>
      <c r="AG164" s="359">
        <f t="shared" ca="1" si="85"/>
        <v>75.798400913749703</v>
      </c>
      <c r="AH164" s="357">
        <f t="shared" ca="1" si="86"/>
        <v>85.391402227896407</v>
      </c>
    </row>
    <row r="165" spans="1:34" x14ac:dyDescent="0.25">
      <c r="A165" s="402">
        <f t="shared" ca="1" si="64"/>
        <v>0.01</v>
      </c>
      <c r="B165" s="357">
        <f t="shared" ca="1" si="65"/>
        <v>1.6100000000000012</v>
      </c>
      <c r="C165" s="342"/>
      <c r="D165" s="359">
        <f t="shared" ca="1" si="66"/>
        <v>17.847402137346403</v>
      </c>
      <c r="E165" s="360">
        <f t="shared" ca="1" si="67"/>
        <v>73.563334989416362</v>
      </c>
      <c r="F165" s="357">
        <f t="shared" ca="1" si="68"/>
        <v>75.69738448465209</v>
      </c>
      <c r="G165" s="359">
        <f t="shared" ca="1" si="69"/>
        <v>27.04478767624806</v>
      </c>
      <c r="H165" s="360">
        <f t="shared" ca="1" si="70"/>
        <v>126.24040715624201</v>
      </c>
      <c r="I165" s="357">
        <f t="shared" ca="1" si="71"/>
        <v>129.10484475583053</v>
      </c>
      <c r="J165" s="359">
        <f t="shared" ca="1" si="72"/>
        <v>20.670140197784349</v>
      </c>
      <c r="K165" s="360">
        <f t="shared" ca="1" si="73"/>
        <v>102.17884004000057</v>
      </c>
      <c r="L165" s="357">
        <f t="shared" ca="1" si="58"/>
        <v>104.24859734172006</v>
      </c>
      <c r="M165" s="359">
        <f t="shared" ca="1" si="74"/>
        <v>1.359753950563197</v>
      </c>
      <c r="N165" s="357">
        <f t="shared" ca="1" si="75"/>
        <v>77.90816254351158</v>
      </c>
      <c r="O165" s="343"/>
      <c r="P165" s="363">
        <f t="shared" ca="1" si="76"/>
        <v>7</v>
      </c>
      <c r="Q165" s="357">
        <f t="shared" ca="1" si="77"/>
        <v>957.45844155844134</v>
      </c>
      <c r="R165" s="359">
        <f t="shared" ca="1" si="78"/>
        <v>0.47962182182857416</v>
      </c>
      <c r="S165" s="360">
        <f t="shared" ca="1" si="79"/>
        <v>10.694549686541</v>
      </c>
      <c r="T165" s="357">
        <f t="shared" ca="1" si="59"/>
        <v>104.91353242496722</v>
      </c>
      <c r="U165" s="364">
        <f t="shared" ca="1" si="60"/>
        <v>0</v>
      </c>
      <c r="V165" s="359">
        <f t="shared" ca="1" si="61"/>
        <v>1.2125467152048528</v>
      </c>
      <c r="W165" s="357">
        <f t="shared" ca="1" si="62"/>
        <v>46.151274804200035</v>
      </c>
      <c r="X165" s="343"/>
      <c r="Y165" s="367" t="str">
        <f t="shared" ca="1" si="80"/>
        <v/>
      </c>
      <c r="Z165" s="368" t="str">
        <f t="shared" ca="1" si="81"/>
        <v/>
      </c>
      <c r="AA165" s="369" t="str">
        <f t="shared" ca="1" si="82"/>
        <v/>
      </c>
      <c r="AB165" s="344"/>
      <c r="AC165" s="363" t="e">
        <f t="shared" ca="1" si="83"/>
        <v>#N/A</v>
      </c>
      <c r="AD165" s="376" t="e">
        <f t="shared" ca="1" si="84"/>
        <v>#N/A</v>
      </c>
      <c r="AE165" s="377">
        <f t="shared" ca="1" si="63"/>
        <v>102.17884004000057</v>
      </c>
      <c r="AF165" s="344"/>
      <c r="AG165" s="359">
        <f t="shared" ca="1" si="85"/>
        <v>75.66952686432316</v>
      </c>
      <c r="AH165" s="357">
        <f t="shared" ca="1" si="86"/>
        <v>85.262200008618095</v>
      </c>
    </row>
    <row r="166" spans="1:34" x14ac:dyDescent="0.25">
      <c r="A166" s="402">
        <f t="shared" ca="1" si="64"/>
        <v>0.01</v>
      </c>
      <c r="B166" s="357">
        <f t="shared" ca="1" si="65"/>
        <v>1.6200000000000012</v>
      </c>
      <c r="C166" s="342"/>
      <c r="D166" s="359">
        <f t="shared" ca="1" si="66"/>
        <v>17.833521778724815</v>
      </c>
      <c r="E166" s="360">
        <f t="shared" ca="1" si="67"/>
        <v>73.433805694697</v>
      </c>
      <c r="F166" s="357">
        <f t="shared" ca="1" si="68"/>
        <v>75.568236169959434</v>
      </c>
      <c r="G166" s="359">
        <f t="shared" ca="1" si="69"/>
        <v>27.223122894035306</v>
      </c>
      <c r="H166" s="360">
        <f t="shared" ca="1" si="70"/>
        <v>126.97474521318898</v>
      </c>
      <c r="I166" s="357">
        <f t="shared" ca="1" si="71"/>
        <v>129.86024927612763</v>
      </c>
      <c r="J166" s="359">
        <f t="shared" ca="1" si="72"/>
        <v>20.941479750635764</v>
      </c>
      <c r="K166" s="360">
        <f t="shared" ca="1" si="73"/>
        <v>103.44491580184771</v>
      </c>
      <c r="L166" s="357">
        <f t="shared" ca="1" si="58"/>
        <v>105.54333792048483</v>
      </c>
      <c r="M166" s="359">
        <f t="shared" ca="1" si="74"/>
        <v>1.3595957041724778</v>
      </c>
      <c r="N166" s="357">
        <f t="shared" ca="1" si="75"/>
        <v>77.899095693200181</v>
      </c>
      <c r="O166" s="343"/>
      <c r="P166" s="363">
        <f t="shared" ca="1" si="76"/>
        <v>7</v>
      </c>
      <c r="Q166" s="357">
        <f t="shared" ca="1" si="77"/>
        <v>956.19870129870105</v>
      </c>
      <c r="R166" s="359">
        <f t="shared" ca="1" si="78"/>
        <v>0.47899077729214079</v>
      </c>
      <c r="S166" s="360">
        <f t="shared" ca="1" si="79"/>
        <v>10.68975977876808</v>
      </c>
      <c r="T166" s="357">
        <f t="shared" ca="1" si="59"/>
        <v>104.86654342971487</v>
      </c>
      <c r="U166" s="364">
        <f t="shared" ca="1" si="60"/>
        <v>0</v>
      </c>
      <c r="V166" s="359">
        <f t="shared" ca="1" si="61"/>
        <v>1.2123932032656097</v>
      </c>
      <c r="W166" s="357">
        <f t="shared" ca="1" si="62"/>
        <v>46.6870141963023</v>
      </c>
      <c r="X166" s="343"/>
      <c r="Y166" s="367" t="str">
        <f t="shared" ca="1" si="80"/>
        <v/>
      </c>
      <c r="Z166" s="368" t="str">
        <f t="shared" ca="1" si="81"/>
        <v/>
      </c>
      <c r="AA166" s="369" t="str">
        <f t="shared" ca="1" si="82"/>
        <v/>
      </c>
      <c r="AB166" s="344"/>
      <c r="AC166" s="363" t="e">
        <f t="shared" ca="1" si="83"/>
        <v>#N/A</v>
      </c>
      <c r="AD166" s="376" t="e">
        <f t="shared" ca="1" si="84"/>
        <v>#N/A</v>
      </c>
      <c r="AE166" s="377">
        <f t="shared" ca="1" si="63"/>
        <v>103.44491580184771</v>
      </c>
      <c r="AF166" s="344"/>
      <c r="AG166" s="359">
        <f t="shared" ca="1" si="85"/>
        <v>75.540289432212276</v>
      </c>
      <c r="AH166" s="357">
        <f t="shared" ca="1" si="86"/>
        <v>85.132635842952268</v>
      </c>
    </row>
    <row r="167" spans="1:34" x14ac:dyDescent="0.25">
      <c r="A167" s="402">
        <f t="shared" ca="1" si="64"/>
        <v>0.01</v>
      </c>
      <c r="B167" s="357">
        <f t="shared" ca="1" si="65"/>
        <v>1.6300000000000012</v>
      </c>
      <c r="C167" s="342"/>
      <c r="D167" s="359">
        <f t="shared" ca="1" si="66"/>
        <v>17.819458010556129</v>
      </c>
      <c r="E167" s="360">
        <f t="shared" ca="1" si="67"/>
        <v>73.303945065546912</v>
      </c>
      <c r="F167" s="357">
        <f t="shared" ca="1" si="68"/>
        <v>75.4387264338595</v>
      </c>
      <c r="G167" s="359">
        <f t="shared" ca="1" si="69"/>
        <v>27.401317474140868</v>
      </c>
      <c r="H167" s="360">
        <f t="shared" ca="1" si="70"/>
        <v>127.70778466384445</v>
      </c>
      <c r="I167" s="357">
        <f t="shared" ca="1" si="71"/>
        <v>130.6143577983122</v>
      </c>
      <c r="J167" s="359">
        <f t="shared" ca="1" si="72"/>
        <v>21.214601952476645</v>
      </c>
      <c r="K167" s="360">
        <f t="shared" ca="1" si="73"/>
        <v>104.71832845123288</v>
      </c>
      <c r="L167" s="357">
        <f t="shared" ca="1" si="58"/>
        <v>106.84562531813043</v>
      </c>
      <c r="M167" s="359">
        <f t="shared" ca="1" si="74"/>
        <v>1.3594382552106921</v>
      </c>
      <c r="N167" s="357">
        <f t="shared" ca="1" si="75"/>
        <v>77.890074532201155</v>
      </c>
      <c r="O167" s="343"/>
      <c r="P167" s="363">
        <f t="shared" ca="1" si="76"/>
        <v>7</v>
      </c>
      <c r="Q167" s="357">
        <f t="shared" ca="1" si="77"/>
        <v>954.93896103896088</v>
      </c>
      <c r="R167" s="359">
        <f t="shared" ca="1" si="78"/>
        <v>0.47835973275570753</v>
      </c>
      <c r="S167" s="360">
        <f t="shared" ca="1" si="79"/>
        <v>10.684976181440522</v>
      </c>
      <c r="T167" s="357">
        <f t="shared" ca="1" si="59"/>
        <v>104.81961633993153</v>
      </c>
      <c r="U167" s="364">
        <f t="shared" ca="1" si="60"/>
        <v>0</v>
      </c>
      <c r="V167" s="359">
        <f t="shared" ca="1" si="61"/>
        <v>1.2122388212302162</v>
      </c>
      <c r="W167" s="357">
        <f t="shared" ca="1" si="62"/>
        <v>47.224804583071283</v>
      </c>
      <c r="X167" s="343"/>
      <c r="Y167" s="367" t="str">
        <f t="shared" ca="1" si="80"/>
        <v/>
      </c>
      <c r="Z167" s="368" t="str">
        <f t="shared" ca="1" si="81"/>
        <v/>
      </c>
      <c r="AA167" s="369" t="str">
        <f t="shared" ca="1" si="82"/>
        <v/>
      </c>
      <c r="AB167" s="344"/>
      <c r="AC167" s="363" t="e">
        <f t="shared" ca="1" si="83"/>
        <v>#N/A</v>
      </c>
      <c r="AD167" s="376" t="e">
        <f t="shared" ca="1" si="84"/>
        <v>#N/A</v>
      </c>
      <c r="AE167" s="377">
        <f t="shared" ca="1" si="63"/>
        <v>104.71832845123288</v>
      </c>
      <c r="AF167" s="344"/>
      <c r="AG167" s="359">
        <f t="shared" ca="1" si="85"/>
        <v>75.410690320814936</v>
      </c>
      <c r="AH167" s="357">
        <f t="shared" ca="1" si="86"/>
        <v>85.002711416452613</v>
      </c>
    </row>
    <row r="168" spans="1:34" x14ac:dyDescent="0.25">
      <c r="A168" s="402">
        <f t="shared" ca="1" si="64"/>
        <v>0.01</v>
      </c>
      <c r="B168" s="357">
        <f t="shared" ca="1" si="65"/>
        <v>1.6400000000000012</v>
      </c>
      <c r="C168" s="342"/>
      <c r="D168" s="359">
        <f t="shared" ca="1" si="66"/>
        <v>17.805212192255237</v>
      </c>
      <c r="E168" s="360">
        <f t="shared" ca="1" si="67"/>
        <v>73.173754583642818</v>
      </c>
      <c r="F168" s="357">
        <f t="shared" ca="1" si="68"/>
        <v>75.308856989589358</v>
      </c>
      <c r="G168" s="359">
        <f t="shared" ca="1" si="69"/>
        <v>27.579369596063419</v>
      </c>
      <c r="H168" s="360">
        <f t="shared" ca="1" si="70"/>
        <v>128.43952220968089</v>
      </c>
      <c r="I168" s="357">
        <f t="shared" ca="1" si="71"/>
        <v>131.36716672276745</v>
      </c>
      <c r="J168" s="359">
        <f t="shared" ca="1" si="72"/>
        <v>21.489505387827666</v>
      </c>
      <c r="K168" s="360">
        <f t="shared" ca="1" si="73"/>
        <v>105.99906498560051</v>
      </c>
      <c r="L168" s="357">
        <f t="shared" ca="1" si="58"/>
        <v>108.15544655557127</v>
      </c>
      <c r="M168" s="359">
        <f t="shared" ca="1" si="74"/>
        <v>1.3592815935590408</v>
      </c>
      <c r="N168" s="357">
        <f t="shared" ca="1" si="75"/>
        <v>77.881098480749984</v>
      </c>
      <c r="O168" s="343"/>
      <c r="P168" s="363">
        <f t="shared" ca="1" si="76"/>
        <v>7</v>
      </c>
      <c r="Q168" s="357">
        <f t="shared" ca="1" si="77"/>
        <v>953.6792207792206</v>
      </c>
      <c r="R168" s="359">
        <f t="shared" ca="1" si="78"/>
        <v>0.47772868821927417</v>
      </c>
      <c r="S168" s="360">
        <f t="shared" ca="1" si="79"/>
        <v>10.680198894558329</v>
      </c>
      <c r="T168" s="357">
        <f t="shared" ca="1" si="59"/>
        <v>104.77275115561721</v>
      </c>
      <c r="U168" s="364">
        <f t="shared" ca="1" si="60"/>
        <v>0</v>
      </c>
      <c r="V168" s="359">
        <f t="shared" ca="1" si="61"/>
        <v>1.2120835710090636</v>
      </c>
      <c r="W168" s="357">
        <f t="shared" ca="1" si="62"/>
        <v>47.764625172275544</v>
      </c>
      <c r="X168" s="343"/>
      <c r="Y168" s="367" t="str">
        <f t="shared" ca="1" si="80"/>
        <v/>
      </c>
      <c r="Z168" s="368" t="str">
        <f t="shared" ca="1" si="81"/>
        <v/>
      </c>
      <c r="AA168" s="369" t="str">
        <f t="shared" ca="1" si="82"/>
        <v/>
      </c>
      <c r="AB168" s="344"/>
      <c r="AC168" s="363" t="e">
        <f t="shared" ca="1" si="83"/>
        <v>#N/A</v>
      </c>
      <c r="AD168" s="376" t="e">
        <f t="shared" ca="1" si="84"/>
        <v>#N/A</v>
      </c>
      <c r="AE168" s="377">
        <f t="shared" ca="1" si="63"/>
        <v>105.99906498560051</v>
      </c>
      <c r="AF168" s="344"/>
      <c r="AG168" s="359">
        <f t="shared" ca="1" si="85"/>
        <v>75.280731239137509</v>
      </c>
      <c r="AH168" s="357">
        <f t="shared" ca="1" si="86"/>
        <v>84.872428420597785</v>
      </c>
    </row>
    <row r="169" spans="1:34" x14ac:dyDescent="0.25">
      <c r="A169" s="402">
        <f t="shared" ca="1" si="64"/>
        <v>0.01</v>
      </c>
      <c r="B169" s="357">
        <f t="shared" ca="1" si="65"/>
        <v>1.6500000000000012</v>
      </c>
      <c r="C169" s="342"/>
      <c r="D169" s="359">
        <f t="shared" ca="1" si="66"/>
        <v>17.790785666093985</v>
      </c>
      <c r="E169" s="360">
        <f t="shared" ca="1" si="67"/>
        <v>73.043235739445919</v>
      </c>
      <c r="F169" s="357">
        <f t="shared" ca="1" si="68"/>
        <v>75.178629555912792</v>
      </c>
      <c r="G169" s="359">
        <f t="shared" ca="1" si="69"/>
        <v>27.75727745272436</v>
      </c>
      <c r="H169" s="360">
        <f t="shared" ca="1" si="70"/>
        <v>129.16995456707534</v>
      </c>
      <c r="I169" s="357">
        <f t="shared" ca="1" si="71"/>
        <v>132.11867246702045</v>
      </c>
      <c r="J169" s="359">
        <f t="shared" ca="1" si="72"/>
        <v>21.766188623071606</v>
      </c>
      <c r="K169" s="360">
        <f t="shared" ca="1" si="73"/>
        <v>107.28711236948429</v>
      </c>
      <c r="L169" s="357">
        <f t="shared" ca="1" si="58"/>
        <v>109.47278861779982</v>
      </c>
      <c r="M169" s="359">
        <f t="shared" ca="1" si="74"/>
        <v>1.3591257092832998</v>
      </c>
      <c r="N169" s="357">
        <f t="shared" ca="1" si="75"/>
        <v>77.87216696965757</v>
      </c>
      <c r="O169" s="343"/>
      <c r="P169" s="363">
        <f t="shared" ca="1" si="76"/>
        <v>7</v>
      </c>
      <c r="Q169" s="357">
        <f t="shared" ca="1" si="77"/>
        <v>952.41948051948032</v>
      </c>
      <c r="R169" s="359">
        <f t="shared" ca="1" si="78"/>
        <v>0.47709764368284086</v>
      </c>
      <c r="S169" s="360">
        <f t="shared" ca="1" si="79"/>
        <v>10.6754279181215</v>
      </c>
      <c r="T169" s="357">
        <f t="shared" ca="1" si="59"/>
        <v>104.72594787677191</v>
      </c>
      <c r="U169" s="364">
        <f t="shared" ca="1" si="60"/>
        <v>0</v>
      </c>
      <c r="V169" s="359">
        <f t="shared" ca="1" si="61"/>
        <v>1.2119274545175447</v>
      </c>
      <c r="W169" s="357">
        <f t="shared" ca="1" si="62"/>
        <v>48.306455156014856</v>
      </c>
      <c r="X169" s="343"/>
      <c r="Y169" s="367" t="str">
        <f t="shared" ca="1" si="80"/>
        <v/>
      </c>
      <c r="Z169" s="368" t="str">
        <f t="shared" ca="1" si="81"/>
        <v/>
      </c>
      <c r="AA169" s="369" t="str">
        <f t="shared" ca="1" si="82"/>
        <v/>
      </c>
      <c r="AB169" s="344"/>
      <c r="AC169" s="363" t="e">
        <f t="shared" ca="1" si="83"/>
        <v>#N/A</v>
      </c>
      <c r="AD169" s="376" t="e">
        <f t="shared" ca="1" si="84"/>
        <v>#N/A</v>
      </c>
      <c r="AE169" s="377">
        <f t="shared" ca="1" si="63"/>
        <v>107.28711236948429</v>
      </c>
      <c r="AF169" s="344"/>
      <c r="AG169" s="359">
        <f t="shared" ca="1" si="85"/>
        <v>75.150413901726424</v>
      </c>
      <c r="AH169" s="357">
        <f t="shared" ca="1" si="86"/>
        <v>84.741788552715207</v>
      </c>
    </row>
    <row r="170" spans="1:34" x14ac:dyDescent="0.25">
      <c r="A170" s="402">
        <f t="shared" ca="1" si="64"/>
        <v>0.01</v>
      </c>
      <c r="B170" s="357">
        <f t="shared" ca="1" si="65"/>
        <v>1.6600000000000013</v>
      </c>
      <c r="C170" s="342"/>
      <c r="D170" s="359">
        <f t="shared" ca="1" si="66"/>
        <v>17.77617975765224</v>
      </c>
      <c r="E170" s="360">
        <f t="shared" ca="1" si="67"/>
        <v>72.912390032050425</v>
      </c>
      <c r="F170" s="357">
        <f t="shared" ca="1" si="68"/>
        <v>75.048045857052216</v>
      </c>
      <c r="G170" s="359">
        <f t="shared" ca="1" si="69"/>
        <v>27.935039250300882</v>
      </c>
      <c r="H170" s="360">
        <f t="shared" ca="1" si="70"/>
        <v>129.89907846739584</v>
      </c>
      <c r="I170" s="357">
        <f t="shared" ca="1" si="71"/>
        <v>132.8688714657971</v>
      </c>
      <c r="J170" s="359">
        <f t="shared" ca="1" si="72"/>
        <v>22.044650206586734</v>
      </c>
      <c r="K170" s="360">
        <f t="shared" ca="1" si="73"/>
        <v>108.58245753465664</v>
      </c>
      <c r="L170" s="357">
        <f t="shared" ca="1" si="58"/>
        <v>110.79763845405857</v>
      </c>
      <c r="M170" s="359">
        <f t="shared" ca="1" si="74"/>
        <v>1.3589705926292945</v>
      </c>
      <c r="N170" s="357">
        <f t="shared" ca="1" si="75"/>
        <v>77.863279440050874</v>
      </c>
      <c r="O170" s="343"/>
      <c r="P170" s="363">
        <f t="shared" ca="1" si="76"/>
        <v>7</v>
      </c>
      <c r="Q170" s="357">
        <f t="shared" ca="1" si="77"/>
        <v>951.15974025974003</v>
      </c>
      <c r="R170" s="359">
        <f t="shared" ca="1" si="78"/>
        <v>0.47646659914640749</v>
      </c>
      <c r="S170" s="360">
        <f t="shared" ca="1" si="79"/>
        <v>10.670663252130035</v>
      </c>
      <c r="T170" s="357">
        <f t="shared" ca="1" si="59"/>
        <v>104.67920650339565</v>
      </c>
      <c r="U170" s="364">
        <f t="shared" ca="1" si="60"/>
        <v>0</v>
      </c>
      <c r="V170" s="359">
        <f t="shared" ca="1" si="61"/>
        <v>1.2117704736760186</v>
      </c>
      <c r="W170" s="357">
        <f t="shared" ca="1" si="62"/>
        <v>48.850273711567702</v>
      </c>
      <c r="X170" s="343"/>
      <c r="Y170" s="367" t="str">
        <f t="shared" ca="1" si="80"/>
        <v/>
      </c>
      <c r="Z170" s="368" t="str">
        <f t="shared" ca="1" si="81"/>
        <v/>
      </c>
      <c r="AA170" s="369" t="str">
        <f t="shared" ca="1" si="82"/>
        <v/>
      </c>
      <c r="AB170" s="344"/>
      <c r="AC170" s="363" t="e">
        <f t="shared" ca="1" si="83"/>
        <v>#N/A</v>
      </c>
      <c r="AD170" s="376" t="e">
        <f t="shared" ca="1" si="84"/>
        <v>#N/A</v>
      </c>
      <c r="AE170" s="377">
        <f t="shared" ca="1" si="63"/>
        <v>108.58245753465664</v>
      </c>
      <c r="AF170" s="344"/>
      <c r="AG170" s="359">
        <f t="shared" ca="1" si="85"/>
        <v>75.019740028598932</v>
      </c>
      <c r="AH170" s="357">
        <f t="shared" ca="1" si="86"/>
        <v>84.610793515904575</v>
      </c>
    </row>
    <row r="171" spans="1:34" x14ac:dyDescent="0.25">
      <c r="A171" s="402">
        <f t="shared" ca="1" si="64"/>
        <v>0.01</v>
      </c>
      <c r="B171" s="357">
        <f t="shared" ca="1" si="65"/>
        <v>1.6700000000000013</v>
      </c>
      <c r="C171" s="342"/>
      <c r="D171" s="359">
        <f t="shared" ca="1" si="66"/>
        <v>17.761395776254549</v>
      </c>
      <c r="E171" s="360">
        <f t="shared" ca="1" si="67"/>
        <v>72.7812189690341</v>
      </c>
      <c r="F171" s="357">
        <f t="shared" ca="1" si="68"/>
        <v>74.917107622620094</v>
      </c>
      <c r="G171" s="359">
        <f t="shared" ca="1" si="69"/>
        <v>28.112653208063428</v>
      </c>
      <c r="H171" s="360">
        <f t="shared" ca="1" si="70"/>
        <v>130.62689065708619</v>
      </c>
      <c r="I171" s="357">
        <f t="shared" ca="1" si="71"/>
        <v>133.61776017107601</v>
      </c>
      <c r="J171" s="359">
        <f t="shared" ca="1" si="72"/>
        <v>22.324888668878557</v>
      </c>
      <c r="K171" s="360">
        <f t="shared" ca="1" si="73"/>
        <v>109.88508738027905</v>
      </c>
      <c r="L171" s="357">
        <f t="shared" ca="1" si="58"/>
        <v>112.12998297801255</v>
      </c>
      <c r="M171" s="359">
        <f t="shared" ca="1" si="74"/>
        <v>1.3588162340185133</v>
      </c>
      <c r="N171" s="357">
        <f t="shared" ca="1" si="75"/>
        <v>77.854435343121608</v>
      </c>
      <c r="O171" s="343"/>
      <c r="P171" s="363">
        <f t="shared" ca="1" si="76"/>
        <v>7</v>
      </c>
      <c r="Q171" s="357">
        <f t="shared" ca="1" si="77"/>
        <v>949.89999999999975</v>
      </c>
      <c r="R171" s="359">
        <f t="shared" ca="1" si="78"/>
        <v>0.47583555460997418</v>
      </c>
      <c r="S171" s="360">
        <f t="shared" ca="1" si="79"/>
        <v>10.665904896583935</v>
      </c>
      <c r="T171" s="357">
        <f t="shared" ca="1" si="59"/>
        <v>104.63252703548841</v>
      </c>
      <c r="U171" s="364">
        <f t="shared" ca="1" si="60"/>
        <v>0</v>
      </c>
      <c r="V171" s="359">
        <f t="shared" ca="1" si="61"/>
        <v>1.2116126304097763</v>
      </c>
      <c r="W171" s="357">
        <f t="shared" ca="1" si="62"/>
        <v>49.396060002237348</v>
      </c>
      <c r="X171" s="343"/>
      <c r="Y171" s="367" t="str">
        <f t="shared" ca="1" si="80"/>
        <v/>
      </c>
      <c r="Z171" s="368" t="str">
        <f t="shared" ca="1" si="81"/>
        <v/>
      </c>
      <c r="AA171" s="369" t="str">
        <f t="shared" ca="1" si="82"/>
        <v/>
      </c>
      <c r="AB171" s="344"/>
      <c r="AC171" s="363" t="e">
        <f t="shared" ca="1" si="83"/>
        <v>#N/A</v>
      </c>
      <c r="AD171" s="376" t="e">
        <f t="shared" ca="1" si="84"/>
        <v>#N/A</v>
      </c>
      <c r="AE171" s="377">
        <f t="shared" ca="1" si="63"/>
        <v>109.88508738027905</v>
      </c>
      <c r="AF171" s="344"/>
      <c r="AG171" s="359">
        <f t="shared" ca="1" si="85"/>
        <v>74.888711345173803</v>
      </c>
      <c r="AH171" s="357">
        <f t="shared" ca="1" si="86"/>
        <v>84.479445018961229</v>
      </c>
    </row>
    <row r="172" spans="1:34" x14ac:dyDescent="0.25">
      <c r="A172" s="402">
        <f t="shared" ca="1" si="64"/>
        <v>0.01</v>
      </c>
      <c r="B172" s="357">
        <f t="shared" ca="1" si="65"/>
        <v>1.6800000000000013</v>
      </c>
      <c r="C172" s="342"/>
      <c r="D172" s="359">
        <f t="shared" ca="1" si="66"/>
        <v>17.746435015392862</v>
      </c>
      <c r="E172" s="360">
        <f t="shared" ca="1" si="67"/>
        <v>72.649724066311251</v>
      </c>
      <c r="F172" s="357">
        <f t="shared" ca="1" si="68"/>
        <v>74.785816587550386</v>
      </c>
      <c r="G172" s="359">
        <f t="shared" ca="1" si="69"/>
        <v>28.290117558217357</v>
      </c>
      <c r="H172" s="360">
        <f t="shared" ca="1" si="70"/>
        <v>131.35338789774931</v>
      </c>
      <c r="I172" s="357">
        <f t="shared" ca="1" si="71"/>
        <v>134.36533505214192</v>
      </c>
      <c r="J172" s="359">
        <f t="shared" ca="1" si="72"/>
        <v>22.606902522709962</v>
      </c>
      <c r="K172" s="360">
        <f t="shared" ca="1" si="73"/>
        <v>111.19498877305323</v>
      </c>
      <c r="L172" s="357">
        <f t="shared" ca="1" si="58"/>
        <v>113.46980906792231</v>
      </c>
      <c r="M172" s="359">
        <f t="shared" ca="1" si="74"/>
        <v>1.3586626240438535</v>
      </c>
      <c r="N172" s="357">
        <f t="shared" ca="1" si="75"/>
        <v>77.845634139882492</v>
      </c>
      <c r="O172" s="343"/>
      <c r="P172" s="363">
        <f t="shared" ca="1" si="76"/>
        <v>7</v>
      </c>
      <c r="Q172" s="357">
        <f t="shared" ca="1" si="77"/>
        <v>948.64025974025958</v>
      </c>
      <c r="R172" s="359">
        <f t="shared" ca="1" si="78"/>
        <v>0.47520451007354086</v>
      </c>
      <c r="S172" s="360">
        <f t="shared" ca="1" si="79"/>
        <v>10.6611528514832</v>
      </c>
      <c r="T172" s="357">
        <f t="shared" ca="1" si="59"/>
        <v>104.58590947305019</v>
      </c>
      <c r="U172" s="364">
        <f t="shared" ca="1" si="60"/>
        <v>0</v>
      </c>
      <c r="V172" s="359">
        <f t="shared" ca="1" si="61"/>
        <v>1.2114539266490103</v>
      </c>
      <c r="W172" s="357">
        <f t="shared" ca="1" si="62"/>
        <v>49.943793178197161</v>
      </c>
      <c r="X172" s="343"/>
      <c r="Y172" s="367" t="str">
        <f t="shared" ca="1" si="80"/>
        <v/>
      </c>
      <c r="Z172" s="368" t="str">
        <f t="shared" ca="1" si="81"/>
        <v/>
      </c>
      <c r="AA172" s="369" t="str">
        <f t="shared" ca="1" si="82"/>
        <v/>
      </c>
      <c r="AB172" s="344"/>
      <c r="AC172" s="363" t="e">
        <f t="shared" ca="1" si="83"/>
        <v>#N/A</v>
      </c>
      <c r="AD172" s="376" t="e">
        <f t="shared" ca="1" si="84"/>
        <v>#N/A</v>
      </c>
      <c r="AE172" s="377">
        <f t="shared" ca="1" si="63"/>
        <v>111.19498877305323</v>
      </c>
      <c r="AF172" s="344"/>
      <c r="AG172" s="359">
        <f t="shared" ca="1" si="85"/>
        <v>74.757329582201578</v>
      </c>
      <c r="AH172" s="357">
        <f t="shared" ca="1" si="86"/>
        <v>84.347744776299464</v>
      </c>
    </row>
    <row r="173" spans="1:34" x14ac:dyDescent="0.25">
      <c r="A173" s="402">
        <f t="shared" ca="1" si="64"/>
        <v>0.01</v>
      </c>
      <c r="B173" s="357">
        <f t="shared" ca="1" si="65"/>
        <v>1.6900000000000013</v>
      </c>
      <c r="C173" s="342"/>
      <c r="D173" s="359">
        <f t="shared" ca="1" si="66"/>
        <v>17.731298753135793</v>
      </c>
      <c r="E173" s="360">
        <f t="shared" ca="1" si="67"/>
        <v>72.517906847987135</v>
      </c>
      <c r="F173" s="357">
        <f t="shared" ca="1" si="68"/>
        <v>74.654174492028872</v>
      </c>
      <c r="G173" s="359">
        <f t="shared" ca="1" si="69"/>
        <v>28.467430545748716</v>
      </c>
      <c r="H173" s="360">
        <f t="shared" ca="1" si="70"/>
        <v>132.07856696622918</v>
      </c>
      <c r="I173" s="357">
        <f t="shared" ca="1" si="71"/>
        <v>135.11159259563817</v>
      </c>
      <c r="J173" s="359">
        <f t="shared" ca="1" si="72"/>
        <v>22.890690263229793</v>
      </c>
      <c r="K173" s="360">
        <f t="shared" ca="1" si="73"/>
        <v>112.51214854737312</v>
      </c>
      <c r="L173" s="357">
        <f t="shared" ca="1" si="58"/>
        <v>114.81710356681742</v>
      </c>
      <c r="M173" s="359">
        <f t="shared" ca="1" si="74"/>
        <v>1.3585097534654986</v>
      </c>
      <c r="N173" s="357">
        <f t="shared" ca="1" si="75"/>
        <v>77.836875300931027</v>
      </c>
      <c r="O173" s="343"/>
      <c r="P173" s="363">
        <f t="shared" ca="1" si="76"/>
        <v>7</v>
      </c>
      <c r="Q173" s="357">
        <f t="shared" ca="1" si="77"/>
        <v>947.3805194805193</v>
      </c>
      <c r="R173" s="359">
        <f t="shared" ca="1" si="78"/>
        <v>0.47457346553710755</v>
      </c>
      <c r="S173" s="360">
        <f t="shared" ca="1" si="79"/>
        <v>10.656407116827829</v>
      </c>
      <c r="T173" s="357">
        <f t="shared" ca="1" si="59"/>
        <v>104.539353816081</v>
      </c>
      <c r="U173" s="364">
        <f t="shared" ca="1" si="60"/>
        <v>0</v>
      </c>
      <c r="V173" s="359">
        <f t="shared" ca="1" si="61"/>
        <v>1.2112943643287759</v>
      </c>
      <c r="W173" s="357">
        <f t="shared" ca="1" si="62"/>
        <v>50.493452377333952</v>
      </c>
      <c r="X173" s="343"/>
      <c r="Y173" s="367" t="str">
        <f t="shared" ca="1" si="80"/>
        <v/>
      </c>
      <c r="Z173" s="368" t="str">
        <f t="shared" ca="1" si="81"/>
        <v/>
      </c>
      <c r="AA173" s="369" t="str">
        <f t="shared" ca="1" si="82"/>
        <v/>
      </c>
      <c r="AB173" s="344"/>
      <c r="AC173" s="363" t="e">
        <f t="shared" ca="1" si="83"/>
        <v>#N/A</v>
      </c>
      <c r="AD173" s="376" t="e">
        <f t="shared" ca="1" si="84"/>
        <v>#N/A</v>
      </c>
      <c r="AE173" s="377">
        <f t="shared" ca="1" si="63"/>
        <v>112.51214854737312</v>
      </c>
      <c r="AF173" s="344"/>
      <c r="AG173" s="359">
        <f t="shared" ca="1" si="85"/>
        <v>74.625596475694181</v>
      </c>
      <c r="AH173" s="357">
        <f t="shared" ca="1" si="86"/>
        <v>84.21569450787544</v>
      </c>
    </row>
    <row r="174" spans="1:34" x14ac:dyDescent="0.25">
      <c r="A174" s="402">
        <f t="shared" ca="1" si="64"/>
        <v>0.01</v>
      </c>
      <c r="B174" s="357">
        <f t="shared" ca="1" si="65"/>
        <v>1.7000000000000013</v>
      </c>
      <c r="C174" s="342"/>
      <c r="D174" s="359">
        <f t="shared" ca="1" si="66"/>
        <v>17.715988252524923</v>
      </c>
      <c r="E174" s="360">
        <f t="shared" ca="1" si="67"/>
        <v>72.385768846215015</v>
      </c>
      <c r="F174" s="357">
        <f t="shared" ca="1" si="68"/>
        <v>74.522183081423975</v>
      </c>
      <c r="G174" s="359">
        <f t="shared" ca="1" si="69"/>
        <v>28.644590428273965</v>
      </c>
      <c r="H174" s="360">
        <f t="shared" ca="1" si="70"/>
        <v>132.80242465469132</v>
      </c>
      <c r="I174" s="357">
        <f t="shared" ca="1" si="71"/>
        <v>135.85652930561906</v>
      </c>
      <c r="J174" s="359">
        <f t="shared" ca="1" si="72"/>
        <v>23.176250368099907</v>
      </c>
      <c r="K174" s="360">
        <f t="shared" ca="1" si="73"/>
        <v>113.83655350547772</v>
      </c>
      <c r="L174" s="357">
        <f t="shared" ca="1" si="58"/>
        <v>116.1718532826706</v>
      </c>
      <c r="M174" s="359">
        <f t="shared" ca="1" si="74"/>
        <v>1.3583576132069155</v>
      </c>
      <c r="N174" s="357">
        <f t="shared" ca="1" si="75"/>
        <v>77.828158306220189</v>
      </c>
      <c r="O174" s="343"/>
      <c r="P174" s="363">
        <f t="shared" ca="1" si="76"/>
        <v>7</v>
      </c>
      <c r="Q174" s="357">
        <f t="shared" ca="1" si="77"/>
        <v>946.12077922077901</v>
      </c>
      <c r="R174" s="359">
        <f t="shared" ca="1" si="78"/>
        <v>0.47394242100067419</v>
      </c>
      <c r="S174" s="360">
        <f t="shared" ca="1" si="79"/>
        <v>10.651667692617822</v>
      </c>
      <c r="T174" s="357">
        <f t="shared" ca="1" si="59"/>
        <v>104.49286006458084</v>
      </c>
      <c r="U174" s="364">
        <f t="shared" ca="1" si="60"/>
        <v>0</v>
      </c>
      <c r="V174" s="359">
        <f t="shared" ca="1" si="61"/>
        <v>1.2111339453889611</v>
      </c>
      <c r="W174" s="357">
        <f t="shared" ca="1" si="62"/>
        <v>51.045016726090871</v>
      </c>
      <c r="X174" s="343"/>
      <c r="Y174" s="367" t="str">
        <f t="shared" ca="1" si="80"/>
        <v/>
      </c>
      <c r="Z174" s="368" t="str">
        <f t="shared" ca="1" si="81"/>
        <v/>
      </c>
      <c r="AA174" s="369" t="str">
        <f t="shared" ca="1" si="82"/>
        <v/>
      </c>
      <c r="AB174" s="344"/>
      <c r="AC174" s="363" t="e">
        <f t="shared" ca="1" si="83"/>
        <v>#N/A</v>
      </c>
      <c r="AD174" s="376" t="e">
        <f t="shared" ca="1" si="84"/>
        <v>#N/A</v>
      </c>
      <c r="AE174" s="377">
        <f t="shared" ca="1" si="63"/>
        <v>113.83655350547772</v>
      </c>
      <c r="AF174" s="344"/>
      <c r="AG174" s="359">
        <f t="shared" ca="1" si="85"/>
        <v>74.49351376685479</v>
      </c>
      <c r="AH174" s="357">
        <f t="shared" ca="1" si="86"/>
        <v>84.083295939110357</v>
      </c>
    </row>
    <row r="175" spans="1:34" x14ac:dyDescent="0.25">
      <c r="A175" s="402">
        <f t="shared" ca="1" si="64"/>
        <v>0.01</v>
      </c>
      <c r="B175" s="357">
        <f t="shared" ca="1" si="65"/>
        <v>1.7100000000000013</v>
      </c>
      <c r="C175" s="342"/>
      <c r="D175" s="359">
        <f t="shared" ca="1" si="66"/>
        <v>17.700504761958751</v>
      </c>
      <c r="E175" s="360">
        <f t="shared" ca="1" si="67"/>
        <v>72.253311601054577</v>
      </c>
      <c r="F175" s="357">
        <f t="shared" ca="1" si="68"/>
        <v>74.389844106216628</v>
      </c>
      <c r="G175" s="359">
        <f t="shared" ca="1" si="69"/>
        <v>28.821595475893552</v>
      </c>
      <c r="H175" s="360">
        <f t="shared" ca="1" si="70"/>
        <v>133.52495777070186</v>
      </c>
      <c r="I175" s="357">
        <f t="shared" ca="1" si="71"/>
        <v>136.6001417036006</v>
      </c>
      <c r="J175" s="359">
        <f t="shared" ca="1" si="72"/>
        <v>23.463581297620745</v>
      </c>
      <c r="K175" s="360">
        <f t="shared" ca="1" si="73"/>
        <v>115.16819041760469</v>
      </c>
      <c r="L175" s="357">
        <f t="shared" ca="1" si="58"/>
        <v>117.53404498857219</v>
      </c>
      <c r="M175" s="359">
        <f t="shared" ca="1" si="74"/>
        <v>1.358206194350974</v>
      </c>
      <c r="N175" s="357">
        <f t="shared" ca="1" si="75"/>
        <v>77.819482644836043</v>
      </c>
      <c r="O175" s="343"/>
      <c r="P175" s="363">
        <f t="shared" ca="1" si="76"/>
        <v>7</v>
      </c>
      <c r="Q175" s="357">
        <f t="shared" ca="1" si="77"/>
        <v>944.86103896103873</v>
      </c>
      <c r="R175" s="359">
        <f t="shared" ca="1" si="78"/>
        <v>0.47331137646424087</v>
      </c>
      <c r="S175" s="360">
        <f t="shared" ca="1" si="79"/>
        <v>10.64693457885318</v>
      </c>
      <c r="T175" s="357">
        <f t="shared" ca="1" si="59"/>
        <v>104.4464282185497</v>
      </c>
      <c r="U175" s="364">
        <f t="shared" ca="1" si="60"/>
        <v>0</v>
      </c>
      <c r="V175" s="359">
        <f t="shared" ca="1" si="61"/>
        <v>1.2109726717742513</v>
      </c>
      <c r="W175" s="357">
        <f t="shared" ca="1" si="62"/>
        <v>51.598465340308067</v>
      </c>
      <c r="X175" s="343"/>
      <c r="Y175" s="367" t="str">
        <f t="shared" ca="1" si="80"/>
        <v/>
      </c>
      <c r="Z175" s="368" t="str">
        <f t="shared" ca="1" si="81"/>
        <v/>
      </c>
      <c r="AA175" s="369" t="str">
        <f t="shared" ca="1" si="82"/>
        <v/>
      </c>
      <c r="AB175" s="344"/>
      <c r="AC175" s="363" t="e">
        <f t="shared" ca="1" si="83"/>
        <v>#N/A</v>
      </c>
      <c r="AD175" s="376" t="e">
        <f t="shared" ca="1" si="84"/>
        <v>#N/A</v>
      </c>
      <c r="AE175" s="377">
        <f t="shared" ca="1" si="63"/>
        <v>115.16819041760469</v>
      </c>
      <c r="AF175" s="344"/>
      <c r="AG175" s="359">
        <f t="shared" ca="1" si="85"/>
        <v>74.361083202006753</v>
      </c>
      <c r="AH175" s="357">
        <f t="shared" ca="1" si="86"/>
        <v>83.950550800813119</v>
      </c>
    </row>
    <row r="176" spans="1:34" x14ac:dyDescent="0.25">
      <c r="A176" s="402">
        <f t="shared" ca="1" si="64"/>
        <v>0.01</v>
      </c>
      <c r="B176" s="357">
        <f t="shared" ca="1" si="65"/>
        <v>1.7200000000000013</v>
      </c>
      <c r="C176" s="342"/>
      <c r="D176" s="359">
        <f t="shared" ca="1" si="66"/>
        <v>17.684849515564526</v>
      </c>
      <c r="E176" s="360">
        <f t="shared" ca="1" si="67"/>
        <v>72.12053666033249</v>
      </c>
      <c r="F176" s="357">
        <f t="shared" ca="1" si="68"/>
        <v>74.257159321930203</v>
      </c>
      <c r="G176" s="359">
        <f t="shared" ca="1" si="69"/>
        <v>28.998443971049198</v>
      </c>
      <c r="H176" s="360">
        <f t="shared" ca="1" si="70"/>
        <v>134.24616313730519</v>
      </c>
      <c r="I176" s="357">
        <f t="shared" ca="1" si="71"/>
        <v>137.34242632861137</v>
      </c>
      <c r="J176" s="359">
        <f t="shared" ca="1" si="72"/>
        <v>23.752681494855459</v>
      </c>
      <c r="K176" s="360">
        <f t="shared" ca="1" si="73"/>
        <v>116.50704602214472</v>
      </c>
      <c r="L176" s="357">
        <f t="shared" ca="1" si="58"/>
        <v>118.90366542290526</v>
      </c>
      <c r="M176" s="359">
        <f t="shared" ca="1" si="74"/>
        <v>1.3580554881361813</v>
      </c>
      <c r="N176" s="357">
        <f t="shared" ca="1" si="75"/>
        <v>77.810847814782022</v>
      </c>
      <c r="O176" s="343"/>
      <c r="P176" s="363">
        <f t="shared" ca="1" si="76"/>
        <v>7</v>
      </c>
      <c r="Q176" s="357">
        <f t="shared" ca="1" si="77"/>
        <v>943.60129870129845</v>
      </c>
      <c r="R176" s="359">
        <f t="shared" ca="1" si="78"/>
        <v>0.47268033192780751</v>
      </c>
      <c r="S176" s="360">
        <f t="shared" ca="1" si="79"/>
        <v>10.642207775533903</v>
      </c>
      <c r="T176" s="357">
        <f t="shared" ca="1" si="59"/>
        <v>104.4000582779876</v>
      </c>
      <c r="U176" s="364">
        <f t="shared" ca="1" si="60"/>
        <v>0</v>
      </c>
      <c r="V176" s="359">
        <f t="shared" ca="1" si="61"/>
        <v>1.2108105454340945</v>
      </c>
      <c r="W176" s="357">
        <f t="shared" ca="1" si="62"/>
        <v>52.153777326062446</v>
      </c>
      <c r="X176" s="343"/>
      <c r="Y176" s="367" t="str">
        <f t="shared" ca="1" si="80"/>
        <v/>
      </c>
      <c r="Z176" s="368" t="str">
        <f t="shared" ca="1" si="81"/>
        <v/>
      </c>
      <c r="AA176" s="369" t="str">
        <f t="shared" ca="1" si="82"/>
        <v/>
      </c>
      <c r="AB176" s="344"/>
      <c r="AC176" s="363" t="e">
        <f t="shared" ca="1" si="83"/>
        <v>#N/A</v>
      </c>
      <c r="AD176" s="376" t="e">
        <f t="shared" ca="1" si="84"/>
        <v>#N/A</v>
      </c>
      <c r="AE176" s="377">
        <f t="shared" ca="1" si="63"/>
        <v>116.50704602214472</v>
      </c>
      <c r="AF176" s="344"/>
      <c r="AG176" s="359">
        <f t="shared" ca="1" si="85"/>
        <v>74.228306532522708</v>
      </c>
      <c r="AH176" s="357">
        <f t="shared" ca="1" si="86"/>
        <v>83.817460829103197</v>
      </c>
    </row>
    <row r="177" spans="1:34" x14ac:dyDescent="0.25">
      <c r="A177" s="402">
        <f t="shared" ca="1" si="64"/>
        <v>0.01</v>
      </c>
      <c r="B177" s="357">
        <f t="shared" ca="1" si="65"/>
        <v>1.7300000000000013</v>
      </c>
      <c r="C177" s="342"/>
      <c r="D177" s="359">
        <f t="shared" ca="1" si="66"/>
        <v>17.669023733558436</v>
      </c>
      <c r="E177" s="360">
        <f t="shared" ca="1" si="67"/>
        <v>71.987445579504396</v>
      </c>
      <c r="F177" s="357">
        <f t="shared" ca="1" si="68"/>
        <v>74.124130489059752</v>
      </c>
      <c r="G177" s="359">
        <f t="shared" ca="1" si="69"/>
        <v>29.175134208384783</v>
      </c>
      <c r="H177" s="360">
        <f t="shared" ca="1" si="70"/>
        <v>134.96603759310022</v>
      </c>
      <c r="I177" s="357">
        <f t="shared" ca="1" si="71"/>
        <v>138.08337973724213</v>
      </c>
      <c r="J177" s="359">
        <f t="shared" ca="1" si="72"/>
        <v>24.04354938575263</v>
      </c>
      <c r="K177" s="360">
        <f t="shared" ca="1" si="73"/>
        <v>117.85310702579675</v>
      </c>
      <c r="L177" s="357">
        <f t="shared" ca="1" si="58"/>
        <v>120.2807012895212</v>
      </c>
      <c r="M177" s="359">
        <f t="shared" ca="1" si="74"/>
        <v>1.3579054859530251</v>
      </c>
      <c r="N177" s="357">
        <f t="shared" ca="1" si="75"/>
        <v>77.802253322769431</v>
      </c>
      <c r="O177" s="343"/>
      <c r="P177" s="363">
        <f t="shared" ca="1" si="76"/>
        <v>7</v>
      </c>
      <c r="Q177" s="357">
        <f t="shared" ca="1" si="77"/>
        <v>942.34155844155828</v>
      </c>
      <c r="R177" s="359">
        <f t="shared" ca="1" si="78"/>
        <v>0.47204928739137425</v>
      </c>
      <c r="S177" s="360">
        <f t="shared" ca="1" si="79"/>
        <v>10.63748728265999</v>
      </c>
      <c r="T177" s="357">
        <f t="shared" ca="1" si="59"/>
        <v>104.35375024289451</v>
      </c>
      <c r="U177" s="364">
        <f t="shared" ca="1" si="60"/>
        <v>0</v>
      </c>
      <c r="V177" s="359">
        <f t="shared" ca="1" si="61"/>
        <v>1.2106475683226674</v>
      </c>
      <c r="W177" s="357">
        <f t="shared" ca="1" si="62"/>
        <v>52.710931780505632</v>
      </c>
      <c r="X177" s="343"/>
      <c r="Y177" s="367" t="str">
        <f t="shared" ca="1" si="80"/>
        <v/>
      </c>
      <c r="Z177" s="368" t="str">
        <f t="shared" ca="1" si="81"/>
        <v/>
      </c>
      <c r="AA177" s="369" t="str">
        <f t="shared" ca="1" si="82"/>
        <v/>
      </c>
      <c r="AB177" s="344"/>
      <c r="AC177" s="363" t="e">
        <f t="shared" ca="1" si="83"/>
        <v>#N/A</v>
      </c>
      <c r="AD177" s="376" t="e">
        <f t="shared" ca="1" si="84"/>
        <v>#N/A</v>
      </c>
      <c r="AE177" s="377">
        <f t="shared" ca="1" si="63"/>
        <v>117.85310702579675</v>
      </c>
      <c r="AF177" s="344"/>
      <c r="AG177" s="359">
        <f t="shared" ca="1" si="85"/>
        <v>74.095185514753027</v>
      </c>
      <c r="AH177" s="357">
        <f t="shared" ca="1" si="86"/>
        <v>83.684027765333056</v>
      </c>
    </row>
    <row r="178" spans="1:34" x14ac:dyDescent="0.25">
      <c r="A178" s="402">
        <f t="shared" ca="1" si="64"/>
        <v>0.01</v>
      </c>
      <c r="B178" s="357">
        <f t="shared" ca="1" si="65"/>
        <v>1.7400000000000013</v>
      </c>
      <c r="C178" s="342"/>
      <c r="D178" s="359">
        <f t="shared" ca="1" si="66"/>
        <v>17.653028622594817</v>
      </c>
      <c r="E178" s="360">
        <f t="shared" ca="1" si="67"/>
        <v>71.854039921518876</v>
      </c>
      <c r="F178" s="357">
        <f t="shared" ca="1" si="68"/>
        <v>73.99075937300131</v>
      </c>
      <c r="G178" s="359">
        <f t="shared" ca="1" si="69"/>
        <v>29.351664494610731</v>
      </c>
      <c r="H178" s="360">
        <f t="shared" ca="1" si="70"/>
        <v>135.68457799231541</v>
      </c>
      <c r="I178" s="357">
        <f t="shared" ca="1" si="71"/>
        <v>138.82299850369503</v>
      </c>
      <c r="J178" s="359">
        <f t="shared" ca="1" si="72"/>
        <v>24.336183379267609</v>
      </c>
      <c r="K178" s="360">
        <f t="shared" ca="1" si="73"/>
        <v>119.20636010372382</v>
      </c>
      <c r="L178" s="357">
        <f t="shared" ca="1" si="58"/>
        <v>121.6651392579157</v>
      </c>
      <c r="M178" s="359">
        <f t="shared" ca="1" si="74"/>
        <v>1.3577561793404282</v>
      </c>
      <c r="N178" s="357">
        <f t="shared" ca="1" si="75"/>
        <v>77.793698684014231</v>
      </c>
      <c r="O178" s="343"/>
      <c r="P178" s="363">
        <f t="shared" ca="1" si="76"/>
        <v>7</v>
      </c>
      <c r="Q178" s="357">
        <f t="shared" ca="1" si="77"/>
        <v>941.08181818181799</v>
      </c>
      <c r="R178" s="359">
        <f t="shared" ca="1" si="78"/>
        <v>0.47141824285494088</v>
      </c>
      <c r="S178" s="360">
        <f t="shared" ca="1" si="79"/>
        <v>10.632773100231441</v>
      </c>
      <c r="T178" s="357">
        <f t="shared" ca="1" si="59"/>
        <v>104.30750411327044</v>
      </c>
      <c r="U178" s="364">
        <f t="shared" ca="1" si="60"/>
        <v>0</v>
      </c>
      <c r="V178" s="359">
        <f t="shared" ca="1" si="61"/>
        <v>1.2104837423988422</v>
      </c>
      <c r="W178" s="357">
        <f t="shared" ca="1" si="62"/>
        <v>53.26990779270065</v>
      </c>
      <c r="X178" s="343"/>
      <c r="Y178" s="367" t="str">
        <f t="shared" ca="1" si="80"/>
        <v/>
      </c>
      <c r="Z178" s="368" t="str">
        <f t="shared" ca="1" si="81"/>
        <v/>
      </c>
      <c r="AA178" s="369" t="str">
        <f t="shared" ca="1" si="82"/>
        <v/>
      </c>
      <c r="AB178" s="344"/>
      <c r="AC178" s="363" t="e">
        <f t="shared" ca="1" si="83"/>
        <v>#N/A</v>
      </c>
      <c r="AD178" s="376" t="e">
        <f t="shared" ca="1" si="84"/>
        <v>#N/A</v>
      </c>
      <c r="AE178" s="377">
        <f t="shared" ca="1" si="63"/>
        <v>119.20636010372382</v>
      </c>
      <c r="AF178" s="344"/>
      <c r="AG178" s="359">
        <f t="shared" ca="1" si="85"/>
        <v>73.961721909954164</v>
      </c>
      <c r="AH178" s="357">
        <f t="shared" ca="1" si="86"/>
        <v>83.550253356010714</v>
      </c>
    </row>
    <row r="179" spans="1:34" x14ac:dyDescent="0.25">
      <c r="A179" s="402">
        <f t="shared" ca="1" si="64"/>
        <v>0.01</v>
      </c>
      <c r="B179" s="357">
        <f t="shared" ca="1" si="65"/>
        <v>1.7500000000000013</v>
      </c>
      <c r="C179" s="342"/>
      <c r="D179" s="359">
        <f t="shared" ca="1" si="66"/>
        <v>17.636865376104289</v>
      </c>
      <c r="E179" s="360">
        <f t="shared" ca="1" si="67"/>
        <v>71.720321256682979</v>
      </c>
      <c r="F179" s="357">
        <f t="shared" ca="1" si="68"/>
        <v>73.857047743980658</v>
      </c>
      <c r="G179" s="359">
        <f t="shared" ca="1" si="69"/>
        <v>29.528033148371772</v>
      </c>
      <c r="H179" s="360">
        <f t="shared" ca="1" si="70"/>
        <v>136.40178120488224</v>
      </c>
      <c r="I179" s="357">
        <f t="shared" ca="1" si="71"/>
        <v>139.56127921983199</v>
      </c>
      <c r="J179" s="359">
        <f t="shared" ca="1" si="72"/>
        <v>24.630581867482523</v>
      </c>
      <c r="K179" s="360">
        <f t="shared" ca="1" si="73"/>
        <v>120.56679189970981</v>
      </c>
      <c r="L179" s="357">
        <f t="shared" ca="1" si="58"/>
        <v>123.0569659634053</v>
      </c>
      <c r="M179" s="359">
        <f t="shared" ca="1" si="74"/>
        <v>1.3576075599823025</v>
      </c>
      <c r="N179" s="357">
        <f t="shared" ca="1" si="75"/>
        <v>77.785183422039694</v>
      </c>
      <c r="O179" s="343"/>
      <c r="P179" s="363">
        <f t="shared" ca="1" si="76"/>
        <v>7</v>
      </c>
      <c r="Q179" s="357">
        <f t="shared" ca="1" si="77"/>
        <v>939.82207792207771</v>
      </c>
      <c r="R179" s="359">
        <f t="shared" ca="1" si="78"/>
        <v>0.47078719831850757</v>
      </c>
      <c r="S179" s="360">
        <f t="shared" ca="1" si="79"/>
        <v>10.628065228248255</v>
      </c>
      <c r="T179" s="357">
        <f t="shared" ca="1" si="59"/>
        <v>104.26131988911538</v>
      </c>
      <c r="U179" s="364">
        <f t="shared" ca="1" si="60"/>
        <v>0</v>
      </c>
      <c r="V179" s="359">
        <f t="shared" ca="1" si="61"/>
        <v>1.2103190696261497</v>
      </c>
      <c r="W179" s="357">
        <f t="shared" ca="1" si="62"/>
        <v>53.830684444456629</v>
      </c>
      <c r="X179" s="343"/>
      <c r="Y179" s="367" t="str">
        <f t="shared" ca="1" si="80"/>
        <v/>
      </c>
      <c r="Z179" s="368" t="str">
        <f t="shared" ca="1" si="81"/>
        <v/>
      </c>
      <c r="AA179" s="369" t="str">
        <f t="shared" ca="1" si="82"/>
        <v/>
      </c>
      <c r="AB179" s="344"/>
      <c r="AC179" s="363" t="e">
        <f t="shared" ca="1" si="83"/>
        <v>#N/A</v>
      </c>
      <c r="AD179" s="376" t="e">
        <f t="shared" ca="1" si="84"/>
        <v>#N/A</v>
      </c>
      <c r="AE179" s="377">
        <f t="shared" ca="1" si="63"/>
        <v>120.56679189970981</v>
      </c>
      <c r="AF179" s="344"/>
      <c r="AG179" s="359">
        <f t="shared" ca="1" si="85"/>
        <v>73.827917484216783</v>
      </c>
      <c r="AH179" s="357">
        <f t="shared" ca="1" si="86"/>
        <v>83.416139352722141</v>
      </c>
    </row>
    <row r="180" spans="1:34" x14ac:dyDescent="0.25">
      <c r="A180" s="402">
        <f t="shared" ca="1" si="64"/>
        <v>0.01</v>
      </c>
      <c r="B180" s="357">
        <f t="shared" ca="1" si="65"/>
        <v>1.7600000000000013</v>
      </c>
      <c r="C180" s="342"/>
      <c r="D180" s="359">
        <f t="shared" ca="1" si="66"/>
        <v>17.620535174621718</v>
      </c>
      <c r="E180" s="360">
        <f t="shared" ca="1" si="67"/>
        <v>71.58629116252925</v>
      </c>
      <c r="F180" s="357">
        <f t="shared" ca="1" si="68"/>
        <v>73.722997376981994</v>
      </c>
      <c r="G180" s="359">
        <f t="shared" ca="1" si="69"/>
        <v>29.704238500117988</v>
      </c>
      <c r="H180" s="360">
        <f t="shared" ca="1" si="70"/>
        <v>137.11764411650753</v>
      </c>
      <c r="I180" s="357">
        <f t="shared" ca="1" si="71"/>
        <v>140.29821849522219</v>
      </c>
      <c r="J180" s="359">
        <f t="shared" ca="1" si="72"/>
        <v>24.926743225724973</v>
      </c>
      <c r="K180" s="360">
        <f t="shared" ca="1" si="73"/>
        <v>121.93438902631677</v>
      </c>
      <c r="L180" s="357">
        <f t="shared" ca="1" si="58"/>
        <v>124.45616800730441</v>
      </c>
      <c r="M180" s="359">
        <f t="shared" ca="1" si="74"/>
        <v>1.3574596197042039</v>
      </c>
      <c r="N180" s="357">
        <f t="shared" ca="1" si="75"/>
        <v>77.776707068484654</v>
      </c>
      <c r="O180" s="343"/>
      <c r="P180" s="363">
        <f t="shared" ca="1" si="76"/>
        <v>7</v>
      </c>
      <c r="Q180" s="357">
        <f t="shared" ca="1" si="77"/>
        <v>938.56233766233743</v>
      </c>
      <c r="R180" s="359">
        <f t="shared" ca="1" si="78"/>
        <v>0.4701561537820742</v>
      </c>
      <c r="S180" s="360">
        <f t="shared" ca="1" si="79"/>
        <v>10.623363666710434</v>
      </c>
      <c r="T180" s="357">
        <f t="shared" ca="1" si="59"/>
        <v>104.21519757042937</v>
      </c>
      <c r="U180" s="364">
        <f t="shared" ca="1" si="60"/>
        <v>0</v>
      </c>
      <c r="V180" s="359">
        <f t="shared" ca="1" si="61"/>
        <v>1.2101535519727471</v>
      </c>
      <c r="W180" s="357">
        <f t="shared" ca="1" si="62"/>
        <v>54.393240811162144</v>
      </c>
      <c r="X180" s="343"/>
      <c r="Y180" s="367" t="str">
        <f t="shared" ca="1" si="80"/>
        <v/>
      </c>
      <c r="Z180" s="368" t="str">
        <f t="shared" ca="1" si="81"/>
        <v/>
      </c>
      <c r="AA180" s="369" t="str">
        <f t="shared" ca="1" si="82"/>
        <v/>
      </c>
      <c r="AB180" s="344"/>
      <c r="AC180" s="363" t="e">
        <f t="shared" ca="1" si="83"/>
        <v>#N/A</v>
      </c>
      <c r="AD180" s="376" t="e">
        <f t="shared" ca="1" si="84"/>
        <v>#N/A</v>
      </c>
      <c r="AE180" s="377">
        <f t="shared" ca="1" si="63"/>
        <v>121.93438902631677</v>
      </c>
      <c r="AF180" s="344"/>
      <c r="AG180" s="359">
        <f t="shared" ca="1" si="85"/>
        <v>73.693774008393419</v>
      </c>
      <c r="AH180" s="357">
        <f t="shared" ca="1" si="86"/>
        <v>83.281687512053452</v>
      </c>
    </row>
    <row r="181" spans="1:34" x14ac:dyDescent="0.25">
      <c r="A181" s="402">
        <f t="shared" ca="1" si="64"/>
        <v>0.01</v>
      </c>
      <c r="B181" s="357">
        <f t="shared" ca="1" si="65"/>
        <v>1.7700000000000014</v>
      </c>
      <c r="C181" s="342"/>
      <c r="D181" s="359">
        <f t="shared" ca="1" si="66"/>
        <v>17.604039186104107</v>
      </c>
      <c r="E181" s="360">
        <f t="shared" ca="1" si="67"/>
        <v>71.451951223684389</v>
      </c>
      <c r="F181" s="357">
        <f t="shared" ca="1" si="68"/>
        <v>73.588610051676213</v>
      </c>
      <c r="G181" s="359">
        <f t="shared" ca="1" si="69"/>
        <v>29.880278891979028</v>
      </c>
      <c r="H181" s="360">
        <f t="shared" ca="1" si="70"/>
        <v>137.83216362874438</v>
      </c>
      <c r="I181" s="357">
        <f t="shared" ca="1" si="71"/>
        <v>141.03381295718916</v>
      </c>
      <c r="J181" s="359">
        <f t="shared" ca="1" si="72"/>
        <v>25.224665812685458</v>
      </c>
      <c r="K181" s="360">
        <f t="shared" ca="1" si="73"/>
        <v>123.30913806504303</v>
      </c>
      <c r="L181" s="357">
        <f t="shared" ca="1" si="58"/>
        <v>125.8627319571028</v>
      </c>
      <c r="M181" s="359">
        <f t="shared" ca="1" si="74"/>
        <v>1.3573123504700857</v>
      </c>
      <c r="N181" s="357">
        <f t="shared" ca="1" si="75"/>
        <v>77.768269162917548</v>
      </c>
      <c r="O181" s="343"/>
      <c r="P181" s="363">
        <f t="shared" ca="1" si="76"/>
        <v>7</v>
      </c>
      <c r="Q181" s="357">
        <f t="shared" ca="1" si="77"/>
        <v>937.30259740259714</v>
      </c>
      <c r="R181" s="359">
        <f t="shared" ca="1" si="78"/>
        <v>0.46952510924564089</v>
      </c>
      <c r="S181" s="360">
        <f t="shared" ca="1" si="79"/>
        <v>10.618668415617977</v>
      </c>
      <c r="T181" s="357">
        <f t="shared" ca="1" si="59"/>
        <v>104.16913715721236</v>
      </c>
      <c r="U181" s="364">
        <f t="shared" ca="1" si="60"/>
        <v>0</v>
      </c>
      <c r="V181" s="359">
        <f t="shared" ca="1" si="61"/>
        <v>1.209987191411382</v>
      </c>
      <c r="W181" s="357">
        <f t="shared" ca="1" si="62"/>
        <v>54.957555962616667</v>
      </c>
      <c r="X181" s="343"/>
      <c r="Y181" s="367" t="str">
        <f t="shared" ca="1" si="80"/>
        <v/>
      </c>
      <c r="Z181" s="368" t="str">
        <f t="shared" ca="1" si="81"/>
        <v/>
      </c>
      <c r="AA181" s="369" t="str">
        <f t="shared" ca="1" si="82"/>
        <v/>
      </c>
      <c r="AB181" s="344"/>
      <c r="AC181" s="363" t="e">
        <f t="shared" ca="1" si="83"/>
        <v>#N/A</v>
      </c>
      <c r="AD181" s="376" t="e">
        <f t="shared" ca="1" si="84"/>
        <v>#N/A</v>
      </c>
      <c r="AE181" s="377">
        <f t="shared" ca="1" si="63"/>
        <v>123.30913806504303</v>
      </c>
      <c r="AF181" s="344"/>
      <c r="AG181" s="359">
        <f t="shared" ca="1" si="85"/>
        <v>73.559293258026102</v>
      </c>
      <c r="AH181" s="357">
        <f t="shared" ca="1" si="86"/>
        <v>83.146899595513176</v>
      </c>
    </row>
    <row r="182" spans="1:34" x14ac:dyDescent="0.25">
      <c r="A182" s="402">
        <f t="shared" ca="1" si="64"/>
        <v>0.01</v>
      </c>
      <c r="B182" s="357">
        <f t="shared" ca="1" si="65"/>
        <v>1.7800000000000014</v>
      </c>
      <c r="C182" s="342"/>
      <c r="D182" s="359">
        <f t="shared" ca="1" si="66"/>
        <v>17.587378566238556</v>
      </c>
      <c r="E182" s="360">
        <f t="shared" ca="1" si="67"/>
        <v>71.317303031739286</v>
      </c>
      <c r="F182" s="357">
        <f t="shared" ca="1" si="68"/>
        <v>73.453887552348903</v>
      </c>
      <c r="G182" s="359">
        <f t="shared" ca="1" si="69"/>
        <v>30.056152677641414</v>
      </c>
      <c r="H182" s="360">
        <f t="shared" ca="1" si="70"/>
        <v>138.54533665906177</v>
      </c>
      <c r="I182" s="357">
        <f t="shared" ca="1" si="71"/>
        <v>141.76805925085685</v>
      </c>
      <c r="J182" s="359">
        <f t="shared" ca="1" si="72"/>
        <v>25.524347970533562</v>
      </c>
      <c r="K182" s="360">
        <f t="shared" ca="1" si="73"/>
        <v>124.69102556648205</v>
      </c>
      <c r="L182" s="357">
        <f t="shared" ca="1" si="58"/>
        <v>127.27664434664344</v>
      </c>
      <c r="M182" s="359">
        <f t="shared" ca="1" si="74"/>
        <v>1.3571657443791414</v>
      </c>
      <c r="N182" s="357">
        <f t="shared" ca="1" si="75"/>
        <v>77.759869252655534</v>
      </c>
      <c r="O182" s="343"/>
      <c r="P182" s="363">
        <f t="shared" ca="1" si="76"/>
        <v>7</v>
      </c>
      <c r="Q182" s="357">
        <f t="shared" ca="1" si="77"/>
        <v>936.04285714285697</v>
      </c>
      <c r="R182" s="359">
        <f t="shared" ca="1" si="78"/>
        <v>0.46889406470920758</v>
      </c>
      <c r="S182" s="360">
        <f t="shared" ca="1" si="79"/>
        <v>10.613979474970884</v>
      </c>
      <c r="T182" s="357">
        <f t="shared" ca="1" si="59"/>
        <v>104.12313864946438</v>
      </c>
      <c r="U182" s="364">
        <f t="shared" ca="1" si="60"/>
        <v>0</v>
      </c>
      <c r="V182" s="359">
        <f t="shared" ca="1" si="61"/>
        <v>1.2098199899193594</v>
      </c>
      <c r="W182" s="357">
        <f t="shared" ca="1" si="62"/>
        <v>55.523608963860312</v>
      </c>
      <c r="X182" s="343"/>
      <c r="Y182" s="367" t="str">
        <f t="shared" ca="1" si="80"/>
        <v/>
      </c>
      <c r="Z182" s="368" t="str">
        <f t="shared" ca="1" si="81"/>
        <v/>
      </c>
      <c r="AA182" s="369" t="str">
        <f t="shared" ca="1" si="82"/>
        <v/>
      </c>
      <c r="AB182" s="344"/>
      <c r="AC182" s="363" t="e">
        <f t="shared" ca="1" si="83"/>
        <v>#N/A</v>
      </c>
      <c r="AD182" s="376" t="e">
        <f t="shared" ca="1" si="84"/>
        <v>#N/A</v>
      </c>
      <c r="AE182" s="377">
        <f t="shared" ca="1" si="63"/>
        <v>124.69102556648205</v>
      </c>
      <c r="AF182" s="344"/>
      <c r="AG182" s="359">
        <f t="shared" ca="1" si="85"/>
        <v>73.424477013273574</v>
      </c>
      <c r="AH182" s="357">
        <f t="shared" ca="1" si="86"/>
        <v>83.011777369454279</v>
      </c>
    </row>
    <row r="183" spans="1:34" x14ac:dyDescent="0.25">
      <c r="A183" s="402">
        <f t="shared" ca="1" si="64"/>
        <v>0.01</v>
      </c>
      <c r="B183" s="357">
        <f t="shared" ca="1" si="65"/>
        <v>1.7900000000000014</v>
      </c>
      <c r="C183" s="342"/>
      <c r="D183" s="359">
        <f t="shared" ca="1" si="66"/>
        <v>17.570554458741196</v>
      </c>
      <c r="E183" s="360">
        <f t="shared" ca="1" si="67"/>
        <v>71.182348185120588</v>
      </c>
      <c r="F183" s="357">
        <f t="shared" ca="1" si="68"/>
        <v>73.318831667828221</v>
      </c>
      <c r="G183" s="359">
        <f t="shared" ca="1" si="69"/>
        <v>30.231858222228826</v>
      </c>
      <c r="H183" s="360">
        <f t="shared" ca="1" si="70"/>
        <v>139.25716014091299</v>
      </c>
      <c r="I183" s="357">
        <f t="shared" ca="1" si="71"/>
        <v>142.50095403919522</v>
      </c>
      <c r="J183" s="359">
        <f t="shared" ca="1" si="72"/>
        <v>25.825788025032914</v>
      </c>
      <c r="K183" s="360">
        <f t="shared" ca="1" si="73"/>
        <v>126.08003805048193</v>
      </c>
      <c r="L183" s="357">
        <f t="shared" ca="1" si="58"/>
        <v>128.697891676301</v>
      </c>
      <c r="M183" s="359">
        <f t="shared" ca="1" si="74"/>
        <v>1.3570197936627411</v>
      </c>
      <c r="N183" s="357">
        <f t="shared" ca="1" si="75"/>
        <v>77.751506892588878</v>
      </c>
      <c r="O183" s="343"/>
      <c r="P183" s="363">
        <f t="shared" ca="1" si="76"/>
        <v>7</v>
      </c>
      <c r="Q183" s="357">
        <f t="shared" ca="1" si="77"/>
        <v>934.78311688311669</v>
      </c>
      <c r="R183" s="359">
        <f t="shared" ca="1" si="78"/>
        <v>0.46826302017277427</v>
      </c>
      <c r="S183" s="360">
        <f t="shared" ca="1" si="79"/>
        <v>10.609296844769156</v>
      </c>
      <c r="T183" s="357">
        <f t="shared" ca="1" si="59"/>
        <v>104.07720204718542</v>
      </c>
      <c r="U183" s="364">
        <f t="shared" ca="1" si="60"/>
        <v>0</v>
      </c>
      <c r="V183" s="359">
        <f t="shared" ca="1" si="61"/>
        <v>1.2096519494785039</v>
      </c>
      <c r="W183" s="357">
        <f t="shared" ca="1" si="62"/>
        <v>56.091378876001649</v>
      </c>
      <c r="X183" s="343"/>
      <c r="Y183" s="367" t="str">
        <f t="shared" ca="1" si="80"/>
        <v/>
      </c>
      <c r="Z183" s="368" t="str">
        <f t="shared" ca="1" si="81"/>
        <v/>
      </c>
      <c r="AA183" s="369" t="str">
        <f t="shared" ca="1" si="82"/>
        <v/>
      </c>
      <c r="AB183" s="344"/>
      <c r="AC183" s="363" t="e">
        <f t="shared" ca="1" si="83"/>
        <v>#N/A</v>
      </c>
      <c r="AD183" s="376" t="e">
        <f t="shared" ca="1" si="84"/>
        <v>#N/A</v>
      </c>
      <c r="AE183" s="377">
        <f t="shared" ca="1" si="63"/>
        <v>126.08003805048193</v>
      </c>
      <c r="AF183" s="344"/>
      <c r="AG183" s="359">
        <f t="shared" ca="1" si="85"/>
        <v>73.289327058838381</v>
      </c>
      <c r="AH183" s="357">
        <f t="shared" ca="1" si="86"/>
        <v>82.876322604996147</v>
      </c>
    </row>
    <row r="184" spans="1:34" x14ac:dyDescent="0.25">
      <c r="A184" s="402">
        <f t="shared" ca="1" si="64"/>
        <v>0.01</v>
      </c>
      <c r="B184" s="357">
        <f t="shared" ca="1" si="65"/>
        <v>1.8000000000000014</v>
      </c>
      <c r="C184" s="342"/>
      <c r="D184" s="359">
        <f t="shared" ca="1" si="66"/>
        <v>17.55356799564677</v>
      </c>
      <c r="E184" s="360">
        <f t="shared" ca="1" si="67"/>
        <v>71.047088288963664</v>
      </c>
      <c r="F184" s="357">
        <f t="shared" ca="1" si="68"/>
        <v>73.183444191412534</v>
      </c>
      <c r="G184" s="359">
        <f t="shared" ca="1" si="69"/>
        <v>30.407393902185294</v>
      </c>
      <c r="H184" s="360">
        <f t="shared" ca="1" si="70"/>
        <v>139.96763102380262</v>
      </c>
      <c r="I184" s="357">
        <f t="shared" ca="1" si="71"/>
        <v>143.23249400306486</v>
      </c>
      <c r="J184" s="359">
        <f t="shared" ca="1" si="72"/>
        <v>26.128984285654983</v>
      </c>
      <c r="K184" s="360">
        <f t="shared" ca="1" si="73"/>
        <v>127.47616200630551</v>
      </c>
      <c r="L184" s="357">
        <f t="shared" ca="1" si="58"/>
        <v>130.1264604131606</v>
      </c>
      <c r="M184" s="359">
        <f t="shared" ca="1" si="74"/>
        <v>1.3568744906814507</v>
      </c>
      <c r="N184" s="357">
        <f t="shared" ca="1" si="75"/>
        <v>77.743181645010281</v>
      </c>
      <c r="O184" s="343"/>
      <c r="P184" s="363">
        <f t="shared" ca="1" si="76"/>
        <v>7</v>
      </c>
      <c r="Q184" s="357">
        <f t="shared" ca="1" si="77"/>
        <v>933.52337662337641</v>
      </c>
      <c r="R184" s="359">
        <f t="shared" ca="1" si="78"/>
        <v>0.4676319756363409</v>
      </c>
      <c r="S184" s="360">
        <f t="shared" ca="1" si="79"/>
        <v>10.604620525012793</v>
      </c>
      <c r="T184" s="357">
        <f t="shared" ca="1" si="59"/>
        <v>104.03132735037551</v>
      </c>
      <c r="U184" s="364">
        <f t="shared" ca="1" si="60"/>
        <v>0</v>
      </c>
      <c r="V184" s="359">
        <f t="shared" ca="1" si="61"/>
        <v>1.2094830720751271</v>
      </c>
      <c r="W184" s="357">
        <f t="shared" ca="1" si="62"/>
        <v>56.660844757043748</v>
      </c>
      <c r="X184" s="343"/>
      <c r="Y184" s="367" t="str">
        <f t="shared" ca="1" si="80"/>
        <v/>
      </c>
      <c r="Z184" s="368" t="str">
        <f t="shared" ca="1" si="81"/>
        <v/>
      </c>
      <c r="AA184" s="369" t="str">
        <f t="shared" ca="1" si="82"/>
        <v/>
      </c>
      <c r="AB184" s="344"/>
      <c r="AC184" s="363" t="e">
        <f t="shared" ca="1" si="83"/>
        <v>#N/A</v>
      </c>
      <c r="AD184" s="376" t="e">
        <f t="shared" ca="1" si="84"/>
        <v>#N/A</v>
      </c>
      <c r="AE184" s="377">
        <f t="shared" ca="1" si="63"/>
        <v>127.47616200630551</v>
      </c>
      <c r="AF184" s="344"/>
      <c r="AG184" s="359">
        <f t="shared" ca="1" si="85"/>
        <v>73.153845183893736</v>
      </c>
      <c r="AH184" s="357">
        <f t="shared" ca="1" si="86"/>
        <v>82.740537077946627</v>
      </c>
    </row>
    <row r="185" spans="1:34" x14ac:dyDescent="0.25">
      <c r="A185" s="402">
        <f t="shared" ca="1" si="64"/>
        <v>0.01</v>
      </c>
      <c r="B185" s="357">
        <f t="shared" ca="1" si="65"/>
        <v>1.8100000000000014</v>
      </c>
      <c r="C185" s="342"/>
      <c r="D185" s="359">
        <f t="shared" ca="1" si="66"/>
        <v>17.53642029758975</v>
      </c>
      <c r="E185" s="360">
        <f t="shared" ca="1" si="67"/>
        <v>70.911524954986831</v>
      </c>
      <c r="F185" s="357">
        <f t="shared" ca="1" si="68"/>
        <v>73.047726920797729</v>
      </c>
      <c r="G185" s="359">
        <f t="shared" ca="1" si="69"/>
        <v>30.58275810516119</v>
      </c>
      <c r="H185" s="360">
        <f t="shared" ca="1" si="70"/>
        <v>140.67674627335251</v>
      </c>
      <c r="I185" s="357">
        <f t="shared" ca="1" si="71"/>
        <v>143.96267584126102</v>
      </c>
      <c r="J185" s="359">
        <f t="shared" ca="1" si="72"/>
        <v>26.433935045691715</v>
      </c>
      <c r="K185" s="360">
        <f t="shared" ca="1" si="73"/>
        <v>128.87938389279128</v>
      </c>
      <c r="L185" s="357">
        <f t="shared" ca="1" si="58"/>
        <v>131.56233699119713</v>
      </c>
      <c r="M185" s="359">
        <f t="shared" ca="1" si="74"/>
        <v>1.3567298279221394</v>
      </c>
      <c r="N185" s="357">
        <f t="shared" ca="1" si="75"/>
        <v>77.734893079449023</v>
      </c>
      <c r="O185" s="343"/>
      <c r="P185" s="363">
        <f t="shared" ca="1" si="76"/>
        <v>7</v>
      </c>
      <c r="Q185" s="357">
        <f t="shared" ca="1" si="77"/>
        <v>932.26363636363612</v>
      </c>
      <c r="R185" s="359">
        <f t="shared" ca="1" si="78"/>
        <v>0.46700093109990753</v>
      </c>
      <c r="S185" s="360">
        <f t="shared" ca="1" si="79"/>
        <v>10.599950515701794</v>
      </c>
      <c r="T185" s="357">
        <f t="shared" ca="1" si="59"/>
        <v>103.9855145590346</v>
      </c>
      <c r="U185" s="364">
        <f t="shared" ca="1" si="60"/>
        <v>0</v>
      </c>
      <c r="V185" s="359">
        <f t="shared" ca="1" si="61"/>
        <v>1.2093133596999937</v>
      </c>
      <c r="W185" s="357">
        <f t="shared" ca="1" si="62"/>
        <v>57.231985662708212</v>
      </c>
      <c r="X185" s="343"/>
      <c r="Y185" s="367" t="str">
        <f t="shared" ca="1" si="80"/>
        <v/>
      </c>
      <c r="Z185" s="368" t="str">
        <f t="shared" ca="1" si="81"/>
        <v/>
      </c>
      <c r="AA185" s="369" t="str">
        <f t="shared" ca="1" si="82"/>
        <v/>
      </c>
      <c r="AB185" s="344"/>
      <c r="AC185" s="363" t="e">
        <f t="shared" ca="1" si="83"/>
        <v>#N/A</v>
      </c>
      <c r="AD185" s="376" t="e">
        <f t="shared" ca="1" si="84"/>
        <v>#N/A</v>
      </c>
      <c r="AE185" s="377">
        <f t="shared" ca="1" si="63"/>
        <v>128.87938389279128</v>
      </c>
      <c r="AF185" s="344"/>
      <c r="AG185" s="359">
        <f t="shared" ca="1" si="85"/>
        <v>73.018033182010143</v>
      </c>
      <c r="AH185" s="357">
        <f t="shared" ca="1" si="86"/>
        <v>82.604422568723763</v>
      </c>
    </row>
    <row r="186" spans="1:34" x14ac:dyDescent="0.25">
      <c r="A186" s="402">
        <f t="shared" ca="1" si="64"/>
        <v>0.01</v>
      </c>
      <c r="B186" s="357">
        <f t="shared" ca="1" si="65"/>
        <v>1.8200000000000014</v>
      </c>
      <c r="C186" s="342"/>
      <c r="D186" s="359">
        <f t="shared" ca="1" si="66"/>
        <v>17.519112474076731</v>
      </c>
      <c r="E186" s="360">
        <f t="shared" ca="1" si="67"/>
        <v>70.775659801366956</v>
      </c>
      <c r="F186" s="357">
        <f t="shared" ca="1" si="68"/>
        <v>72.91168165800444</v>
      </c>
      <c r="G186" s="359">
        <f t="shared" ca="1" si="69"/>
        <v>30.757949229901957</v>
      </c>
      <c r="H186" s="360">
        <f t="shared" ca="1" si="70"/>
        <v>141.38450287136618</v>
      </c>
      <c r="I186" s="357">
        <f t="shared" ca="1" si="71"/>
        <v>144.69149627055688</v>
      </c>
      <c r="J186" s="359">
        <f t="shared" ca="1" si="72"/>
        <v>26.74063858236703</v>
      </c>
      <c r="K186" s="360">
        <f t="shared" ca="1" si="73"/>
        <v>130.28969013851489</v>
      </c>
      <c r="L186" s="357">
        <f t="shared" ca="1" si="58"/>
        <v>133.00550781145492</v>
      </c>
      <c r="M186" s="359">
        <f t="shared" ca="1" si="74"/>
        <v>1.3565857979951632</v>
      </c>
      <c r="N186" s="357">
        <f t="shared" ca="1" si="75"/>
        <v>77.726640772509711</v>
      </c>
      <c r="O186" s="343"/>
      <c r="P186" s="363">
        <f t="shared" ca="1" si="76"/>
        <v>7</v>
      </c>
      <c r="Q186" s="357">
        <f t="shared" ca="1" si="77"/>
        <v>931.00389610389584</v>
      </c>
      <c r="R186" s="359">
        <f t="shared" ca="1" si="78"/>
        <v>0.46636988656347422</v>
      </c>
      <c r="S186" s="360">
        <f t="shared" ca="1" si="79"/>
        <v>10.595286816836159</v>
      </c>
      <c r="T186" s="357">
        <f t="shared" ca="1" si="59"/>
        <v>103.93976367316273</v>
      </c>
      <c r="U186" s="364">
        <f t="shared" ca="1" si="60"/>
        <v>0</v>
      </c>
      <c r="V186" s="359">
        <f t="shared" ca="1" si="61"/>
        <v>1.2091428143482839</v>
      </c>
      <c r="W186" s="357">
        <f t="shared" ca="1" si="62"/>
        <v>57.804780647257218</v>
      </c>
      <c r="X186" s="343"/>
      <c r="Y186" s="367" t="str">
        <f t="shared" ca="1" si="80"/>
        <v/>
      </c>
      <c r="Z186" s="368" t="str">
        <f t="shared" ca="1" si="81"/>
        <v/>
      </c>
      <c r="AA186" s="369" t="str">
        <f t="shared" ca="1" si="82"/>
        <v/>
      </c>
      <c r="AB186" s="344"/>
      <c r="AC186" s="363" t="e">
        <f t="shared" ca="1" si="83"/>
        <v>#N/A</v>
      </c>
      <c r="AD186" s="376" t="e">
        <f t="shared" ca="1" si="84"/>
        <v>#N/A</v>
      </c>
      <c r="AE186" s="377">
        <f t="shared" ca="1" si="63"/>
        <v>130.28969013851489</v>
      </c>
      <c r="AF186" s="344"/>
      <c r="AG186" s="359">
        <f t="shared" ca="1" si="85"/>
        <v>72.881892851081844</v>
      </c>
      <c r="AH186" s="357">
        <f t="shared" ca="1" si="86"/>
        <v>82.467980862277699</v>
      </c>
    </row>
    <row r="187" spans="1:34" x14ac:dyDescent="0.25">
      <c r="A187" s="402">
        <f t="shared" ca="1" si="64"/>
        <v>0.01</v>
      </c>
      <c r="B187" s="357">
        <f t="shared" ca="1" si="65"/>
        <v>1.8300000000000014</v>
      </c>
      <c r="C187" s="342"/>
      <c r="D187" s="359">
        <f t="shared" ca="1" si="66"/>
        <v>17.501645623750957</v>
      </c>
      <c r="E187" s="360">
        <f t="shared" ca="1" si="67"/>
        <v>70.639494452616262</v>
      </c>
      <c r="F187" s="357">
        <f t="shared" ca="1" si="68"/>
        <v>72.775310209304948</v>
      </c>
      <c r="G187" s="359">
        <f t="shared" ca="1" si="69"/>
        <v>30.932965686139468</v>
      </c>
      <c r="H187" s="360">
        <f t="shared" ca="1" si="70"/>
        <v>142.09089781589233</v>
      </c>
      <c r="I187" s="357">
        <f t="shared" ca="1" si="71"/>
        <v>145.41895202574608</v>
      </c>
      <c r="J187" s="359">
        <f t="shared" ca="1" si="72"/>
        <v>27.049093156947237</v>
      </c>
      <c r="K187" s="360">
        <f t="shared" ca="1" si="73"/>
        <v>131.70706714195117</v>
      </c>
      <c r="L187" s="357">
        <f t="shared" ca="1" si="58"/>
        <v>134.45595924222786</v>
      </c>
      <c r="M187" s="359">
        <f t="shared" ca="1" si="74"/>
        <v>1.3564423936316317</v>
      </c>
      <c r="N187" s="357">
        <f t="shared" ca="1" si="75"/>
        <v>77.718424307715594</v>
      </c>
      <c r="O187" s="343"/>
      <c r="P187" s="363">
        <f t="shared" ca="1" si="76"/>
        <v>7</v>
      </c>
      <c r="Q187" s="357">
        <f t="shared" ca="1" si="77"/>
        <v>929.74415584415556</v>
      </c>
      <c r="R187" s="359">
        <f t="shared" ca="1" si="78"/>
        <v>0.46573884202704086</v>
      </c>
      <c r="S187" s="360">
        <f t="shared" ca="1" si="79"/>
        <v>10.590629428415889</v>
      </c>
      <c r="T187" s="357">
        <f t="shared" ca="1" si="59"/>
        <v>103.89407469275987</v>
      </c>
      <c r="U187" s="364">
        <f t="shared" ca="1" si="60"/>
        <v>0</v>
      </c>
      <c r="V187" s="359">
        <f t="shared" ca="1" si="61"/>
        <v>1.2089714380195586</v>
      </c>
      <c r="W187" s="357">
        <f t="shared" ca="1" si="62"/>
        <v>58.379208764313383</v>
      </c>
      <c r="X187" s="343"/>
      <c r="Y187" s="367" t="str">
        <f t="shared" ca="1" si="80"/>
        <v/>
      </c>
      <c r="Z187" s="368" t="str">
        <f t="shared" ca="1" si="81"/>
        <v/>
      </c>
      <c r="AA187" s="369" t="str">
        <f t="shared" ca="1" si="82"/>
        <v/>
      </c>
      <c r="AB187" s="344"/>
      <c r="AC187" s="363" t="e">
        <f t="shared" ca="1" si="83"/>
        <v>#N/A</v>
      </c>
      <c r="AD187" s="376" t="e">
        <f t="shared" ca="1" si="84"/>
        <v>#N/A</v>
      </c>
      <c r="AE187" s="377">
        <f t="shared" ca="1" si="63"/>
        <v>131.70706714195117</v>
      </c>
      <c r="AF187" s="344"/>
      <c r="AG187" s="359">
        <f t="shared" ca="1" si="85"/>
        <v>72.745425993253065</v>
      </c>
      <c r="AH187" s="357">
        <f t="shared" ca="1" si="86"/>
        <v>82.331213748012345</v>
      </c>
    </row>
    <row r="188" spans="1:34" x14ac:dyDescent="0.25">
      <c r="A188" s="402">
        <f t="shared" ca="1" si="64"/>
        <v>0.01</v>
      </c>
      <c r="B188" s="357">
        <f t="shared" ca="1" si="65"/>
        <v>1.8400000000000014</v>
      </c>
      <c r="C188" s="342"/>
      <c r="D188" s="359">
        <f t="shared" ca="1" si="66"/>
        <v>17.4840208346487</v>
      </c>
      <c r="E188" s="360">
        <f t="shared" ca="1" si="67"/>
        <v>70.503030539460468</v>
      </c>
      <c r="F188" s="357">
        <f t="shared" ca="1" si="68"/>
        <v>72.638614385150035</v>
      </c>
      <c r="G188" s="359">
        <f t="shared" ca="1" si="69"/>
        <v>31.107805894485956</v>
      </c>
      <c r="H188" s="360">
        <f t="shared" ca="1" si="70"/>
        <v>142.79592812128695</v>
      </c>
      <c r="I188" s="357">
        <f t="shared" ca="1" si="71"/>
        <v>146.14503985968446</v>
      </c>
      <c r="J188" s="359">
        <f t="shared" ca="1" si="72"/>
        <v>27.359297014850362</v>
      </c>
      <c r="K188" s="360">
        <f t="shared" ca="1" si="73"/>
        <v>133.13150127163706</v>
      </c>
      <c r="L188" s="357">
        <f t="shared" ca="1" si="58"/>
        <v>135.91367761924002</v>
      </c>
      <c r="M188" s="359">
        <f t="shared" ca="1" si="74"/>
        <v>1.3562996076807461</v>
      </c>
      <c r="N188" s="357">
        <f t="shared" ca="1" si="75"/>
        <v>77.710243275356078</v>
      </c>
      <c r="O188" s="343"/>
      <c r="P188" s="363">
        <f t="shared" ca="1" si="76"/>
        <v>7</v>
      </c>
      <c r="Q188" s="357">
        <f t="shared" ca="1" si="77"/>
        <v>928.48441558441539</v>
      </c>
      <c r="R188" s="359">
        <f t="shared" ca="1" si="78"/>
        <v>0.4651077974906076</v>
      </c>
      <c r="S188" s="360">
        <f t="shared" ca="1" si="79"/>
        <v>10.585978350440984</v>
      </c>
      <c r="T188" s="357">
        <f t="shared" ca="1" si="59"/>
        <v>103.84844761782605</v>
      </c>
      <c r="U188" s="364">
        <f t="shared" ca="1" si="60"/>
        <v>0</v>
      </c>
      <c r="V188" s="359">
        <f t="shared" ca="1" si="61"/>
        <v>1.2087992327177266</v>
      </c>
      <c r="W188" s="357">
        <f t="shared" ca="1" si="62"/>
        <v>58.955249067677855</v>
      </c>
      <c r="X188" s="343"/>
      <c r="Y188" s="367" t="str">
        <f t="shared" ca="1" si="80"/>
        <v/>
      </c>
      <c r="Z188" s="368" t="str">
        <f t="shared" ca="1" si="81"/>
        <v/>
      </c>
      <c r="AA188" s="369" t="str">
        <f t="shared" ca="1" si="82"/>
        <v/>
      </c>
      <c r="AB188" s="344"/>
      <c r="AC188" s="363" t="e">
        <f t="shared" ca="1" si="83"/>
        <v>#N/A</v>
      </c>
      <c r="AD188" s="376" t="e">
        <f t="shared" ca="1" si="84"/>
        <v>#N/A</v>
      </c>
      <c r="AE188" s="377">
        <f t="shared" ca="1" si="63"/>
        <v>133.13150127163706</v>
      </c>
      <c r="AF188" s="344"/>
      <c r="AG188" s="359">
        <f t="shared" ca="1" si="85"/>
        <v>72.608634414844104</v>
      </c>
      <c r="AH188" s="357">
        <f t="shared" ca="1" si="86"/>
        <v>82.194123019707078</v>
      </c>
    </row>
    <row r="189" spans="1:34" x14ac:dyDescent="0.25">
      <c r="A189" s="402">
        <f t="shared" ca="1" si="64"/>
        <v>0.01</v>
      </c>
      <c r="B189" s="357">
        <f t="shared" ca="1" si="65"/>
        <v>1.8500000000000014</v>
      </c>
      <c r="C189" s="342"/>
      <c r="D189" s="359">
        <f t="shared" ca="1" si="66"/>
        <v>17.466239184448224</v>
      </c>
      <c r="E189" s="360">
        <f t="shared" ca="1" si="67"/>
        <v>70.366269698717986</v>
      </c>
      <c r="F189" s="357">
        <f t="shared" ca="1" si="68"/>
        <v>72.50159600009556</v>
      </c>
      <c r="G189" s="359">
        <f t="shared" ca="1" si="69"/>
        <v>31.282468286330438</v>
      </c>
      <c r="H189" s="360">
        <f t="shared" ca="1" si="70"/>
        <v>143.49959081827413</v>
      </c>
      <c r="I189" s="357">
        <f t="shared" ca="1" si="71"/>
        <v>146.86975654333119</v>
      </c>
      <c r="J189" s="359">
        <f t="shared" ca="1" si="72"/>
        <v>27.671248385754446</v>
      </c>
      <c r="K189" s="360">
        <f t="shared" ca="1" si="73"/>
        <v>134.56297886633487</v>
      </c>
      <c r="L189" s="357">
        <f t="shared" ca="1" si="58"/>
        <v>137.37864924582641</v>
      </c>
      <c r="M189" s="359">
        <f t="shared" ca="1" si="74"/>
        <v>1.3561574331072141</v>
      </c>
      <c r="N189" s="357">
        <f t="shared" ca="1" si="75"/>
        <v>77.702097272338634</v>
      </c>
      <c r="O189" s="343"/>
      <c r="P189" s="363">
        <f t="shared" ca="1" si="76"/>
        <v>7</v>
      </c>
      <c r="Q189" s="357">
        <f t="shared" ca="1" si="77"/>
        <v>927.2246753246751</v>
      </c>
      <c r="R189" s="359">
        <f t="shared" ca="1" si="78"/>
        <v>0.46447675295417423</v>
      </c>
      <c r="S189" s="360">
        <f t="shared" ca="1" si="79"/>
        <v>10.581333582911443</v>
      </c>
      <c r="T189" s="357">
        <f t="shared" ca="1" si="59"/>
        <v>103.80288244836126</v>
      </c>
      <c r="U189" s="364">
        <f t="shared" ca="1" si="60"/>
        <v>0</v>
      </c>
      <c r="V189" s="359">
        <f t="shared" ca="1" si="61"/>
        <v>1.2086262004510078</v>
      </c>
      <c r="W189" s="357">
        <f t="shared" ca="1" si="62"/>
        <v>59.532880612145938</v>
      </c>
      <c r="X189" s="343"/>
      <c r="Y189" s="367" t="str">
        <f t="shared" ca="1" si="80"/>
        <v/>
      </c>
      <c r="Z189" s="368" t="str">
        <f t="shared" ca="1" si="81"/>
        <v/>
      </c>
      <c r="AA189" s="369" t="str">
        <f t="shared" ca="1" si="82"/>
        <v/>
      </c>
      <c r="AB189" s="344"/>
      <c r="AC189" s="363" t="e">
        <f t="shared" ca="1" si="83"/>
        <v>#N/A</v>
      </c>
      <c r="AD189" s="376" t="e">
        <f t="shared" ca="1" si="84"/>
        <v>#N/A</v>
      </c>
      <c r="AE189" s="377">
        <f t="shared" ca="1" si="63"/>
        <v>134.56297886633487</v>
      </c>
      <c r="AF189" s="344"/>
      <c r="AG189" s="359">
        <f t="shared" ca="1" si="85"/>
        <v>72.471519926277239</v>
      </c>
      <c r="AH189" s="357">
        <f t="shared" ca="1" si="86"/>
        <v>82.056710475438379</v>
      </c>
    </row>
    <row r="190" spans="1:34" x14ac:dyDescent="0.25">
      <c r="A190" s="402">
        <f t="shared" ca="1" si="64"/>
        <v>0.01</v>
      </c>
      <c r="B190" s="357">
        <f t="shared" ca="1" si="65"/>
        <v>1.8600000000000014</v>
      </c>
      <c r="C190" s="342"/>
      <c r="D190" s="359">
        <f t="shared" ca="1" si="66"/>
        <v>17.448301740711237</v>
      </c>
      <c r="E190" s="360">
        <f t="shared" ca="1" si="67"/>
        <v>70.229213573180374</v>
      </c>
      <c r="F190" s="357">
        <f t="shared" ca="1" si="68"/>
        <v>72.364256872728873</v>
      </c>
      <c r="G190" s="359">
        <f t="shared" ca="1" si="69"/>
        <v>31.456951303737551</v>
      </c>
      <c r="H190" s="360">
        <f t="shared" ca="1" si="70"/>
        <v>144.20188295400592</v>
      </c>
      <c r="I190" s="357">
        <f t="shared" ca="1" si="71"/>
        <v>147.5930988657889</v>
      </c>
      <c r="J190" s="359">
        <f t="shared" ca="1" si="72"/>
        <v>27.984945483704784</v>
      </c>
      <c r="K190" s="360">
        <f t="shared" ca="1" si="73"/>
        <v>136.00148623519627</v>
      </c>
      <c r="L190" s="357">
        <f t="shared" ca="1" si="58"/>
        <v>138.85086039311463</v>
      </c>
      <c r="M190" s="359">
        <f t="shared" ca="1" si="74"/>
        <v>1.3560158629887329</v>
      </c>
      <c r="N190" s="357">
        <f t="shared" ca="1" si="75"/>
        <v>77.693985902044489</v>
      </c>
      <c r="O190" s="343"/>
      <c r="P190" s="363">
        <f t="shared" ca="1" si="76"/>
        <v>7</v>
      </c>
      <c r="Q190" s="357">
        <f t="shared" ca="1" si="77"/>
        <v>925.96493506493482</v>
      </c>
      <c r="R190" s="359">
        <f t="shared" ca="1" si="78"/>
        <v>0.46384570841774092</v>
      </c>
      <c r="S190" s="360">
        <f t="shared" ca="1" si="79"/>
        <v>10.576695125827266</v>
      </c>
      <c r="T190" s="357">
        <f t="shared" ca="1" si="59"/>
        <v>103.75737918436549</v>
      </c>
      <c r="U190" s="364">
        <f t="shared" ca="1" si="60"/>
        <v>0</v>
      </c>
      <c r="V190" s="359">
        <f t="shared" ca="1" si="61"/>
        <v>1.2084523432318972</v>
      </c>
      <c r="W190" s="357">
        <f t="shared" ca="1" si="62"/>
        <v>60.112082454320486</v>
      </c>
      <c r="X190" s="343"/>
      <c r="Y190" s="367" t="str">
        <f t="shared" ca="1" si="80"/>
        <v/>
      </c>
      <c r="Z190" s="368" t="str">
        <f t="shared" ca="1" si="81"/>
        <v/>
      </c>
      <c r="AA190" s="369" t="str">
        <f t="shared" ca="1" si="82"/>
        <v/>
      </c>
      <c r="AB190" s="344"/>
      <c r="AC190" s="363" t="e">
        <f t="shared" ca="1" si="83"/>
        <v>#N/A</v>
      </c>
      <c r="AD190" s="376" t="e">
        <f t="shared" ca="1" si="84"/>
        <v>#N/A</v>
      </c>
      <c r="AE190" s="377">
        <f t="shared" ca="1" si="63"/>
        <v>136.00148623519627</v>
      </c>
      <c r="AF190" s="344"/>
      <c r="AG190" s="359">
        <f t="shared" ca="1" si="85"/>
        <v>72.334084342002484</v>
      </c>
      <c r="AH190" s="357">
        <f t="shared" ca="1" si="86"/>
        <v>81.918977917501437</v>
      </c>
    </row>
    <row r="191" spans="1:34" x14ac:dyDescent="0.25">
      <c r="A191" s="402">
        <f t="shared" ca="1" si="64"/>
        <v>0.01</v>
      </c>
      <c r="B191" s="357">
        <f t="shared" ca="1" si="65"/>
        <v>1.8700000000000014</v>
      </c>
      <c r="C191" s="342"/>
      <c r="D191" s="359">
        <f t="shared" ca="1" si="66"/>
        <v>17.430209561117312</v>
      </c>
      <c r="E191" s="360">
        <f t="shared" ca="1" si="67"/>
        <v>70.091863811493937</v>
      </c>
      <c r="F191" s="357">
        <f t="shared" ca="1" si="68"/>
        <v>72.226598825595261</v>
      </c>
      <c r="G191" s="359">
        <f t="shared" ca="1" si="69"/>
        <v>31.631253399348722</v>
      </c>
      <c r="H191" s="360">
        <f t="shared" ca="1" si="70"/>
        <v>144.90280159212085</v>
      </c>
      <c r="I191" s="357">
        <f t="shared" ca="1" si="71"/>
        <v>148.31506363434346</v>
      </c>
      <c r="J191" s="359">
        <f t="shared" ca="1" si="72"/>
        <v>28.300386507220217</v>
      </c>
      <c r="K191" s="360">
        <f t="shared" ca="1" si="73"/>
        <v>137.44700965792691</v>
      </c>
      <c r="L191" s="357">
        <f t="shared" ca="1" si="58"/>
        <v>140.33029730020635</v>
      </c>
      <c r="M191" s="359">
        <f t="shared" ca="1" si="74"/>
        <v>1.3558748905135418</v>
      </c>
      <c r="N191" s="357">
        <f t="shared" ca="1" si="75"/>
        <v>77.685908774188533</v>
      </c>
      <c r="O191" s="343"/>
      <c r="P191" s="363">
        <f t="shared" ca="1" si="76"/>
        <v>7</v>
      </c>
      <c r="Q191" s="357">
        <f t="shared" ca="1" si="77"/>
        <v>924.70519480519454</v>
      </c>
      <c r="R191" s="359">
        <f t="shared" ca="1" si="78"/>
        <v>0.46321466388130755</v>
      </c>
      <c r="S191" s="360">
        <f t="shared" ca="1" si="79"/>
        <v>10.572062979188452</v>
      </c>
      <c r="T191" s="357">
        <f t="shared" ca="1" si="59"/>
        <v>103.71193782583872</v>
      </c>
      <c r="U191" s="364">
        <f t="shared" ca="1" si="60"/>
        <v>0</v>
      </c>
      <c r="V191" s="359">
        <f t="shared" ca="1" si="61"/>
        <v>1.208277663077131</v>
      </c>
      <c r="W191" s="357">
        <f t="shared" ca="1" si="62"/>
        <v>60.692833653423399</v>
      </c>
      <c r="X191" s="343"/>
      <c r="Y191" s="367" t="str">
        <f t="shared" ca="1" si="80"/>
        <v/>
      </c>
      <c r="Z191" s="368" t="str">
        <f t="shared" ca="1" si="81"/>
        <v/>
      </c>
      <c r="AA191" s="369" t="str">
        <f t="shared" ca="1" si="82"/>
        <v/>
      </c>
      <c r="AB191" s="344"/>
      <c r="AC191" s="363" t="e">
        <f t="shared" ca="1" si="83"/>
        <v>#N/A</v>
      </c>
      <c r="AD191" s="376" t="e">
        <f t="shared" ca="1" si="84"/>
        <v>#N/A</v>
      </c>
      <c r="AE191" s="377">
        <f t="shared" ca="1" si="63"/>
        <v>137.44700965792691</v>
      </c>
      <c r="AF191" s="344"/>
      <c r="AG191" s="359">
        <f t="shared" ca="1" si="85"/>
        <v>72.196329480423259</v>
      </c>
      <c r="AH191" s="357">
        <f t="shared" ca="1" si="86"/>
        <v>81.780927152331742</v>
      </c>
    </row>
    <row r="192" spans="1:34" x14ac:dyDescent="0.25">
      <c r="A192" s="402">
        <f t="shared" ca="1" si="64"/>
        <v>0.01</v>
      </c>
      <c r="B192" s="357">
        <f t="shared" ca="1" si="65"/>
        <v>1.8800000000000014</v>
      </c>
      <c r="C192" s="342"/>
      <c r="D192" s="359">
        <f t="shared" ca="1" si="66"/>
        <v>17.411963693691348</v>
      </c>
      <c r="E192" s="360">
        <f t="shared" ca="1" si="67"/>
        <v>69.954222068042313</v>
      </c>
      <c r="F192" s="357">
        <f t="shared" ca="1" si="68"/>
        <v>72.088623685123878</v>
      </c>
      <c r="G192" s="359">
        <f t="shared" ca="1" si="69"/>
        <v>31.805373036285637</v>
      </c>
      <c r="H192" s="360">
        <f t="shared" ca="1" si="70"/>
        <v>145.60234381280128</v>
      </c>
      <c r="I192" s="357">
        <f t="shared" ca="1" si="71"/>
        <v>149.03564767450263</v>
      </c>
      <c r="J192" s="359">
        <f t="shared" ca="1" si="72"/>
        <v>28.61756963939839</v>
      </c>
      <c r="K192" s="360">
        <f t="shared" ca="1" si="73"/>
        <v>138.89953538495152</v>
      </c>
      <c r="L192" s="357">
        <f t="shared" ca="1" si="58"/>
        <v>141.81694617435963</v>
      </c>
      <c r="M192" s="359">
        <f t="shared" ca="1" si="74"/>
        <v>1.355734508978041</v>
      </c>
      <c r="N192" s="357">
        <f t="shared" ca="1" si="75"/>
        <v>77.677865504682771</v>
      </c>
      <c r="O192" s="343"/>
      <c r="P192" s="363">
        <f t="shared" ca="1" si="76"/>
        <v>7</v>
      </c>
      <c r="Q192" s="357">
        <f t="shared" ca="1" si="77"/>
        <v>923.44545454545437</v>
      </c>
      <c r="R192" s="359">
        <f t="shared" ca="1" si="78"/>
        <v>0.4625836193448743</v>
      </c>
      <c r="S192" s="360">
        <f t="shared" ca="1" si="79"/>
        <v>10.567437142995002</v>
      </c>
      <c r="T192" s="357">
        <f t="shared" ca="1" si="59"/>
        <v>103.66655837278098</v>
      </c>
      <c r="U192" s="364">
        <f t="shared" ca="1" si="60"/>
        <v>0</v>
      </c>
      <c r="V192" s="359">
        <f t="shared" ca="1" si="61"/>
        <v>1.2081021620076506</v>
      </c>
      <c r="W192" s="357">
        <f t="shared" ca="1" si="62"/>
        <v>61.275113272104399</v>
      </c>
      <c r="X192" s="343"/>
      <c r="Y192" s="367" t="str">
        <f t="shared" ca="1" si="80"/>
        <v/>
      </c>
      <c r="Z192" s="368" t="str">
        <f t="shared" ca="1" si="81"/>
        <v/>
      </c>
      <c r="AA192" s="369" t="str">
        <f t="shared" ca="1" si="82"/>
        <v/>
      </c>
      <c r="AB192" s="344"/>
      <c r="AC192" s="363" t="e">
        <f t="shared" ca="1" si="83"/>
        <v>#N/A</v>
      </c>
      <c r="AD192" s="376" t="e">
        <f t="shared" ca="1" si="84"/>
        <v>#N/A</v>
      </c>
      <c r="AE192" s="377">
        <f t="shared" ca="1" si="63"/>
        <v>138.89953538495152</v>
      </c>
      <c r="AF192" s="344"/>
      <c r="AG192" s="359">
        <f t="shared" ca="1" si="85"/>
        <v>72.05825716382175</v>
      </c>
      <c r="AH192" s="357">
        <f t="shared" ca="1" si="86"/>
        <v>81.642559990426534</v>
      </c>
    </row>
    <row r="193" spans="1:34" x14ac:dyDescent="0.25">
      <c r="A193" s="402">
        <f t="shared" ca="1" si="64"/>
        <v>0.01</v>
      </c>
      <c r="B193" s="357">
        <f t="shared" ca="1" si="65"/>
        <v>1.8900000000000015</v>
      </c>
      <c r="C193" s="342"/>
      <c r="D193" s="359">
        <f t="shared" ca="1" si="66"/>
        <v>17.393565177024399</v>
      </c>
      <c r="E193" s="360">
        <f t="shared" ca="1" si="67"/>
        <v>69.816290002830144</v>
      </c>
      <c r="F193" s="357">
        <f t="shared" ca="1" si="68"/>
        <v>71.950333281553853</v>
      </c>
      <c r="G193" s="359">
        <f t="shared" ca="1" si="69"/>
        <v>31.97930868805588</v>
      </c>
      <c r="H193" s="360">
        <f t="shared" ca="1" si="70"/>
        <v>146.30050671282959</v>
      </c>
      <c r="I193" s="357">
        <f t="shared" ca="1" si="71"/>
        <v>149.75484783003407</v>
      </c>
      <c r="J193" s="359">
        <f t="shared" ca="1" si="72"/>
        <v>28.936493048020097</v>
      </c>
      <c r="K193" s="360">
        <f t="shared" ca="1" si="73"/>
        <v>140.35904963757969</v>
      </c>
      <c r="L193" s="357">
        <f t="shared" ca="1" si="58"/>
        <v>143.31079319117131</v>
      </c>
      <c r="M193" s="359">
        <f t="shared" ca="1" si="74"/>
        <v>1.3555947117844742</v>
      </c>
      <c r="N193" s="357">
        <f t="shared" ca="1" si="75"/>
        <v>77.669855715503616</v>
      </c>
      <c r="O193" s="343"/>
      <c r="P193" s="363">
        <f t="shared" ca="1" si="76"/>
        <v>7</v>
      </c>
      <c r="Q193" s="357">
        <f t="shared" ca="1" si="77"/>
        <v>922.18571428571408</v>
      </c>
      <c r="R193" s="359">
        <f t="shared" ca="1" si="78"/>
        <v>0.46195257480844093</v>
      </c>
      <c r="S193" s="360">
        <f t="shared" ca="1" si="79"/>
        <v>10.562817617246917</v>
      </c>
      <c r="T193" s="357">
        <f t="shared" ca="1" si="59"/>
        <v>103.62124082519226</v>
      </c>
      <c r="U193" s="364">
        <f t="shared" ca="1" si="60"/>
        <v>0</v>
      </c>
      <c r="V193" s="359">
        <f t="shared" ca="1" si="61"/>
        <v>1.2079258420485677</v>
      </c>
      <c r="W193" s="357">
        <f t="shared" ca="1" si="62"/>
        <v>61.858900377247593</v>
      </c>
      <c r="X193" s="343"/>
      <c r="Y193" s="367" t="str">
        <f t="shared" ca="1" si="80"/>
        <v/>
      </c>
      <c r="Z193" s="368" t="str">
        <f t="shared" ca="1" si="81"/>
        <v/>
      </c>
      <c r="AA193" s="369" t="str">
        <f t="shared" ca="1" si="82"/>
        <v/>
      </c>
      <c r="AB193" s="344"/>
      <c r="AC193" s="363" t="e">
        <f t="shared" ca="1" si="83"/>
        <v>#N/A</v>
      </c>
      <c r="AD193" s="376" t="e">
        <f t="shared" ca="1" si="84"/>
        <v>#N/A</v>
      </c>
      <c r="AE193" s="377">
        <f t="shared" ca="1" si="63"/>
        <v>140.35904963757969</v>
      </c>
      <c r="AF193" s="344"/>
      <c r="AG193" s="359">
        <f t="shared" ca="1" si="85"/>
        <v>71.919869218284305</v>
      </c>
      <c r="AH193" s="357">
        <f t="shared" ca="1" si="86"/>
        <v>81.503878246266325</v>
      </c>
    </row>
    <row r="194" spans="1:34" x14ac:dyDescent="0.25">
      <c r="A194" s="402">
        <f t="shared" ca="1" si="64"/>
        <v>0.01</v>
      </c>
      <c r="B194" s="357">
        <f t="shared" ca="1" si="65"/>
        <v>1.9000000000000015</v>
      </c>
      <c r="C194" s="342"/>
      <c r="D194" s="359">
        <f t="shared" ca="1" si="66"/>
        <v>17.375015040488069</v>
      </c>
      <c r="E194" s="360">
        <f t="shared" ca="1" si="67"/>
        <v>69.678069281367968</v>
      </c>
      <c r="F194" s="357">
        <f t="shared" ca="1" si="68"/>
        <v>71.811729448860234</v>
      </c>
      <c r="G194" s="359">
        <f t="shared" ca="1" si="69"/>
        <v>32.153058838460758</v>
      </c>
      <c r="H194" s="360">
        <f t="shared" ca="1" si="70"/>
        <v>146.99728740564328</v>
      </c>
      <c r="I194" s="357">
        <f t="shared" ca="1" si="71"/>
        <v>150.47266096300288</v>
      </c>
      <c r="J194" s="359">
        <f t="shared" ca="1" si="72"/>
        <v>29.257154885652682</v>
      </c>
      <c r="K194" s="360">
        <f t="shared" ca="1" si="73"/>
        <v>141.82553860817205</v>
      </c>
      <c r="L194" s="357">
        <f t="shared" ca="1" si="58"/>
        <v>144.81182449476</v>
      </c>
      <c r="M194" s="359">
        <f t="shared" ca="1" si="74"/>
        <v>1.3554554924386737</v>
      </c>
      <c r="N194" s="357">
        <f t="shared" ca="1" si="75"/>
        <v>77.661879034562673</v>
      </c>
      <c r="O194" s="343"/>
      <c r="P194" s="363">
        <f t="shared" ca="1" si="76"/>
        <v>7</v>
      </c>
      <c r="Q194" s="357">
        <f t="shared" ca="1" si="77"/>
        <v>920.9259740259738</v>
      </c>
      <c r="R194" s="359">
        <f t="shared" ca="1" si="78"/>
        <v>0.46132153027200762</v>
      </c>
      <c r="S194" s="360">
        <f t="shared" ca="1" si="79"/>
        <v>10.558204401944197</v>
      </c>
      <c r="T194" s="357">
        <f t="shared" ca="1" si="59"/>
        <v>103.57598518307258</v>
      </c>
      <c r="U194" s="364">
        <f t="shared" ca="1" si="60"/>
        <v>0</v>
      </c>
      <c r="V194" s="359">
        <f t="shared" ca="1" si="61"/>
        <v>1.2077487052291274</v>
      </c>
      <c r="W194" s="357">
        <f t="shared" ca="1" si="62"/>
        <v>62.444174040775756</v>
      </c>
      <c r="X194" s="343"/>
      <c r="Y194" s="367" t="str">
        <f t="shared" ca="1" si="80"/>
        <v/>
      </c>
      <c r="Z194" s="368" t="str">
        <f t="shared" ca="1" si="81"/>
        <v/>
      </c>
      <c r="AA194" s="369" t="str">
        <f t="shared" ca="1" si="82"/>
        <v/>
      </c>
      <c r="AB194" s="344"/>
      <c r="AC194" s="363" t="e">
        <f t="shared" ca="1" si="83"/>
        <v>#N/A</v>
      </c>
      <c r="AD194" s="376" t="e">
        <f t="shared" ca="1" si="84"/>
        <v>#N/A</v>
      </c>
      <c r="AE194" s="377">
        <f t="shared" ca="1" si="63"/>
        <v>141.82553860817205</v>
      </c>
      <c r="AF194" s="344"/>
      <c r="AG194" s="359">
        <f t="shared" ca="1" si="85"/>
        <v>71.781167473626724</v>
      </c>
      <c r="AH194" s="357">
        <f t="shared" ca="1" si="86"/>
        <v>81.364883738236486</v>
      </c>
    </row>
    <row r="195" spans="1:34" x14ac:dyDescent="0.25">
      <c r="A195" s="402">
        <f t="shared" ca="1" si="64"/>
        <v>0.01</v>
      </c>
      <c r="B195" s="357">
        <f t="shared" ca="1" si="65"/>
        <v>1.9100000000000015</v>
      </c>
      <c r="C195" s="342"/>
      <c r="D195" s="359">
        <f t="shared" ca="1" si="66"/>
        <v>17.356314304442563</v>
      </c>
      <c r="E195" s="360">
        <f t="shared" ca="1" si="67"/>
        <v>69.539561574557794</v>
      </c>
      <c r="F195" s="357">
        <f t="shared" ca="1" si="68"/>
        <v>71.672814024679624</v>
      </c>
      <c r="G195" s="359">
        <f t="shared" ca="1" si="69"/>
        <v>32.326621981505184</v>
      </c>
      <c r="H195" s="360">
        <f t="shared" ca="1" si="70"/>
        <v>147.69268302138886</v>
      </c>
      <c r="I195" s="357">
        <f t="shared" ca="1" si="71"/>
        <v>151.18908395380791</v>
      </c>
      <c r="J195" s="359">
        <f t="shared" ca="1" si="72"/>
        <v>29.579553289752511</v>
      </c>
      <c r="K195" s="360">
        <f t="shared" ca="1" si="73"/>
        <v>143.29898846030721</v>
      </c>
      <c r="L195" s="357">
        <f t="shared" ca="1" si="58"/>
        <v>146.32002619794929</v>
      </c>
      <c r="M195" s="359">
        <f t="shared" ca="1" si="74"/>
        <v>1.3553168445478636</v>
      </c>
      <c r="N195" s="357">
        <f t="shared" ca="1" si="75"/>
        <v>77.653935095580863</v>
      </c>
      <c r="O195" s="343"/>
      <c r="P195" s="363">
        <f t="shared" ca="1" si="76"/>
        <v>7</v>
      </c>
      <c r="Q195" s="357">
        <f t="shared" ca="1" si="77"/>
        <v>919.66623376623352</v>
      </c>
      <c r="R195" s="359">
        <f t="shared" ca="1" si="78"/>
        <v>0.46069048573557425</v>
      </c>
      <c r="S195" s="360">
        <f t="shared" ca="1" si="79"/>
        <v>10.553597497086841</v>
      </c>
      <c r="T195" s="357">
        <f t="shared" ca="1" si="59"/>
        <v>103.53079144642192</v>
      </c>
      <c r="U195" s="364">
        <f t="shared" ca="1" si="60"/>
        <v>0</v>
      </c>
      <c r="V195" s="359">
        <f t="shared" ca="1" si="61"/>
        <v>1.2075707535826736</v>
      </c>
      <c r="W195" s="357">
        <f t="shared" ca="1" si="62"/>
        <v>63.030913340451889</v>
      </c>
      <c r="X195" s="343"/>
      <c r="Y195" s="367" t="str">
        <f t="shared" ca="1" si="80"/>
        <v/>
      </c>
      <c r="Z195" s="368" t="str">
        <f t="shared" ca="1" si="81"/>
        <v/>
      </c>
      <c r="AA195" s="369" t="str">
        <f t="shared" ca="1" si="82"/>
        <v/>
      </c>
      <c r="AB195" s="344"/>
      <c r="AC195" s="363" t="e">
        <f t="shared" ca="1" si="83"/>
        <v>#N/A</v>
      </c>
      <c r="AD195" s="376" t="e">
        <f t="shared" ca="1" si="84"/>
        <v>#N/A</v>
      </c>
      <c r="AE195" s="377">
        <f t="shared" ca="1" si="63"/>
        <v>143.29898846030721</v>
      </c>
      <c r="AF195" s="344"/>
      <c r="AG195" s="359">
        <f t="shared" ca="1" si="85"/>
        <v>71.642153763319257</v>
      </c>
      <c r="AH195" s="357">
        <f t="shared" ca="1" si="86"/>
        <v>81.22557828854859</v>
      </c>
    </row>
    <row r="196" spans="1:34" x14ac:dyDescent="0.25">
      <c r="A196" s="402">
        <f t="shared" ca="1" si="64"/>
        <v>0.01</v>
      </c>
      <c r="B196" s="357">
        <f t="shared" ca="1" si="65"/>
        <v>1.9200000000000015</v>
      </c>
      <c r="C196" s="342"/>
      <c r="D196" s="359">
        <f t="shared" ca="1" si="66"/>
        <v>17.337463980438933</v>
      </c>
      <c r="E196" s="360">
        <f t="shared" ca="1" si="67"/>
        <v>69.400768558580026</v>
      </c>
      <c r="F196" s="357">
        <f t="shared" ca="1" si="68"/>
        <v>71.533588850236001</v>
      </c>
      <c r="G196" s="359">
        <f t="shared" ca="1" si="69"/>
        <v>32.49999662130957</v>
      </c>
      <c r="H196" s="360">
        <f t="shared" ca="1" si="70"/>
        <v>148.38669070697466</v>
      </c>
      <c r="I196" s="357">
        <f t="shared" ca="1" si="71"/>
        <v>151.90411370121777</v>
      </c>
      <c r="J196" s="359">
        <f t="shared" ca="1" si="72"/>
        <v>29.903686382766583</v>
      </c>
      <c r="K196" s="360">
        <f t="shared" ca="1" si="73"/>
        <v>144.77938532894902</v>
      </c>
      <c r="L196" s="357">
        <f t="shared" ref="L196:L259" ca="1" si="87">SQRT(pos_x^2+pos_z^2)</f>
        <v>147.83538438245142</v>
      </c>
      <c r="M196" s="359">
        <f t="shared" ca="1" si="74"/>
        <v>1.3551787618185251</v>
      </c>
      <c r="N196" s="357">
        <f t="shared" ca="1" si="75"/>
        <v>77.646023537966116</v>
      </c>
      <c r="O196" s="343"/>
      <c r="P196" s="363">
        <f t="shared" ca="1" si="76"/>
        <v>7</v>
      </c>
      <c r="Q196" s="357">
        <f t="shared" ca="1" si="77"/>
        <v>918.40649350649323</v>
      </c>
      <c r="R196" s="359">
        <f t="shared" ca="1" si="78"/>
        <v>0.46005944119914094</v>
      </c>
      <c r="S196" s="360">
        <f t="shared" ca="1" si="79"/>
        <v>10.548996902674849</v>
      </c>
      <c r="T196" s="357">
        <f t="shared" ref="T196:T259" ca="1" si="88">m*g</f>
        <v>103.48565961524028</v>
      </c>
      <c r="U196" s="364">
        <f t="shared" ref="U196:U259" ca="1" si="89">IF(pos_xz&lt;L_rampe,Poids*COS(Beta),0)</f>
        <v>0</v>
      </c>
      <c r="V196" s="359">
        <f t="shared" ref="V196:V259" ca="1" si="90">Rho_moyen*(20000-Alt_rampe-pos_z)/(20000+Alt_rampe+pos_z)</f>
        <v>1.2073919891466149</v>
      </c>
      <c r="W196" s="357">
        <f t="shared" ref="W196:W259" ca="1" si="91">1/2*Rho*Sref*Cx*vit_xz^2</f>
        <v>63.619097360678559</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144.77938532894902</v>
      </c>
      <c r="AF196" s="344"/>
      <c r="AG196" s="359">
        <f t="shared" ca="1" si="85"/>
        <v>71.502829924411785</v>
      </c>
      <c r="AH196" s="357">
        <f t="shared" ca="1" si="86"/>
        <v>81.085963723162024</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17.318465071415076</v>
      </c>
      <c r="E197" s="360">
        <f t="shared" ref="E197:E260" ca="1" si="96">IF(AND(L196&lt;L_rampe,Poussee&lt;Poids*SIN(M196)),0,(-W196+Poussee)/m*SIN(M196)+U196/m*COS(M196)-Poids/m)</f>
        <v>69.261691914780968</v>
      </c>
      <c r="F197" s="357">
        <f t="shared" ref="F197:F260" ca="1" si="97">SQRT(acc_x^2+acc_z^2)</f>
        <v>71.39405577026605</v>
      </c>
      <c r="G197" s="359">
        <f t="shared" ref="G197:G260" ca="1" si="98">G196+acc_x*pas</f>
        <v>32.673181272023719</v>
      </c>
      <c r="H197" s="360">
        <f t="shared" ref="H197:H260" ca="1" si="99">H196+acc_z*pas</f>
        <v>149.07930762612247</v>
      </c>
      <c r="I197" s="357">
        <f t="shared" ref="I197:I260" ca="1" si="100">SQRT(vit_x^2+vit_z^2)</f>
        <v>152.61774712240572</v>
      </c>
      <c r="J197" s="359">
        <f t="shared" ref="J197:J260" ca="1" si="101">J196+0.5*(vit_x+G196)*pas*(K196&gt;=0)</f>
        <v>30.229552272233249</v>
      </c>
      <c r="K197" s="360">
        <f t="shared" ref="K197:K260" ca="1" si="102">K196+0.5*(vit_z+H196)*pas</f>
        <v>146.26671532061451</v>
      </c>
      <c r="L197" s="357">
        <f t="shared" ca="1" si="87"/>
        <v>149.35788509905115</v>
      </c>
      <c r="M197" s="359">
        <f t="shared" ref="M197:M260" ca="1" si="103">IF(AND(L196&gt;L_rampe,G197&gt;0),ATAN2(G197,H197),$M$4)</f>
        <v>1.3550412380543133</v>
      </c>
      <c r="N197" s="357">
        <f t="shared" ref="N197:N260" ca="1" si="104">DEGREES(Beta)</f>
        <v>77.638144006694034</v>
      </c>
      <c r="O197" s="343"/>
      <c r="P197" s="363">
        <f t="shared" ref="P197:P260" ca="1" si="105">MATCH(t-pas/2-T_ini,CdP_t)</f>
        <v>7</v>
      </c>
      <c r="Q197" s="357">
        <f t="shared" ref="Q197:Q260" ca="1" si="106">(INDEX(CdP,2,i_P+1)-INDEX(CdP,2,i_P+0))/(INDEX(CdP,1,i_P+1)-INDEX(CdP,1,i_P+0))*(t-pas/2-T_ini-INDEX(CdP,1,i_P+0))+INDEX(CdP,2,i_P+0)</f>
        <v>917.14675324675295</v>
      </c>
      <c r="R197" s="359">
        <f t="shared" ref="R197:R260" ca="1" si="107">Poussee/(g*ISP)</f>
        <v>0.45942839666270757</v>
      </c>
      <c r="S197" s="360">
        <f t="shared" ref="S197:S260" ca="1" si="108">S196-Débit*pas</f>
        <v>10.544402618708222</v>
      </c>
      <c r="T197" s="357">
        <f t="shared" ca="1" si="88"/>
        <v>103.44058968952767</v>
      </c>
      <c r="U197" s="364">
        <f t="shared" ca="1" si="89"/>
        <v>0</v>
      </c>
      <c r="V197" s="359">
        <f t="shared" ca="1" si="90"/>
        <v>1.2072124139623852</v>
      </c>
      <c r="W197" s="357">
        <f t="shared" ca="1" si="91"/>
        <v>64.208705193294321</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146.26671532061451</v>
      </c>
      <c r="AF197" s="344"/>
      <c r="AG197" s="359">
        <f t="shared" ref="AG197:AG260" ca="1" si="114">IF(AND(L196&lt;L_rampe,Poussee&lt;Poids*SIN(M196)),0,(-W196+Poussee)/m-Poids*SIN(M196)/m)</f>
        <v>71.363197797458497</v>
      </c>
      <c r="AH197" s="357">
        <f t="shared" ref="AH197:AH260" ca="1" si="115">IF(AND(L196&lt;L_rampe,Poussee&lt;Poids*SIN(M196)), g*SIN(M196), (-W196+Poussee)/m)</f>
        <v>80.946041871705262</v>
      </c>
    </row>
    <row r="198" spans="1:34" x14ac:dyDescent="0.25">
      <c r="A198" s="402">
        <f t="shared" ca="1" si="93"/>
        <v>0.01</v>
      </c>
      <c r="B198" s="357">
        <f t="shared" ca="1" si="94"/>
        <v>1.9400000000000015</v>
      </c>
      <c r="C198" s="342"/>
      <c r="D198" s="359">
        <f t="shared" ca="1" si="95"/>
        <v>17.29931857188652</v>
      </c>
      <c r="E198" s="360">
        <f t="shared" ca="1" si="96"/>
        <v>69.122333329561584</v>
      </c>
      <c r="F198" s="357">
        <f t="shared" ca="1" si="97"/>
        <v>71.254216632944875</v>
      </c>
      <c r="G198" s="359">
        <f t="shared" ca="1" si="98"/>
        <v>32.846174457742585</v>
      </c>
      <c r="H198" s="360">
        <f t="shared" ca="1" si="99"/>
        <v>149.7705309594181</v>
      </c>
      <c r="I198" s="357">
        <f t="shared" ca="1" si="100"/>
        <v>153.32998115298417</v>
      </c>
      <c r="J198" s="359">
        <f t="shared" ca="1" si="101"/>
        <v>30.557149050882082</v>
      </c>
      <c r="K198" s="360">
        <f t="shared" ca="1" si="102"/>
        <v>147.76096451354221</v>
      </c>
      <c r="L198" s="357">
        <f t="shared" ca="1" si="87"/>
        <v>150.88751436779023</v>
      </c>
      <c r="M198" s="359">
        <f t="shared" ca="1" si="103"/>
        <v>1.3549042671540314</v>
      </c>
      <c r="N198" s="357">
        <f t="shared" ca="1" si="104"/>
        <v>77.630296152191775</v>
      </c>
      <c r="O198" s="343"/>
      <c r="P198" s="363">
        <f t="shared" ca="1" si="105"/>
        <v>7</v>
      </c>
      <c r="Q198" s="357">
        <f t="shared" ca="1" si="106"/>
        <v>915.88701298701278</v>
      </c>
      <c r="R198" s="359">
        <f t="shared" ca="1" si="107"/>
        <v>0.45879735212627432</v>
      </c>
      <c r="S198" s="360">
        <f t="shared" ca="1" si="108"/>
        <v>10.53981464518696</v>
      </c>
      <c r="T198" s="357">
        <f t="shared" ca="1" si="88"/>
        <v>103.39558166928408</v>
      </c>
      <c r="U198" s="364">
        <f t="shared" ca="1" si="89"/>
        <v>0</v>
      </c>
      <c r="V198" s="359">
        <f t="shared" ca="1" si="90"/>
        <v>1.2070320300754116</v>
      </c>
      <c r="W198" s="357">
        <f t="shared" ca="1" si="91"/>
        <v>64.799715938367925</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147.76096451354221</v>
      </c>
      <c r="AF198" s="344"/>
      <c r="AG198" s="359">
        <f t="shared" ca="1" si="114"/>
        <v>71.223259226442991</v>
      </c>
      <c r="AH198" s="357">
        <f t="shared" ca="1" si="115"/>
        <v>80.805814567397547</v>
      </c>
    </row>
    <row r="199" spans="1:34" x14ac:dyDescent="0.25">
      <c r="A199" s="402">
        <f t="shared" ca="1" si="93"/>
        <v>0.01</v>
      </c>
      <c r="B199" s="357">
        <f t="shared" ca="1" si="94"/>
        <v>1.9500000000000015</v>
      </c>
      <c r="C199" s="342"/>
      <c r="D199" s="359">
        <f t="shared" ca="1" si="95"/>
        <v>17.280025468131399</v>
      </c>
      <c r="E199" s="360">
        <f t="shared" ca="1" si="96"/>
        <v>68.98269449426698</v>
      </c>
      <c r="F199" s="357">
        <f t="shared" ca="1" si="97"/>
        <v>71.11407328981123</v>
      </c>
      <c r="G199" s="359">
        <f t="shared" ca="1" si="98"/>
        <v>33.018974712423898</v>
      </c>
      <c r="H199" s="360">
        <f t="shared" ca="1" si="99"/>
        <v>150.46035790436076</v>
      </c>
      <c r="I199" s="357">
        <f t="shared" ca="1" si="100"/>
        <v>154.04081274703799</v>
      </c>
      <c r="J199" s="359">
        <f t="shared" ca="1" si="101"/>
        <v>30.886474796732912</v>
      </c>
      <c r="K199" s="360">
        <f t="shared" ca="1" si="102"/>
        <v>149.26211895786111</v>
      </c>
      <c r="L199" s="357">
        <f t="shared" ca="1" si="87"/>
        <v>152.42425817815186</v>
      </c>
      <c r="M199" s="359">
        <f t="shared" ca="1" si="103"/>
        <v>1.3547678431096581</v>
      </c>
      <c r="N199" s="357">
        <f t="shared" ca="1" si="104"/>
        <v>77.622479630225072</v>
      </c>
      <c r="O199" s="343"/>
      <c r="P199" s="363">
        <f t="shared" ca="1" si="105"/>
        <v>7</v>
      </c>
      <c r="Q199" s="357">
        <f t="shared" ca="1" si="106"/>
        <v>914.6272727272725</v>
      </c>
      <c r="R199" s="359">
        <f t="shared" ca="1" si="107"/>
        <v>0.45816630758984095</v>
      </c>
      <c r="S199" s="360">
        <f t="shared" ca="1" si="108"/>
        <v>10.535232982111062</v>
      </c>
      <c r="T199" s="357">
        <f t="shared" ca="1" si="88"/>
        <v>103.35063555450952</v>
      </c>
      <c r="U199" s="364">
        <f t="shared" ca="1" si="89"/>
        <v>0</v>
      </c>
      <c r="V199" s="359">
        <f t="shared" ca="1" si="90"/>
        <v>1.2068508395350772</v>
      </c>
      <c r="W199" s="357">
        <f t="shared" ca="1" si="91"/>
        <v>65.392108704989468</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149.26211895786111</v>
      </c>
      <c r="AF199" s="344"/>
      <c r="AG199" s="359">
        <f t="shared" ca="1" si="114"/>
        <v>71.08301605870281</v>
      </c>
      <c r="AH199" s="357">
        <f t="shared" ca="1" si="115"/>
        <v>80.665283646970209</v>
      </c>
    </row>
    <row r="200" spans="1:34" x14ac:dyDescent="0.25">
      <c r="A200" s="402">
        <f t="shared" ca="1" si="93"/>
        <v>0.01</v>
      </c>
      <c r="B200" s="357">
        <f t="shared" ca="1" si="94"/>
        <v>1.9600000000000015</v>
      </c>
      <c r="C200" s="342"/>
      <c r="D200" s="359">
        <f t="shared" ca="1" si="95"/>
        <v>17.260586738370208</v>
      </c>
      <c r="E200" s="360">
        <f t="shared" ca="1" si="96"/>
        <v>68.842777105076792</v>
      </c>
      <c r="F200" s="357">
        <f t="shared" ca="1" si="97"/>
        <v>70.973627595692804</v>
      </c>
      <c r="G200" s="359">
        <f t="shared" ca="1" si="98"/>
        <v>33.191580579807599</v>
      </c>
      <c r="H200" s="360">
        <f t="shared" ca="1" si="99"/>
        <v>151.14878567541152</v>
      </c>
      <c r="I200" s="357">
        <f t="shared" ca="1" si="100"/>
        <v>154.75023887715761</v>
      </c>
      <c r="J200" s="359">
        <f t="shared" ca="1" si="101"/>
        <v>31.217527573194069</v>
      </c>
      <c r="K200" s="360">
        <f t="shared" ca="1" si="102"/>
        <v>150.77016467575996</v>
      </c>
      <c r="L200" s="357">
        <f t="shared" ca="1" si="87"/>
        <v>153.96810248924584</v>
      </c>
      <c r="M200" s="359">
        <f t="shared" ca="1" si="103"/>
        <v>1.3546319600044237</v>
      </c>
      <c r="N200" s="357">
        <f t="shared" ca="1" si="104"/>
        <v>77.614694101788004</v>
      </c>
      <c r="O200" s="343"/>
      <c r="P200" s="363">
        <f t="shared" ca="1" si="105"/>
        <v>7</v>
      </c>
      <c r="Q200" s="357">
        <f t="shared" ca="1" si="106"/>
        <v>913.36753246753221</v>
      </c>
      <c r="R200" s="359">
        <f t="shared" ca="1" si="107"/>
        <v>0.45753526305340764</v>
      </c>
      <c r="S200" s="360">
        <f t="shared" ca="1" si="108"/>
        <v>10.530657629480528</v>
      </c>
      <c r="T200" s="357">
        <f t="shared" ca="1" si="88"/>
        <v>103.30575134520399</v>
      </c>
      <c r="U200" s="364">
        <f t="shared" ca="1" si="89"/>
        <v>0</v>
      </c>
      <c r="V200" s="359">
        <f t="shared" ca="1" si="90"/>
        <v>1.2066688443946851</v>
      </c>
      <c r="W200" s="357">
        <f t="shared" ca="1" si="91"/>
        <v>65.985862612059236</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150.77016467575996</v>
      </c>
      <c r="AF200" s="344"/>
      <c r="AG200" s="359">
        <f t="shared" ca="1" si="114"/>
        <v>70.942470144854269</v>
      </c>
      <c r="AH200" s="357">
        <f t="shared" ca="1" si="115"/>
        <v>80.524450950588246</v>
      </c>
    </row>
    <row r="201" spans="1:34" x14ac:dyDescent="0.25">
      <c r="A201" s="402">
        <f t="shared" ca="1" si="93"/>
        <v>0.01</v>
      </c>
      <c r="B201" s="357">
        <f t="shared" ca="1" si="94"/>
        <v>1.9700000000000015</v>
      </c>
      <c r="C201" s="342"/>
      <c r="D201" s="359">
        <f t="shared" ca="1" si="95"/>
        <v>17.241003352940488</v>
      </c>
      <c r="E201" s="360">
        <f t="shared" ca="1" si="96"/>
        <v>68.702582862896563</v>
      </c>
      <c r="F201" s="357">
        <f t="shared" ca="1" si="97"/>
        <v>70.832881408631636</v>
      </c>
      <c r="G201" s="359">
        <f t="shared" ca="1" si="98"/>
        <v>33.363990613337002</v>
      </c>
      <c r="H201" s="360">
        <f t="shared" ca="1" si="99"/>
        <v>151.83581150404049</v>
      </c>
      <c r="I201" s="357">
        <f t="shared" ca="1" si="100"/>
        <v>155.45825653447085</v>
      </c>
      <c r="J201" s="359">
        <f t="shared" ca="1" si="101"/>
        <v>31.550305429159792</v>
      </c>
      <c r="K201" s="360">
        <f t="shared" ca="1" si="102"/>
        <v>152.28508766165723</v>
      </c>
      <c r="L201" s="357">
        <f t="shared" ca="1" si="87"/>
        <v>155.51903322999374</v>
      </c>
      <c r="M201" s="359">
        <f t="shared" ca="1" si="103"/>
        <v>1.3544966120109374</v>
      </c>
      <c r="N201" s="357">
        <f t="shared" ca="1" si="104"/>
        <v>77.606939232995686</v>
      </c>
      <c r="O201" s="343"/>
      <c r="P201" s="363">
        <f t="shared" ca="1" si="105"/>
        <v>7</v>
      </c>
      <c r="Q201" s="357">
        <f t="shared" ca="1" si="106"/>
        <v>912.10779220779193</v>
      </c>
      <c r="R201" s="359">
        <f t="shared" ca="1" si="107"/>
        <v>0.45690421851697427</v>
      </c>
      <c r="S201" s="360">
        <f t="shared" ca="1" si="108"/>
        <v>10.526088587295359</v>
      </c>
      <c r="T201" s="357">
        <f t="shared" ca="1" si="88"/>
        <v>103.26092904136748</v>
      </c>
      <c r="U201" s="364">
        <f t="shared" ca="1" si="89"/>
        <v>0</v>
      </c>
      <c r="V201" s="359">
        <f t="shared" ca="1" si="90"/>
        <v>1.2064860467114227</v>
      </c>
      <c r="W201" s="357">
        <f t="shared" ca="1" si="91"/>
        <v>66.580956789073412</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152.28508766165723</v>
      </c>
      <c r="AF201" s="344"/>
      <c r="AG201" s="359">
        <f t="shared" ca="1" si="114"/>
        <v>70.801623338717107</v>
      </c>
      <c r="AH201" s="357">
        <f t="shared" ca="1" si="115"/>
        <v>80.383318321771867</v>
      </c>
    </row>
    <row r="202" spans="1:34" x14ac:dyDescent="0.25">
      <c r="A202" s="402">
        <f t="shared" ca="1" si="93"/>
        <v>0.01</v>
      </c>
      <c r="B202" s="357">
        <f t="shared" ca="1" si="94"/>
        <v>1.9800000000000015</v>
      </c>
      <c r="C202" s="342"/>
      <c r="D202" s="359">
        <f t="shared" ca="1" si="95"/>
        <v>17.221276274466419</v>
      </c>
      <c r="E202" s="360">
        <f t="shared" ca="1" si="96"/>
        <v>68.562113473249781</v>
      </c>
      <c r="F202" s="357">
        <f t="shared" ca="1" si="97"/>
        <v>70.691836589809142</v>
      </c>
      <c r="G202" s="359">
        <f t="shared" ca="1" si="98"/>
        <v>33.536203376081666</v>
      </c>
      <c r="H202" s="360">
        <f t="shared" ca="1" si="99"/>
        <v>152.52143263877298</v>
      </c>
      <c r="I202" s="357">
        <f t="shared" ca="1" si="100"/>
        <v>156.16486272867425</v>
      </c>
      <c r="J202" s="359">
        <f t="shared" ca="1" si="101"/>
        <v>31.884806399106886</v>
      </c>
      <c r="K202" s="360">
        <f t="shared" ca="1" si="102"/>
        <v>153.80687388237129</v>
      </c>
      <c r="L202" s="357">
        <f t="shared" ca="1" si="87"/>
        <v>157.07703629931459</v>
      </c>
      <c r="M202" s="359">
        <f t="shared" ca="1" si="103"/>
        <v>1.3543617933893626</v>
      </c>
      <c r="N202" s="357">
        <f t="shared" ca="1" si="104"/>
        <v>77.599214694979679</v>
      </c>
      <c r="O202" s="343"/>
      <c r="P202" s="363">
        <f t="shared" ca="1" si="105"/>
        <v>7</v>
      </c>
      <c r="Q202" s="357">
        <f t="shared" ca="1" si="106"/>
        <v>910.84805194805176</v>
      </c>
      <c r="R202" s="359">
        <f t="shared" ca="1" si="107"/>
        <v>0.45627317398054101</v>
      </c>
      <c r="S202" s="360">
        <f t="shared" ca="1" si="108"/>
        <v>10.521525855555554</v>
      </c>
      <c r="T202" s="357">
        <f t="shared" ca="1" si="88"/>
        <v>103.21616864299999</v>
      </c>
      <c r="U202" s="364">
        <f t="shared" ca="1" si="89"/>
        <v>0</v>
      </c>
      <c r="V202" s="359">
        <f t="shared" ca="1" si="90"/>
        <v>1.206302448546327</v>
      </c>
      <c r="W202" s="357">
        <f t="shared" ca="1" si="91"/>
        <v>67.177370376907206</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153.80687388237129</v>
      </c>
      <c r="AF202" s="344"/>
      <c r="AG202" s="359">
        <f t="shared" ca="1" si="114"/>
        <v>70.660477497238901</v>
      </c>
      <c r="AH202" s="357">
        <f t="shared" ca="1" si="115"/>
        <v>80.241887607317921</v>
      </c>
    </row>
    <row r="203" spans="1:34" x14ac:dyDescent="0.25">
      <c r="A203" s="402">
        <f t="shared" ca="1" si="93"/>
        <v>0.01</v>
      </c>
      <c r="B203" s="357">
        <f t="shared" ca="1" si="94"/>
        <v>1.9900000000000015</v>
      </c>
      <c r="C203" s="342"/>
      <c r="D203" s="359">
        <f t="shared" ca="1" si="95"/>
        <v>17.201406458023676</v>
      </c>
      <c r="E203" s="360">
        <f t="shared" ca="1" si="96"/>
        <v>68.421370646170914</v>
      </c>
      <c r="F203" s="357">
        <f t="shared" ca="1" si="97"/>
        <v>70.550495003471369</v>
      </c>
      <c r="G203" s="359">
        <f t="shared" ca="1" si="98"/>
        <v>33.708217440661905</v>
      </c>
      <c r="H203" s="360">
        <f t="shared" ca="1" si="99"/>
        <v>153.2056463452347</v>
      </c>
      <c r="I203" s="357">
        <f t="shared" ca="1" si="100"/>
        <v>156.87005448806369</v>
      </c>
      <c r="J203" s="359">
        <f t="shared" ca="1" si="101"/>
        <v>32.221028503190603</v>
      </c>
      <c r="K203" s="360">
        <f t="shared" ca="1" si="102"/>
        <v>155.33550927729132</v>
      </c>
      <c r="L203" s="357">
        <f t="shared" ca="1" si="87"/>
        <v>158.64209756631081</v>
      </c>
      <c r="M203" s="359">
        <f t="shared" ca="1" si="103"/>
        <v>1.3542274984856382</v>
      </c>
      <c r="N203" s="357">
        <f t="shared" ca="1" si="104"/>
        <v>77.591520163786143</v>
      </c>
      <c r="O203" s="343"/>
      <c r="P203" s="363">
        <f t="shared" ca="1" si="105"/>
        <v>7</v>
      </c>
      <c r="Q203" s="357">
        <f t="shared" ca="1" si="106"/>
        <v>909.58831168831148</v>
      </c>
      <c r="R203" s="359">
        <f t="shared" ca="1" si="107"/>
        <v>0.45564212944410765</v>
      </c>
      <c r="S203" s="360">
        <f t="shared" ca="1" si="108"/>
        <v>10.516969434261114</v>
      </c>
      <c r="T203" s="357">
        <f t="shared" ca="1" si="88"/>
        <v>103.17147015010153</v>
      </c>
      <c r="U203" s="364">
        <f t="shared" ca="1" si="89"/>
        <v>0</v>
      </c>
      <c r="V203" s="359">
        <f t="shared" ca="1" si="90"/>
        <v>1.206118051964246</v>
      </c>
      <c r="W203" s="357">
        <f t="shared" ca="1" si="91"/>
        <v>67.77508252859505</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155.33550927729132</v>
      </c>
      <c r="AF203" s="344"/>
      <c r="AG203" s="359">
        <f t="shared" ca="1" si="114"/>
        <v>70.519034480419791</v>
      </c>
      <c r="AH203" s="357">
        <f t="shared" ca="1" si="115"/>
        <v>80.100160657221608</v>
      </c>
    </row>
    <row r="204" spans="1:34" x14ac:dyDescent="0.25">
      <c r="A204" s="402">
        <f t="shared" ca="1" si="93"/>
        <v>0.01</v>
      </c>
      <c r="B204" s="357">
        <f t="shared" ca="1" si="94"/>
        <v>2.0000000000000013</v>
      </c>
      <c r="C204" s="342"/>
      <c r="D204" s="359">
        <f t="shared" ca="1" si="95"/>
        <v>17.181394851299505</v>
      </c>
      <c r="E204" s="360">
        <f t="shared" ca="1" si="96"/>
        <v>68.28035609609914</v>
      </c>
      <c r="F204" s="357">
        <f t="shared" ca="1" si="97"/>
        <v>70.408858516853996</v>
      </c>
      <c r="G204" s="359">
        <f t="shared" ca="1" si="98"/>
        <v>33.880031389174903</v>
      </c>
      <c r="H204" s="360">
        <f t="shared" ca="1" si="99"/>
        <v>153.88844990619569</v>
      </c>
      <c r="I204" s="357">
        <f t="shared" ca="1" si="100"/>
        <v>157.57382885956406</v>
      </c>
      <c r="J204" s="359">
        <f t="shared" ca="1" si="101"/>
        <v>32.558969747339788</v>
      </c>
      <c r="K204" s="360">
        <f t="shared" ca="1" si="102"/>
        <v>156.87097975854849</v>
      </c>
      <c r="L204" s="357">
        <f t="shared" ca="1" si="87"/>
        <v>160.21420287045439</v>
      </c>
      <c r="M204" s="359">
        <f t="shared" ca="1" si="103"/>
        <v>1.3540937217297455</v>
      </c>
      <c r="N204" s="357">
        <f t="shared" ca="1" si="104"/>
        <v>77.583855320276555</v>
      </c>
      <c r="O204" s="343"/>
      <c r="P204" s="363">
        <f t="shared" ca="1" si="105"/>
        <v>7</v>
      </c>
      <c r="Q204" s="357">
        <f t="shared" ca="1" si="106"/>
        <v>908.32857142857119</v>
      </c>
      <c r="R204" s="359">
        <f t="shared" ca="1" si="107"/>
        <v>0.45501108490767428</v>
      </c>
      <c r="S204" s="360">
        <f t="shared" ca="1" si="108"/>
        <v>10.512419323412036</v>
      </c>
      <c r="T204" s="357">
        <f t="shared" ca="1" si="88"/>
        <v>103.12683356267208</v>
      </c>
      <c r="U204" s="364">
        <f t="shared" ca="1" si="89"/>
        <v>0</v>
      </c>
      <c r="V204" s="359">
        <f t="shared" ca="1" si="90"/>
        <v>1.2059328590338063</v>
      </c>
      <c r="W204" s="357">
        <f t="shared" ca="1" si="91"/>
        <v>68.374072410107971</v>
      </c>
      <c r="X204" s="343"/>
      <c r="Y204" s="367" t="str">
        <f t="shared" ca="1" si="109"/>
        <v/>
      </c>
      <c r="Z204" s="368" t="str">
        <f t="shared" ca="1" si="110"/>
        <v/>
      </c>
      <c r="AA204" s="369" t="str">
        <f t="shared" ca="1" si="111"/>
        <v/>
      </c>
      <c r="AB204" s="344"/>
      <c r="AC204" s="363">
        <f t="shared" ca="1" si="112"/>
        <v>2.0000000000000013</v>
      </c>
      <c r="AD204" s="376">
        <f t="shared" ca="1" si="113"/>
        <v>32.558969747339788</v>
      </c>
      <c r="AE204" s="377">
        <f t="shared" ca="1" si="92"/>
        <v>156.87097975854849</v>
      </c>
      <c r="AF204" s="344"/>
      <c r="AG204" s="359">
        <f t="shared" ca="1" si="114"/>
        <v>70.377296151236919</v>
      </c>
      <c r="AH204" s="357">
        <f t="shared" ca="1" si="115"/>
        <v>79.958139324598037</v>
      </c>
    </row>
    <row r="205" spans="1:34" x14ac:dyDescent="0.25">
      <c r="A205" s="402">
        <f t="shared" ca="1" si="93"/>
        <v>0.01</v>
      </c>
      <c r="B205" s="357">
        <f t="shared" ca="1" si="94"/>
        <v>2.0100000000000011</v>
      </c>
      <c r="C205" s="342"/>
      <c r="D205" s="359">
        <f t="shared" ca="1" si="95"/>
        <v>17.161242394748296</v>
      </c>
      <c r="E205" s="360">
        <f t="shared" ca="1" si="96"/>
        <v>68.139071541772879</v>
      </c>
      <c r="F205" s="357">
        <f t="shared" ca="1" si="97"/>
        <v>70.266929000107496</v>
      </c>
      <c r="G205" s="359">
        <f t="shared" ca="1" si="98"/>
        <v>34.051643813122382</v>
      </c>
      <c r="H205" s="360">
        <f t="shared" ca="1" si="99"/>
        <v>154.56984062161342</v>
      </c>
      <c r="I205" s="357">
        <f t="shared" ca="1" si="100"/>
        <v>158.27618290875836</v>
      </c>
      <c r="J205" s="359">
        <f t="shared" ca="1" si="101"/>
        <v>32.898628123351273</v>
      </c>
      <c r="K205" s="360">
        <f t="shared" ca="1" si="102"/>
        <v>158.41327121118752</v>
      </c>
      <c r="L205" s="357">
        <f t="shared" ca="1" si="87"/>
        <v>161.79333802177334</v>
      </c>
      <c r="M205" s="359">
        <f t="shared" ca="1" si="103"/>
        <v>1.3539604576340183</v>
      </c>
      <c r="N205" s="357">
        <f t="shared" ca="1" si="104"/>
        <v>77.576219850030753</v>
      </c>
      <c r="O205" s="343"/>
      <c r="P205" s="363">
        <f t="shared" ca="1" si="105"/>
        <v>7</v>
      </c>
      <c r="Q205" s="357">
        <f t="shared" ca="1" si="106"/>
        <v>907.06883116883091</v>
      </c>
      <c r="R205" s="359">
        <f t="shared" ca="1" si="107"/>
        <v>0.45438004037124097</v>
      </c>
      <c r="S205" s="360">
        <f t="shared" ca="1" si="108"/>
        <v>10.507875523008323</v>
      </c>
      <c r="T205" s="357">
        <f t="shared" ca="1" si="88"/>
        <v>103.08225888071165</v>
      </c>
      <c r="U205" s="364">
        <f t="shared" ca="1" si="89"/>
        <v>0</v>
      </c>
      <c r="V205" s="359">
        <f t="shared" ca="1" si="90"/>
        <v>1.2057468718273736</v>
      </c>
      <c r="W205" s="357">
        <f t="shared" ca="1" si="91"/>
        <v>68.974319201127798</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158.41327121118752</v>
      </c>
      <c r="AF205" s="344"/>
      <c r="AG205" s="359">
        <f t="shared" ca="1" si="114"/>
        <v>70.235264375568804</v>
      </c>
      <c r="AH205" s="357">
        <f t="shared" ca="1" si="115"/>
        <v>79.815825465603837</v>
      </c>
    </row>
    <row r="206" spans="1:34" x14ac:dyDescent="0.25">
      <c r="A206" s="402">
        <f t="shared" ca="1" si="93"/>
        <v>0.01</v>
      </c>
      <c r="B206" s="357">
        <f t="shared" ca="1" si="94"/>
        <v>2.0200000000000009</v>
      </c>
      <c r="C206" s="342"/>
      <c r="D206" s="359">
        <f t="shared" ca="1" si="95"/>
        <v>17.140950021742842</v>
      </c>
      <c r="E206" s="360">
        <f t="shared" ca="1" si="96"/>
        <v>67.997518706125234</v>
      </c>
      <c r="F206" s="357">
        <f t="shared" ca="1" si="97"/>
        <v>70.124708326222205</v>
      </c>
      <c r="G206" s="359">
        <f t="shared" ca="1" si="98"/>
        <v>34.223053313339811</v>
      </c>
      <c r="H206" s="360">
        <f t="shared" ca="1" si="99"/>
        <v>155.24981580867467</v>
      </c>
      <c r="I206" s="357">
        <f t="shared" ca="1" si="100"/>
        <v>158.97711371991602</v>
      </c>
      <c r="J206" s="359">
        <f t="shared" ca="1" si="101"/>
        <v>33.240001608983583</v>
      </c>
      <c r="K206" s="360">
        <f t="shared" ca="1" si="102"/>
        <v>159.96236949333897</v>
      </c>
      <c r="L206" s="357">
        <f t="shared" ca="1" si="87"/>
        <v>163.37948880103872</v>
      </c>
      <c r="M206" s="359">
        <f t="shared" ca="1" si="103"/>
        <v>1.3538277007914954</v>
      </c>
      <c r="N206" s="357">
        <f t="shared" ca="1" si="104"/>
        <v>77.568613443252701</v>
      </c>
      <c r="O206" s="343"/>
      <c r="P206" s="363">
        <f t="shared" ca="1" si="105"/>
        <v>7</v>
      </c>
      <c r="Q206" s="357">
        <f t="shared" ca="1" si="106"/>
        <v>905.80909090909074</v>
      </c>
      <c r="R206" s="359">
        <f t="shared" ca="1" si="107"/>
        <v>0.45374899583480766</v>
      </c>
      <c r="S206" s="360">
        <f t="shared" ca="1" si="108"/>
        <v>10.503338033049975</v>
      </c>
      <c r="T206" s="357">
        <f t="shared" ca="1" si="88"/>
        <v>103.03774610422026</v>
      </c>
      <c r="U206" s="364">
        <f t="shared" ca="1" si="89"/>
        <v>0</v>
      </c>
      <c r="V206" s="359">
        <f t="shared" ca="1" si="90"/>
        <v>1.2055600924210192</v>
      </c>
      <c r="W206" s="357">
        <f t="shared" ca="1" si="91"/>
        <v>69.575802095818844</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159.96236949333897</v>
      </c>
      <c r="AF206" s="344"/>
      <c r="AG206" s="359">
        <f t="shared" ca="1" si="114"/>
        <v>70.092941022119973</v>
      </c>
      <c r="AH206" s="357">
        <f t="shared" ca="1" si="115"/>
        <v>79.673220939358998</v>
      </c>
    </row>
    <row r="207" spans="1:34" x14ac:dyDescent="0.25">
      <c r="A207" s="402">
        <f t="shared" ca="1" si="93"/>
        <v>0.01</v>
      </c>
      <c r="B207" s="357">
        <f t="shared" ca="1" si="94"/>
        <v>2.0300000000000007</v>
      </c>
      <c r="C207" s="342"/>
      <c r="D207" s="359">
        <f t="shared" ca="1" si="95"/>
        <v>17.120518658721203</v>
      </c>
      <c r="E207" s="360">
        <f t="shared" ca="1" si="96"/>
        <v>67.85569931617988</v>
      </c>
      <c r="F207" s="357">
        <f t="shared" ca="1" si="97"/>
        <v>69.982198370953128</v>
      </c>
      <c r="G207" s="359">
        <f t="shared" ca="1" si="98"/>
        <v>34.394258499927027</v>
      </c>
      <c r="H207" s="360">
        <f t="shared" ca="1" si="99"/>
        <v>155.92837280183647</v>
      </c>
      <c r="I207" s="357">
        <f t="shared" ca="1" si="100"/>
        <v>159.67661839602033</v>
      </c>
      <c r="J207" s="359">
        <f t="shared" ca="1" si="101"/>
        <v>33.583088168049919</v>
      </c>
      <c r="K207" s="360">
        <f t="shared" ca="1" si="102"/>
        <v>161.51826043639153</v>
      </c>
      <c r="L207" s="357">
        <f t="shared" ca="1" si="87"/>
        <v>164.97264095995135</v>
      </c>
      <c r="M207" s="359">
        <f t="shared" ca="1" si="103"/>
        <v>1.3536954458743158</v>
      </c>
      <c r="N207" s="357">
        <f t="shared" ca="1" si="104"/>
        <v>77.56103579467846</v>
      </c>
      <c r="O207" s="343"/>
      <c r="P207" s="363">
        <f t="shared" ca="1" si="105"/>
        <v>7</v>
      </c>
      <c r="Q207" s="357">
        <f t="shared" ca="1" si="106"/>
        <v>904.54935064935046</v>
      </c>
      <c r="R207" s="359">
        <f t="shared" ca="1" si="107"/>
        <v>0.45311795129837434</v>
      </c>
      <c r="S207" s="360">
        <f t="shared" ca="1" si="108"/>
        <v>10.498806853536991</v>
      </c>
      <c r="T207" s="357">
        <f t="shared" ca="1" si="88"/>
        <v>102.99329523319788</v>
      </c>
      <c r="U207" s="364">
        <f t="shared" ca="1" si="89"/>
        <v>0</v>
      </c>
      <c r="V207" s="359">
        <f t="shared" ca="1" si="90"/>
        <v>1.2053725228944843</v>
      </c>
      <c r="W207" s="357">
        <f t="shared" ca="1" si="91"/>
        <v>70.178500303596024</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161.51826043639153</v>
      </c>
      <c r="AF207" s="344"/>
      <c r="AG207" s="359">
        <f t="shared" ca="1" si="114"/>
        <v>69.950327962345256</v>
      </c>
      <c r="AH207" s="357">
        <f t="shared" ca="1" si="115"/>
        <v>79.530327607868472</v>
      </c>
    </row>
    <row r="208" spans="1:34" x14ac:dyDescent="0.25">
      <c r="A208" s="402">
        <f t="shared" ca="1" si="93"/>
        <v>0.01</v>
      </c>
      <c r="B208" s="357">
        <f t="shared" ca="1" si="94"/>
        <v>2.0400000000000005</v>
      </c>
      <c r="C208" s="342"/>
      <c r="D208" s="359">
        <f t="shared" ca="1" si="95"/>
        <v>17.09994922532946</v>
      </c>
      <c r="E208" s="360">
        <f t="shared" ca="1" si="96"/>
        <v>67.713615102948197</v>
      </c>
      <c r="F208" s="357">
        <f t="shared" ca="1" si="97"/>
        <v>69.83940101274537</v>
      </c>
      <c r="G208" s="359">
        <f t="shared" ca="1" si="98"/>
        <v>34.565257992180321</v>
      </c>
      <c r="H208" s="360">
        <f t="shared" ca="1" si="99"/>
        <v>156.60550895286596</v>
      </c>
      <c r="I208" s="357">
        <f t="shared" ca="1" si="100"/>
        <v>160.37469405879523</v>
      </c>
      <c r="J208" s="359">
        <f t="shared" ca="1" si="101"/>
        <v>33.927885750510455</v>
      </c>
      <c r="K208" s="360">
        <f t="shared" ca="1" si="102"/>
        <v>163.08092984516503</v>
      </c>
      <c r="L208" s="357">
        <f t="shared" ca="1" si="87"/>
        <v>166.57278022132948</v>
      </c>
      <c r="M208" s="359">
        <f t="shared" ca="1" si="103"/>
        <v>1.3535636876321506</v>
      </c>
      <c r="N208" s="357">
        <f t="shared" ca="1" si="104"/>
        <v>77.553486603486334</v>
      </c>
      <c r="O208" s="343"/>
      <c r="P208" s="363">
        <f t="shared" ca="1" si="105"/>
        <v>7</v>
      </c>
      <c r="Q208" s="357">
        <f t="shared" ca="1" si="106"/>
        <v>903.28961038961029</v>
      </c>
      <c r="R208" s="359">
        <f t="shared" ca="1" si="107"/>
        <v>0.45248690676194103</v>
      </c>
      <c r="S208" s="360">
        <f t="shared" ca="1" si="108"/>
        <v>10.494281984469371</v>
      </c>
      <c r="T208" s="357">
        <f t="shared" ca="1" si="88"/>
        <v>102.94890626764453</v>
      </c>
      <c r="U208" s="364">
        <f t="shared" ca="1" si="89"/>
        <v>0</v>
      </c>
      <c r="V208" s="359">
        <f t="shared" ca="1" si="90"/>
        <v>1.2051841653311401</v>
      </c>
      <c r="W208" s="357">
        <f t="shared" ca="1" si="91"/>
        <v>70.782393049890132</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163.08092984516503</v>
      </c>
      <c r="AF208" s="344"/>
      <c r="AG208" s="359">
        <f t="shared" ca="1" si="114"/>
        <v>69.807427070374317</v>
      </c>
      <c r="AH208" s="357">
        <f t="shared" ca="1" si="115"/>
        <v>79.38714733594415</v>
      </c>
    </row>
    <row r="209" spans="1:34" x14ac:dyDescent="0.25">
      <c r="A209" s="402">
        <f t="shared" ca="1" si="93"/>
        <v>0.01</v>
      </c>
      <c r="B209" s="357">
        <f t="shared" ca="1" si="94"/>
        <v>2.0500000000000003</v>
      </c>
      <c r="C209" s="342"/>
      <c r="D209" s="359">
        <f t="shared" ca="1" si="95"/>
        <v>17.079242634560586</v>
      </c>
      <c r="E209" s="360">
        <f t="shared" ca="1" si="96"/>
        <v>67.571267801326528</v>
      </c>
      <c r="F209" s="357">
        <f t="shared" ca="1" si="97"/>
        <v>69.69631813265876</v>
      </c>
      <c r="G209" s="359">
        <f t="shared" ca="1" si="98"/>
        <v>34.736050418525927</v>
      </c>
      <c r="H209" s="360">
        <f t="shared" ca="1" si="99"/>
        <v>157.28122163087923</v>
      </c>
      <c r="I209" s="357">
        <f t="shared" ca="1" si="100"/>
        <v>161.07133784873128</v>
      </c>
      <c r="J209" s="359">
        <f t="shared" ca="1" si="101"/>
        <v>34.274392292563988</v>
      </c>
      <c r="K209" s="360">
        <f t="shared" ca="1" si="102"/>
        <v>164.65036349808375</v>
      </c>
      <c r="L209" s="357">
        <f t="shared" ca="1" si="87"/>
        <v>168.17989227929621</v>
      </c>
      <c r="M209" s="359">
        <f t="shared" ca="1" si="103"/>
        <v>1.3534324208906776</v>
      </c>
      <c r="N209" s="357">
        <f t="shared" ca="1" si="104"/>
        <v>77.5459655732095</v>
      </c>
      <c r="O209" s="343"/>
      <c r="P209" s="363">
        <f t="shared" ca="1" si="105"/>
        <v>7</v>
      </c>
      <c r="Q209" s="357">
        <f t="shared" ca="1" si="106"/>
        <v>902.02987012987001</v>
      </c>
      <c r="R209" s="359">
        <f t="shared" ca="1" si="107"/>
        <v>0.45185586222550772</v>
      </c>
      <c r="S209" s="360">
        <f t="shared" ca="1" si="108"/>
        <v>10.489763425847116</v>
      </c>
      <c r="T209" s="357">
        <f t="shared" ca="1" si="88"/>
        <v>102.9045792075602</v>
      </c>
      <c r="U209" s="364">
        <f t="shared" ca="1" si="89"/>
        <v>0</v>
      </c>
      <c r="V209" s="359">
        <f t="shared" ca="1" si="90"/>
        <v>1.204995021817957</v>
      </c>
      <c r="W209" s="357">
        <f t="shared" ca="1" si="91"/>
        <v>71.387459576910047</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164.65036349808375</v>
      </c>
      <c r="AF209" s="344"/>
      <c r="AG209" s="359">
        <f t="shared" ca="1" si="114"/>
        <v>69.664240222936002</v>
      </c>
      <c r="AH209" s="357">
        <f t="shared" ca="1" si="115"/>
        <v>79.243681991126621</v>
      </c>
    </row>
    <row r="210" spans="1:34" x14ac:dyDescent="0.25">
      <c r="A210" s="402">
        <f t="shared" ca="1" si="93"/>
        <v>0.01</v>
      </c>
      <c r="B210" s="357">
        <f t="shared" ca="1" si="94"/>
        <v>2.06</v>
      </c>
      <c r="C210" s="342"/>
      <c r="D210" s="359">
        <f t="shared" ca="1" si="95"/>
        <v>17.056556735508607</v>
      </c>
      <c r="E210" s="360">
        <f t="shared" ca="1" si="96"/>
        <v>67.420313977965421</v>
      </c>
      <c r="F210" s="357">
        <f t="shared" ca="1" si="97"/>
        <v>69.544409297649977</v>
      </c>
      <c r="G210" s="359">
        <f t="shared" ca="1" si="98"/>
        <v>34.906615985881011</v>
      </c>
      <c r="H210" s="360">
        <f t="shared" ca="1" si="99"/>
        <v>157.95542477065888</v>
      </c>
      <c r="I210" s="357">
        <f t="shared" ca="1" si="100"/>
        <v>161.76646146239659</v>
      </c>
      <c r="J210" s="359">
        <f t="shared" ca="1" si="101"/>
        <v>34.622605624586022</v>
      </c>
      <c r="K210" s="360">
        <f t="shared" ca="1" si="102"/>
        <v>166.22654673009143</v>
      </c>
      <c r="L210" s="357">
        <f t="shared" ca="1" si="87"/>
        <v>169.79396237218472</v>
      </c>
      <c r="M210" s="359">
        <f t="shared" ca="1" si="103"/>
        <v>1.3533016404809974</v>
      </c>
      <c r="N210" s="357">
        <f t="shared" ca="1" si="104"/>
        <v>77.538472407691827</v>
      </c>
      <c r="O210" s="343"/>
      <c r="P210" s="363">
        <f t="shared" ca="1" si="105"/>
        <v>8</v>
      </c>
      <c r="Q210" s="357">
        <f t="shared" ca="1" si="106"/>
        <v>900.68055555555543</v>
      </c>
      <c r="R210" s="359">
        <f t="shared" ca="1" si="107"/>
        <v>0.4511799470251579</v>
      </c>
      <c r="S210" s="360">
        <f t="shared" ca="1" si="108"/>
        <v>10.485251626376865</v>
      </c>
      <c r="T210" s="357">
        <f t="shared" ca="1" si="88"/>
        <v>102.86031845475705</v>
      </c>
      <c r="U210" s="364">
        <f t="shared" ca="1" si="89"/>
        <v>0</v>
      </c>
      <c r="V210" s="359">
        <f t="shared" ca="1" si="90"/>
        <v>1.2048050944957394</v>
      </c>
      <c r="W210" s="357">
        <f t="shared" ca="1" si="91"/>
        <v>71.993603077616058</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166.22654673009143</v>
      </c>
      <c r="AF210" s="344"/>
      <c r="AG210" s="359">
        <f t="shared" ca="1" si="114"/>
        <v>69.512223027773857</v>
      </c>
      <c r="AH210" s="357">
        <f t="shared" ca="1" si="115"/>
        <v>79.091387172098237</v>
      </c>
    </row>
    <row r="211" spans="1:34" x14ac:dyDescent="0.25">
      <c r="A211" s="402">
        <f t="shared" ca="1" si="93"/>
        <v>0.01</v>
      </c>
      <c r="B211" s="357">
        <f t="shared" ca="1" si="94"/>
        <v>2.0699999999999998</v>
      </c>
      <c r="C211" s="342"/>
      <c r="D211" s="359">
        <f t="shared" ca="1" si="95"/>
        <v>17.031887622339315</v>
      </c>
      <c r="E211" s="360">
        <f t="shared" ca="1" si="96"/>
        <v>67.260749141678289</v>
      </c>
      <c r="F211" s="357">
        <f t="shared" ca="1" si="97"/>
        <v>69.383669339980656</v>
      </c>
      <c r="G211" s="359">
        <f t="shared" ca="1" si="98"/>
        <v>35.076934862104402</v>
      </c>
      <c r="H211" s="360">
        <f t="shared" ca="1" si="99"/>
        <v>158.62803226207566</v>
      </c>
      <c r="I211" s="357">
        <f t="shared" ca="1" si="100"/>
        <v>162.45997654394276</v>
      </c>
      <c r="J211" s="359">
        <f t="shared" ca="1" si="101"/>
        <v>34.972523378825947</v>
      </c>
      <c r="K211" s="360">
        <f t="shared" ca="1" si="102"/>
        <v>167.80946401525509</v>
      </c>
      <c r="L211" s="357">
        <f t="shared" ca="1" si="87"/>
        <v>171.41497485508586</v>
      </c>
      <c r="M211" s="359">
        <f t="shared" ca="1" si="103"/>
        <v>1.3531713412402762</v>
      </c>
      <c r="N211" s="357">
        <f t="shared" ca="1" si="104"/>
        <v>77.53100681112474</v>
      </c>
      <c r="O211" s="343"/>
      <c r="P211" s="363">
        <f t="shared" ca="1" si="105"/>
        <v>8</v>
      </c>
      <c r="Q211" s="357">
        <f t="shared" ca="1" si="106"/>
        <v>899.24166666666667</v>
      </c>
      <c r="R211" s="359">
        <f t="shared" ca="1" si="107"/>
        <v>0.45045916116089163</v>
      </c>
      <c r="S211" s="360">
        <f t="shared" ca="1" si="108"/>
        <v>10.480747034765256</v>
      </c>
      <c r="T211" s="357">
        <f t="shared" ca="1" si="88"/>
        <v>102.81612841104717</v>
      </c>
      <c r="U211" s="364">
        <f t="shared" ca="1" si="89"/>
        <v>0</v>
      </c>
      <c r="V211" s="359">
        <f t="shared" ca="1" si="90"/>
        <v>1.204614385609357</v>
      </c>
      <c r="W211" s="357">
        <f t="shared" ca="1" si="91"/>
        <v>72.600725449401736</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167.80946401525509</v>
      </c>
      <c r="AF211" s="344"/>
      <c r="AG211" s="359">
        <f t="shared" ca="1" si="114"/>
        <v>69.351370243219733</v>
      </c>
      <c r="AH211" s="357">
        <f t="shared" ca="1" si="115"/>
        <v>78.930257628107995</v>
      </c>
    </row>
    <row r="212" spans="1:34" x14ac:dyDescent="0.25">
      <c r="A212" s="402">
        <f t="shared" ca="1" si="93"/>
        <v>0.01</v>
      </c>
      <c r="B212" s="357">
        <f t="shared" ca="1" si="94"/>
        <v>2.0799999999999996</v>
      </c>
      <c r="C212" s="342"/>
      <c r="D212" s="359">
        <f t="shared" ca="1" si="95"/>
        <v>17.007078265108458</v>
      </c>
      <c r="E212" s="360">
        <f t="shared" ca="1" si="96"/>
        <v>67.100920818108776</v>
      </c>
      <c r="F212" s="357">
        <f t="shared" ca="1" si="97"/>
        <v>69.22264286888813</v>
      </c>
      <c r="G212" s="359">
        <f t="shared" ca="1" si="98"/>
        <v>35.24700564475549</v>
      </c>
      <c r="H212" s="360">
        <f t="shared" ca="1" si="99"/>
        <v>159.29904147025675</v>
      </c>
      <c r="I212" s="357">
        <f t="shared" ca="1" si="100"/>
        <v>163.15188022288928</v>
      </c>
      <c r="J212" s="359">
        <f t="shared" ca="1" si="101"/>
        <v>35.324143081360248</v>
      </c>
      <c r="K212" s="360">
        <f t="shared" ca="1" si="102"/>
        <v>169.39909938391676</v>
      </c>
      <c r="L212" s="357">
        <f t="shared" ca="1" si="87"/>
        <v>173.04291362698018</v>
      </c>
      <c r="M212" s="359">
        <f t="shared" ca="1" si="103"/>
        <v>1.3530415180804096</v>
      </c>
      <c r="N212" s="357">
        <f t="shared" ca="1" si="104"/>
        <v>77.523568491981337</v>
      </c>
      <c r="O212" s="343"/>
      <c r="P212" s="363">
        <f t="shared" ca="1" si="105"/>
        <v>8</v>
      </c>
      <c r="Q212" s="357">
        <f t="shared" ca="1" si="106"/>
        <v>897.80277777777781</v>
      </c>
      <c r="R212" s="359">
        <f t="shared" ca="1" si="107"/>
        <v>0.44973837529662536</v>
      </c>
      <c r="S212" s="360">
        <f t="shared" ca="1" si="108"/>
        <v>10.47624965101229</v>
      </c>
      <c r="T212" s="357">
        <f t="shared" ca="1" si="88"/>
        <v>102.77200907643058</v>
      </c>
      <c r="U212" s="364">
        <f t="shared" ca="1" si="89"/>
        <v>0</v>
      </c>
      <c r="V212" s="359">
        <f t="shared" ca="1" si="90"/>
        <v>1.2044228974574025</v>
      </c>
      <c r="W212" s="357">
        <f t="shared" ca="1" si="91"/>
        <v>73.208804063891577</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169.39909938391676</v>
      </c>
      <c r="AF212" s="344"/>
      <c r="AG212" s="359">
        <f t="shared" ca="1" si="114"/>
        <v>69.190230406129928</v>
      </c>
      <c r="AH212" s="357">
        <f t="shared" ca="1" si="115"/>
        <v>78.768841886909328</v>
      </c>
    </row>
    <row r="213" spans="1:34" x14ac:dyDescent="0.25">
      <c r="A213" s="402">
        <f t="shared" ca="1" si="93"/>
        <v>0.01</v>
      </c>
      <c r="B213" s="357">
        <f t="shared" ca="1" si="94"/>
        <v>2.0899999999999994</v>
      </c>
      <c r="C213" s="342"/>
      <c r="D213" s="359">
        <f t="shared" ca="1" si="95"/>
        <v>16.982129636594074</v>
      </c>
      <c r="E213" s="360">
        <f t="shared" ca="1" si="96"/>
        <v>66.940830992521413</v>
      </c>
      <c r="F213" s="357">
        <f t="shared" ca="1" si="97"/>
        <v>69.061332024247847</v>
      </c>
      <c r="G213" s="359">
        <f t="shared" ca="1" si="98"/>
        <v>35.416826941121428</v>
      </c>
      <c r="H213" s="360">
        <f t="shared" ca="1" si="99"/>
        <v>159.96844978018197</v>
      </c>
      <c r="I213" s="357">
        <f t="shared" ca="1" si="100"/>
        <v>163.84216965009938</v>
      </c>
      <c r="J213" s="359">
        <f t="shared" ca="1" si="101"/>
        <v>35.677462244289629</v>
      </c>
      <c r="K213" s="360">
        <f t="shared" ca="1" si="102"/>
        <v>170.99543684016896</v>
      </c>
      <c r="L213" s="357">
        <f t="shared" ca="1" si="87"/>
        <v>174.67776255824015</v>
      </c>
      <c r="M213" s="359">
        <f t="shared" ca="1" si="103"/>
        <v>1.3529121659865553</v>
      </c>
      <c r="N213" s="357">
        <f t="shared" ca="1" si="104"/>
        <v>77.516157162932302</v>
      </c>
      <c r="O213" s="343"/>
      <c r="P213" s="363">
        <f t="shared" ca="1" si="105"/>
        <v>8</v>
      </c>
      <c r="Q213" s="357">
        <f t="shared" ca="1" si="106"/>
        <v>896.36388888888894</v>
      </c>
      <c r="R213" s="359">
        <f t="shared" ca="1" si="107"/>
        <v>0.44901758943235903</v>
      </c>
      <c r="S213" s="360">
        <f t="shared" ca="1" si="108"/>
        <v>10.471759475117967</v>
      </c>
      <c r="T213" s="357">
        <f t="shared" ca="1" si="88"/>
        <v>102.72796045090726</v>
      </c>
      <c r="U213" s="364">
        <f t="shared" ca="1" si="89"/>
        <v>0</v>
      </c>
      <c r="V213" s="359">
        <f t="shared" ca="1" si="90"/>
        <v>1.204230632341859</v>
      </c>
      <c r="W213" s="357">
        <f t="shared" ca="1" si="91"/>
        <v>73.817816324636809</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170.99543684016896</v>
      </c>
      <c r="AF213" s="344"/>
      <c r="AG213" s="359">
        <f t="shared" ca="1" si="114"/>
        <v>69.02880565094523</v>
      </c>
      <c r="AH213" s="357">
        <f t="shared" ca="1" si="115"/>
        <v>78.607142073965974</v>
      </c>
    </row>
    <row r="214" spans="1:34" x14ac:dyDescent="0.25">
      <c r="A214" s="402">
        <f t="shared" ca="1" si="93"/>
        <v>0.01</v>
      </c>
      <c r="B214" s="357">
        <f t="shared" ca="1" si="94"/>
        <v>2.0999999999999992</v>
      </c>
      <c r="C214" s="342"/>
      <c r="D214" s="359">
        <f t="shared" ca="1" si="95"/>
        <v>16.957042702936768</v>
      </c>
      <c r="E214" s="360">
        <f t="shared" ca="1" si="96"/>
        <v>66.780481653104601</v>
      </c>
      <c r="F214" s="357">
        <f t="shared" ca="1" si="97"/>
        <v>68.899738947617649</v>
      </c>
      <c r="G214" s="359">
        <f t="shared" ca="1" si="98"/>
        <v>35.586397368150799</v>
      </c>
      <c r="H214" s="360">
        <f t="shared" ca="1" si="99"/>
        <v>160.63625459671303</v>
      </c>
      <c r="I214" s="357">
        <f t="shared" ca="1" si="100"/>
        <v>164.5308419977967</v>
      </c>
      <c r="J214" s="359">
        <f t="shared" ca="1" si="101"/>
        <v>36.032478365835992</v>
      </c>
      <c r="K214" s="360">
        <f t="shared" ca="1" si="102"/>
        <v>172.59846036205343</v>
      </c>
      <c r="L214" s="357">
        <f t="shared" ca="1" si="87"/>
        <v>176.31950549084399</v>
      </c>
      <c r="M214" s="359">
        <f t="shared" ca="1" si="103"/>
        <v>1.352783280015698</v>
      </c>
      <c r="N214" s="357">
        <f t="shared" ca="1" si="104"/>
        <v>77.508772540763744</v>
      </c>
      <c r="O214" s="343"/>
      <c r="P214" s="363">
        <f t="shared" ca="1" si="105"/>
        <v>8</v>
      </c>
      <c r="Q214" s="357">
        <f t="shared" ca="1" si="106"/>
        <v>894.92500000000007</v>
      </c>
      <c r="R214" s="359">
        <f t="shared" ca="1" si="107"/>
        <v>0.44829680356809271</v>
      </c>
      <c r="S214" s="360">
        <f t="shared" ca="1" si="108"/>
        <v>10.467276507082286</v>
      </c>
      <c r="T214" s="357">
        <f t="shared" ca="1" si="88"/>
        <v>102.68398253447722</v>
      </c>
      <c r="U214" s="364">
        <f t="shared" ca="1" si="89"/>
        <v>0</v>
      </c>
      <c r="V214" s="359">
        <f t="shared" ca="1" si="90"/>
        <v>1.2040375925680604</v>
      </c>
      <c r="W214" s="357">
        <f t="shared" ca="1" si="91"/>
        <v>74.427739667938894</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172.59846036205343</v>
      </c>
      <c r="AF214" s="344"/>
      <c r="AG214" s="359">
        <f t="shared" ca="1" si="114"/>
        <v>68.867098113756583</v>
      </c>
      <c r="AH214" s="357">
        <f t="shared" ca="1" si="115"/>
        <v>78.445160316515214</v>
      </c>
    </row>
    <row r="215" spans="1:34" x14ac:dyDescent="0.25">
      <c r="A215" s="402">
        <f t="shared" ca="1" si="93"/>
        <v>0.01</v>
      </c>
      <c r="B215" s="357">
        <f t="shared" ca="1" si="94"/>
        <v>2.109999999999999</v>
      </c>
      <c r="C215" s="342"/>
      <c r="D215" s="359">
        <f t="shared" ca="1" si="95"/>
        <v>16.931818423766625</v>
      </c>
      <c r="E215" s="360">
        <f t="shared" ca="1" si="96"/>
        <v>66.619874790858248</v>
      </c>
      <c r="F215" s="357">
        <f t="shared" ca="1" si="97"/>
        <v>68.737865782151204</v>
      </c>
      <c r="G215" s="359">
        <f t="shared" ca="1" si="98"/>
        <v>35.755715552388466</v>
      </c>
      <c r="H215" s="360">
        <f t="shared" ca="1" si="99"/>
        <v>161.30245334462163</v>
      </c>
      <c r="I215" s="357">
        <f t="shared" ca="1" si="100"/>
        <v>165.21789445958072</v>
      </c>
      <c r="J215" s="359">
        <f t="shared" ca="1" si="101"/>
        <v>36.389188930438685</v>
      </c>
      <c r="K215" s="360">
        <f t="shared" ca="1" si="102"/>
        <v>174.20815390176011</v>
      </c>
      <c r="L215" s="357">
        <f t="shared" ca="1" si="87"/>
        <v>177.96812623858941</v>
      </c>
      <c r="M215" s="359">
        <f t="shared" ca="1" si="103"/>
        <v>1.3526548552952511</v>
      </c>
      <c r="N215" s="357">
        <f t="shared" ca="1" si="104"/>
        <v>77.501414346296983</v>
      </c>
      <c r="O215" s="343"/>
      <c r="P215" s="363">
        <f t="shared" ca="1" si="105"/>
        <v>8</v>
      </c>
      <c r="Q215" s="357">
        <f t="shared" ca="1" si="106"/>
        <v>893.4861111111112</v>
      </c>
      <c r="R215" s="359">
        <f t="shared" ca="1" si="107"/>
        <v>0.44757601770382643</v>
      </c>
      <c r="S215" s="360">
        <f t="shared" ca="1" si="108"/>
        <v>10.462800746905247</v>
      </c>
      <c r="T215" s="357">
        <f t="shared" ca="1" si="88"/>
        <v>102.64007532714048</v>
      </c>
      <c r="U215" s="364">
        <f t="shared" ca="1" si="89"/>
        <v>0</v>
      </c>
      <c r="V215" s="359">
        <f t="shared" ca="1" si="90"/>
        <v>1.2038437804446482</v>
      </c>
      <c r="W215" s="357">
        <f t="shared" ca="1" si="91"/>
        <v>75.038551563668335</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174.20815390176011</v>
      </c>
      <c r="AF215" s="344"/>
      <c r="AG215" s="359">
        <f t="shared" ca="1" si="114"/>
        <v>68.705109932217837</v>
      </c>
      <c r="AH215" s="357">
        <f t="shared" ca="1" si="115"/>
        <v>78.28289874347827</v>
      </c>
    </row>
    <row r="216" spans="1:34" x14ac:dyDescent="0.25">
      <c r="A216" s="402">
        <f t="shared" ca="1" si="93"/>
        <v>0.01</v>
      </c>
      <c r="B216" s="357">
        <f t="shared" ca="1" si="94"/>
        <v>2.1199999999999988</v>
      </c>
      <c r="C216" s="342"/>
      <c r="D216" s="359">
        <f t="shared" ca="1" si="95"/>
        <v>16.906457752326617</v>
      </c>
      <c r="E216" s="360">
        <f t="shared" ca="1" si="96"/>
        <v>66.459012399482347</v>
      </c>
      <c r="F216" s="357">
        <f t="shared" ca="1" si="97"/>
        <v>68.575714672511822</v>
      </c>
      <c r="G216" s="359">
        <f t="shared" ca="1" si="98"/>
        <v>35.924780129911731</v>
      </c>
      <c r="H216" s="360">
        <f t="shared" ca="1" si="99"/>
        <v>161.96704346861645</v>
      </c>
      <c r="I216" s="357">
        <f t="shared" ca="1" si="100"/>
        <v>165.9033242504417</v>
      </c>
      <c r="J216" s="359">
        <f t="shared" ca="1" si="101"/>
        <v>36.747591408850184</v>
      </c>
      <c r="K216" s="360">
        <f t="shared" ca="1" si="102"/>
        <v>175.8245013858263</v>
      </c>
      <c r="L216" s="357">
        <f t="shared" ca="1" si="87"/>
        <v>179.62360858730744</v>
      </c>
      <c r="M216" s="359">
        <f t="shared" ca="1" si="103"/>
        <v>1.3525268870216931</v>
      </c>
      <c r="N216" s="357">
        <f t="shared" ca="1" si="104"/>
        <v>77.494082304310538</v>
      </c>
      <c r="O216" s="343"/>
      <c r="P216" s="363">
        <f t="shared" ca="1" si="105"/>
        <v>8</v>
      </c>
      <c r="Q216" s="357">
        <f t="shared" ca="1" si="106"/>
        <v>892.04722222222233</v>
      </c>
      <c r="R216" s="359">
        <f t="shared" ca="1" si="107"/>
        <v>0.44685523183956011</v>
      </c>
      <c r="S216" s="360">
        <f t="shared" ca="1" si="108"/>
        <v>10.458332194586852</v>
      </c>
      <c r="T216" s="357">
        <f t="shared" ca="1" si="88"/>
        <v>102.59623882889703</v>
      </c>
      <c r="U216" s="364">
        <f t="shared" ca="1" si="89"/>
        <v>0</v>
      </c>
      <c r="V216" s="359">
        <f t="shared" ca="1" si="90"/>
        <v>1.2036491982835358</v>
      </c>
      <c r="W216" s="357">
        <f t="shared" ca="1" si="91"/>
        <v>75.650229516079335</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175.8245013858263</v>
      </c>
      <c r="AF216" s="344"/>
      <c r="AG216" s="359">
        <f t="shared" ca="1" si="114"/>
        <v>68.542843245458783</v>
      </c>
      <c r="AH216" s="357">
        <f t="shared" ca="1" si="115"/>
        <v>78.120359485371011</v>
      </c>
    </row>
    <row r="217" spans="1:34" x14ac:dyDescent="0.25">
      <c r="A217" s="402">
        <f t="shared" ca="1" si="93"/>
        <v>0.01</v>
      </c>
      <c r="B217" s="357">
        <f t="shared" ca="1" si="94"/>
        <v>2.1299999999999986</v>
      </c>
      <c r="C217" s="342"/>
      <c r="D217" s="359">
        <f t="shared" ca="1" si="95"/>
        <v>16.880961635592286</v>
      </c>
      <c r="E217" s="360">
        <f t="shared" ca="1" si="96"/>
        <v>66.297896475266228</v>
      </c>
      <c r="F217" s="357">
        <f t="shared" ca="1" si="97"/>
        <v>68.41328776478629</v>
      </c>
      <c r="G217" s="359">
        <f t="shared" ca="1" si="98"/>
        <v>36.093589746267654</v>
      </c>
      <c r="H217" s="360">
        <f t="shared" ca="1" si="99"/>
        <v>162.63002243336911</v>
      </c>
      <c r="I217" s="357">
        <f t="shared" ca="1" si="100"/>
        <v>166.58712860677448</v>
      </c>
      <c r="J217" s="359">
        <f t="shared" ca="1" si="101"/>
        <v>37.107683258231077</v>
      </c>
      <c r="K217" s="360">
        <f t="shared" ca="1" si="102"/>
        <v>177.44748671533623</v>
      </c>
      <c r="L217" s="357">
        <f t="shared" ca="1" si="87"/>
        <v>181.28593629507677</v>
      </c>
      <c r="M217" s="359">
        <f t="shared" ca="1" si="103"/>
        <v>1.3523993704592341</v>
      </c>
      <c r="N217" s="357">
        <f t="shared" ca="1" si="104"/>
        <v>77.486776143463615</v>
      </c>
      <c r="O217" s="343"/>
      <c r="P217" s="363">
        <f t="shared" ca="1" si="105"/>
        <v>8</v>
      </c>
      <c r="Q217" s="357">
        <f t="shared" ca="1" si="106"/>
        <v>890.60833333333346</v>
      </c>
      <c r="R217" s="359">
        <f t="shared" ca="1" si="107"/>
        <v>0.44613444597529378</v>
      </c>
      <c r="S217" s="360">
        <f t="shared" ca="1" si="108"/>
        <v>10.4538708501271</v>
      </c>
      <c r="T217" s="357">
        <f t="shared" ca="1" si="88"/>
        <v>102.55247303974686</v>
      </c>
      <c r="U217" s="364">
        <f t="shared" ca="1" si="89"/>
        <v>0</v>
      </c>
      <c r="V217" s="359">
        <f t="shared" ca="1" si="90"/>
        <v>1.2034538483998629</v>
      </c>
      <c r="W217" s="357">
        <f t="shared" ca="1" si="91"/>
        <v>76.262751064619195</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177.44748671533623</v>
      </c>
      <c r="AF217" s="344"/>
      <c r="AG217" s="359">
        <f t="shared" ca="1" si="114"/>
        <v>68.380300193998096</v>
      </c>
      <c r="AH217" s="357">
        <f t="shared" ca="1" si="115"/>
        <v>77.957544674214702</v>
      </c>
    </row>
    <row r="218" spans="1:34" x14ac:dyDescent="0.25">
      <c r="A218" s="402">
        <f t="shared" ca="1" si="93"/>
        <v>0.01</v>
      </c>
      <c r="B218" s="357">
        <f t="shared" ca="1" si="94"/>
        <v>2.1399999999999983</v>
      </c>
      <c r="C218" s="342"/>
      <c r="D218" s="359">
        <f t="shared" ca="1" si="95"/>
        <v>16.855331014388355</v>
      </c>
      <c r="E218" s="360">
        <f t="shared" ca="1" si="96"/>
        <v>66.136529016978656</v>
      </c>
      <c r="F218" s="357">
        <f t="shared" ca="1" si="97"/>
        <v>68.250587206398905</v>
      </c>
      <c r="G218" s="359">
        <f t="shared" ca="1" si="98"/>
        <v>36.262143056411539</v>
      </c>
      <c r="H218" s="360">
        <f t="shared" ca="1" si="99"/>
        <v>163.29138772353889</v>
      </c>
      <c r="I218" s="357">
        <f t="shared" ca="1" si="100"/>
        <v>167.26930478639159</v>
      </c>
      <c r="J218" s="359">
        <f t="shared" ca="1" si="101"/>
        <v>37.46946192224447</v>
      </c>
      <c r="K218" s="360">
        <f t="shared" ca="1" si="102"/>
        <v>179.07709376612075</v>
      </c>
      <c r="L218" s="357">
        <f t="shared" ca="1" si="87"/>
        <v>182.95509309243766</v>
      </c>
      <c r="M218" s="359">
        <f t="shared" ca="1" si="103"/>
        <v>1.3522723009385185</v>
      </c>
      <c r="N218" s="357">
        <f t="shared" ca="1" si="104"/>
        <v>77.479495596221867</v>
      </c>
      <c r="O218" s="343"/>
      <c r="P218" s="363">
        <f t="shared" ca="1" si="105"/>
        <v>8</v>
      </c>
      <c r="Q218" s="357">
        <f t="shared" ca="1" si="106"/>
        <v>889.16944444444459</v>
      </c>
      <c r="R218" s="359">
        <f t="shared" ca="1" si="107"/>
        <v>0.44541366011102751</v>
      </c>
      <c r="S218" s="360">
        <f t="shared" ca="1" si="108"/>
        <v>10.44941671352599</v>
      </c>
      <c r="T218" s="357">
        <f t="shared" ca="1" si="88"/>
        <v>102.50877795968997</v>
      </c>
      <c r="U218" s="364">
        <f t="shared" ca="1" si="89"/>
        <v>0</v>
      </c>
      <c r="V218" s="359">
        <f t="shared" ca="1" si="90"/>
        <v>1.20325773311196</v>
      </c>
      <c r="W218" s="357">
        <f t="shared" ca="1" si="91"/>
        <v>76.876093784733868</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179.07709376612075</v>
      </c>
      <c r="AF218" s="344"/>
      <c r="AG218" s="359">
        <f t="shared" ca="1" si="114"/>
        <v>68.217482919656632</v>
      </c>
      <c r="AH218" s="357">
        <f t="shared" ca="1" si="115"/>
        <v>77.794456443447061</v>
      </c>
    </row>
    <row r="219" spans="1:34" x14ac:dyDescent="0.25">
      <c r="A219" s="402">
        <f t="shared" ca="1" si="93"/>
        <v>0.01</v>
      </c>
      <c r="B219" s="357">
        <f t="shared" ca="1" si="94"/>
        <v>2.1499999999999981</v>
      </c>
      <c r="C219" s="342"/>
      <c r="D219" s="359">
        <f t="shared" ca="1" si="95"/>
        <v>16.829566823501693</v>
      </c>
      <c r="E219" s="360">
        <f t="shared" ca="1" si="96"/>
        <v>65.974912025758627</v>
      </c>
      <c r="F219" s="357">
        <f t="shared" ca="1" si="97"/>
        <v>68.087615146025641</v>
      </c>
      <c r="G219" s="359">
        <f t="shared" ca="1" si="98"/>
        <v>36.430438724646557</v>
      </c>
      <c r="H219" s="360">
        <f t="shared" ca="1" si="99"/>
        <v>163.95113684379646</v>
      </c>
      <c r="I219" s="357">
        <f t="shared" ca="1" si="100"/>
        <v>167.94985006853534</v>
      </c>
      <c r="J219" s="359">
        <f t="shared" ca="1" si="101"/>
        <v>37.832924831149761</v>
      </c>
      <c r="K219" s="360">
        <f t="shared" ca="1" si="102"/>
        <v>180.71330638895742</v>
      </c>
      <c r="L219" s="357">
        <f t="shared" ca="1" si="87"/>
        <v>184.63106268260665</v>
      </c>
      <c r="M219" s="359">
        <f t="shared" ca="1" si="103"/>
        <v>1.3521456738553543</v>
      </c>
      <c r="N219" s="357">
        <f t="shared" ca="1" si="104"/>
        <v>77.472240398784507</v>
      </c>
      <c r="O219" s="343"/>
      <c r="P219" s="363">
        <f t="shared" ca="1" si="105"/>
        <v>8</v>
      </c>
      <c r="Q219" s="357">
        <f t="shared" ca="1" si="106"/>
        <v>887.73055555555584</v>
      </c>
      <c r="R219" s="359">
        <f t="shared" ca="1" si="107"/>
        <v>0.44469287424676124</v>
      </c>
      <c r="S219" s="360">
        <f t="shared" ca="1" si="108"/>
        <v>10.444969784783522</v>
      </c>
      <c r="T219" s="357">
        <f t="shared" ca="1" si="88"/>
        <v>102.46515358872635</v>
      </c>
      <c r="U219" s="364">
        <f t="shared" ca="1" si="89"/>
        <v>0</v>
      </c>
      <c r="V219" s="359">
        <f t="shared" ca="1" si="90"/>
        <v>1.2030608547413053</v>
      </c>
      <c r="W219" s="357">
        <f t="shared" ca="1" si="91"/>
        <v>77.49023528866816</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180.71330638895742</v>
      </c>
      <c r="AF219" s="344"/>
      <c r="AG219" s="359">
        <f t="shared" ca="1" si="114"/>
        <v>68.054393565470775</v>
      </c>
      <c r="AH219" s="357">
        <f t="shared" ca="1" si="115"/>
        <v>77.631096927833525</v>
      </c>
    </row>
    <row r="220" spans="1:34" x14ac:dyDescent="0.25">
      <c r="A220" s="402">
        <f t="shared" ca="1" si="93"/>
        <v>0.01</v>
      </c>
      <c r="B220" s="357">
        <f t="shared" ca="1" si="94"/>
        <v>2.1599999999999979</v>
      </c>
      <c r="C220" s="342"/>
      <c r="D220" s="359">
        <f t="shared" ca="1" si="95"/>
        <v>16.803669991791399</v>
      </c>
      <c r="E220" s="360">
        <f t="shared" ca="1" si="96"/>
        <v>65.81304750500685</v>
      </c>
      <c r="F220" s="357">
        <f t="shared" ca="1" si="97"/>
        <v>67.924373733508347</v>
      </c>
      <c r="G220" s="359">
        <f t="shared" ca="1" si="98"/>
        <v>36.598475424564469</v>
      </c>
      <c r="H220" s="360">
        <f t="shared" ca="1" si="99"/>
        <v>164.60926731884652</v>
      </c>
      <c r="I220" s="357">
        <f t="shared" ca="1" si="100"/>
        <v>168.62876175388919</v>
      </c>
      <c r="J220" s="359">
        <f t="shared" ca="1" si="101"/>
        <v>38.198069401895815</v>
      </c>
      <c r="K220" s="360">
        <f t="shared" ca="1" si="102"/>
        <v>182.35610840977063</v>
      </c>
      <c r="L220" s="357">
        <f t="shared" ca="1" si="87"/>
        <v>186.31382874169074</v>
      </c>
      <c r="M220" s="359">
        <f t="shared" ca="1" si="103"/>
        <v>1.3520194846694769</v>
      </c>
      <c r="N220" s="357">
        <f t="shared" ca="1" si="104"/>
        <v>77.465010291013527</v>
      </c>
      <c r="O220" s="343"/>
      <c r="P220" s="363">
        <f t="shared" ca="1" si="105"/>
        <v>8</v>
      </c>
      <c r="Q220" s="357">
        <f t="shared" ca="1" si="106"/>
        <v>886.29166666666697</v>
      </c>
      <c r="R220" s="359">
        <f t="shared" ca="1" si="107"/>
        <v>0.44397208838249497</v>
      </c>
      <c r="S220" s="360">
        <f t="shared" ca="1" si="108"/>
        <v>10.440530063899697</v>
      </c>
      <c r="T220" s="357">
        <f t="shared" ca="1" si="88"/>
        <v>102.42159992685603</v>
      </c>
      <c r="U220" s="364">
        <f t="shared" ca="1" si="89"/>
        <v>0</v>
      </c>
      <c r="V220" s="359">
        <f t="shared" ca="1" si="90"/>
        <v>1.2028632156124839</v>
      </c>
      <c r="W220" s="357">
        <f t="shared" ca="1" si="91"/>
        <v>78.105153226261336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182.35610840977063</v>
      </c>
      <c r="AF220" s="344"/>
      <c r="AG220" s="359">
        <f t="shared" ca="1" si="114"/>
        <v>67.891034275605833</v>
      </c>
      <c r="AH220" s="357">
        <f t="shared" ca="1" si="115"/>
        <v>77.467468263378493</v>
      </c>
    </row>
    <row r="221" spans="1:34" x14ac:dyDescent="0.25">
      <c r="A221" s="402">
        <f t="shared" ca="1" si="93"/>
        <v>0.01</v>
      </c>
      <c r="B221" s="357">
        <f t="shared" ca="1" si="94"/>
        <v>2.1699999999999977</v>
      </c>
      <c r="C221" s="342"/>
      <c r="D221" s="359">
        <f t="shared" ca="1" si="95"/>
        <v>16.777641442295565</v>
      </c>
      <c r="E221" s="360">
        <f t="shared" ca="1" si="96"/>
        <v>65.650937460278243</v>
      </c>
      <c r="F221" s="357">
        <f t="shared" ca="1" si="97"/>
        <v>67.760865119769534</v>
      </c>
      <c r="G221" s="359">
        <f t="shared" ca="1" si="98"/>
        <v>36.766251838987422</v>
      </c>
      <c r="H221" s="360">
        <f t="shared" ca="1" si="99"/>
        <v>165.26577669344931</v>
      </c>
      <c r="I221" s="357">
        <f t="shared" ca="1" si="100"/>
        <v>169.30603716458813</v>
      </c>
      <c r="J221" s="359">
        <f t="shared" ca="1" si="101"/>
        <v>38.564893038213576</v>
      </c>
      <c r="K221" s="360">
        <f t="shared" ca="1" si="102"/>
        <v>184.0054836298321</v>
      </c>
      <c r="L221" s="357">
        <f t="shared" ca="1" si="87"/>
        <v>188.0033749189021</v>
      </c>
      <c r="M221" s="359">
        <f t="shared" ca="1" si="103"/>
        <v>1.3518937289033381</v>
      </c>
      <c r="N221" s="357">
        <f t="shared" ca="1" si="104"/>
        <v>77.457805016364347</v>
      </c>
      <c r="O221" s="343"/>
      <c r="P221" s="363">
        <f t="shared" ca="1" si="105"/>
        <v>8</v>
      </c>
      <c r="Q221" s="357">
        <f t="shared" ca="1" si="106"/>
        <v>884.8527777777781</v>
      </c>
      <c r="R221" s="359">
        <f t="shared" ca="1" si="107"/>
        <v>0.44325130251822864</v>
      </c>
      <c r="S221" s="360">
        <f t="shared" ca="1" si="108"/>
        <v>10.436097550874514</v>
      </c>
      <c r="T221" s="357">
        <f t="shared" ca="1" si="88"/>
        <v>102.37811697407899</v>
      </c>
      <c r="U221" s="364">
        <f t="shared" ca="1" si="89"/>
        <v>0</v>
      </c>
      <c r="V221" s="359">
        <f t="shared" ca="1" si="90"/>
        <v>1.2026648180531501</v>
      </c>
      <c r="W221" s="357">
        <f t="shared" ca="1" si="91"/>
        <v>78.720825285738286</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184.0054836298321</v>
      </c>
      <c r="AF221" s="344"/>
      <c r="AG221" s="359">
        <f t="shared" ca="1" si="114"/>
        <v>67.72740719526999</v>
      </c>
      <c r="AH221" s="357">
        <f t="shared" ca="1" si="115"/>
        <v>77.303572587237241</v>
      </c>
    </row>
    <row r="222" spans="1:34" x14ac:dyDescent="0.25">
      <c r="A222" s="402">
        <f t="shared" ca="1" si="93"/>
        <v>0.01</v>
      </c>
      <c r="B222" s="357">
        <f t="shared" ca="1" si="94"/>
        <v>2.1799999999999975</v>
      </c>
      <c r="C222" s="342"/>
      <c r="D222" s="359">
        <f t="shared" ca="1" si="95"/>
        <v>16.751482092335177</v>
      </c>
      <c r="E222" s="360">
        <f t="shared" ca="1" si="96"/>
        <v>65.488583899174714</v>
      </c>
      <c r="F222" s="357">
        <f t="shared" ca="1" si="97"/>
        <v>67.597091456726687</v>
      </c>
      <c r="G222" s="359">
        <f t="shared" ca="1" si="98"/>
        <v>36.933766659910773</v>
      </c>
      <c r="H222" s="360">
        <f t="shared" ca="1" si="99"/>
        <v>165.92066253244107</v>
      </c>
      <c r="I222" s="357">
        <f t="shared" ca="1" si="100"/>
        <v>169.98167364422827</v>
      </c>
      <c r="J222" s="359">
        <f t="shared" ca="1" si="101"/>
        <v>38.933393130708069</v>
      </c>
      <c r="K222" s="360">
        <f t="shared" ca="1" si="102"/>
        <v>185.66141582596154</v>
      </c>
      <c r="L222" s="357">
        <f t="shared" ca="1" si="87"/>
        <v>189.69968483677263</v>
      </c>
      <c r="M222" s="359">
        <f t="shared" ca="1" si="103"/>
        <v>1.3517684021409277</v>
      </c>
      <c r="N222" s="357">
        <f t="shared" ca="1" si="104"/>
        <v>77.450624321818196</v>
      </c>
      <c r="O222" s="343"/>
      <c r="P222" s="363">
        <f t="shared" ca="1" si="105"/>
        <v>8</v>
      </c>
      <c r="Q222" s="357">
        <f t="shared" ca="1" si="106"/>
        <v>883.41388888888923</v>
      </c>
      <c r="R222" s="359">
        <f t="shared" ca="1" si="107"/>
        <v>0.44253051665396231</v>
      </c>
      <c r="S222" s="360">
        <f t="shared" ca="1" si="108"/>
        <v>10.431672245707974</v>
      </c>
      <c r="T222" s="357">
        <f t="shared" ca="1" si="88"/>
        <v>102.33470473039523</v>
      </c>
      <c r="U222" s="364">
        <f t="shared" ca="1" si="89"/>
        <v>0</v>
      </c>
      <c r="V222" s="359">
        <f t="shared" ca="1" si="90"/>
        <v>1.2024656643939853</v>
      </c>
      <c r="W222" s="357">
        <f t="shared" ca="1" si="91"/>
        <v>79.337229194495492</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185.66141582596154</v>
      </c>
      <c r="AF222" s="344"/>
      <c r="AG222" s="359">
        <f t="shared" ca="1" si="114"/>
        <v>67.563514470627865</v>
      </c>
      <c r="AH222" s="357">
        <f t="shared" ca="1" si="115"/>
        <v>77.139412037627551</v>
      </c>
    </row>
    <row r="223" spans="1:34" x14ac:dyDescent="0.25">
      <c r="A223" s="402">
        <f t="shared" ca="1" si="93"/>
        <v>0.01</v>
      </c>
      <c r="B223" s="357">
        <f t="shared" ca="1" si="94"/>
        <v>2.1899999999999973</v>
      </c>
      <c r="C223" s="342"/>
      <c r="D223" s="359">
        <f t="shared" ca="1" si="95"/>
        <v>16.725192853614971</v>
      </c>
      <c r="E223" s="360">
        <f t="shared" ca="1" si="96"/>
        <v>65.325988831239073</v>
      </c>
      <c r="F223" s="357">
        <f t="shared" ca="1" si="97"/>
        <v>67.433054897207398</v>
      </c>
      <c r="G223" s="359">
        <f t="shared" ca="1" si="98"/>
        <v>37.101018588446927</v>
      </c>
      <c r="H223" s="360">
        <f t="shared" ca="1" si="99"/>
        <v>166.57392242075346</v>
      </c>
      <c r="I223" s="357">
        <f t="shared" ca="1" si="100"/>
        <v>170.65566855787554</v>
      </c>
      <c r="J223" s="359">
        <f t="shared" ca="1" si="101"/>
        <v>39.303567056949859</v>
      </c>
      <c r="K223" s="360">
        <f t="shared" ca="1" si="102"/>
        <v>187.32388875072752</v>
      </c>
      <c r="L223" s="357">
        <f t="shared" ca="1" si="87"/>
        <v>191.40274209136894</v>
      </c>
      <c r="M223" s="359">
        <f t="shared" ca="1" si="103"/>
        <v>1.3516435000266189</v>
      </c>
      <c r="N223" s="357">
        <f t="shared" ca="1" si="104"/>
        <v>77.44346795781604</v>
      </c>
      <c r="O223" s="343"/>
      <c r="P223" s="363">
        <f t="shared" ca="1" si="105"/>
        <v>8</v>
      </c>
      <c r="Q223" s="357">
        <f t="shared" ca="1" si="106"/>
        <v>881.97500000000036</v>
      </c>
      <c r="R223" s="359">
        <f t="shared" ca="1" si="107"/>
        <v>0.44180973078969604</v>
      </c>
      <c r="S223" s="360">
        <f t="shared" ca="1" si="108"/>
        <v>10.427254148400078</v>
      </c>
      <c r="T223" s="357">
        <f t="shared" ca="1" si="88"/>
        <v>102.29136319580476</v>
      </c>
      <c r="U223" s="364">
        <f t="shared" ca="1" si="89"/>
        <v>0</v>
      </c>
      <c r="V223" s="359">
        <f t="shared" ca="1" si="90"/>
        <v>1.2022657569686577</v>
      </c>
      <c r="W223" s="357">
        <f t="shared" ca="1" si="91"/>
        <v>79.954342719882263</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187.32388875072752</v>
      </c>
      <c r="AF223" s="344"/>
      <c r="AG223" s="359">
        <f t="shared" ca="1" si="114"/>
        <v>67.399358248714748</v>
      </c>
      <c r="AH223" s="357">
        <f t="shared" ca="1" si="115"/>
        <v>76.974988753741926</v>
      </c>
    </row>
    <row r="224" spans="1:34" x14ac:dyDescent="0.25">
      <c r="A224" s="402">
        <f t="shared" ca="1" si="93"/>
        <v>0.01</v>
      </c>
      <c r="B224" s="357">
        <f t="shared" ca="1" si="94"/>
        <v>2.1999999999999971</v>
      </c>
      <c r="C224" s="342"/>
      <c r="D224" s="359">
        <f t="shared" ca="1" si="95"/>
        <v>16.69877463232158</v>
      </c>
      <c r="E224" s="360">
        <f t="shared" ca="1" si="96"/>
        <v>65.163154267849478</v>
      </c>
      <c r="F224" s="357">
        <f t="shared" ca="1" si="97"/>
        <v>67.268757594864326</v>
      </c>
      <c r="G224" s="359">
        <f t="shared" ca="1" si="98"/>
        <v>37.268006334770142</v>
      </c>
      <c r="H224" s="360">
        <f t="shared" ca="1" si="99"/>
        <v>167.22555396343196</v>
      </c>
      <c r="I224" s="357">
        <f t="shared" ca="1" si="100"/>
        <v>171.32801929207366</v>
      </c>
      <c r="J224" s="359">
        <f t="shared" ca="1" si="101"/>
        <v>39.675412181565946</v>
      </c>
      <c r="K224" s="360">
        <f t="shared" ca="1" si="102"/>
        <v>188.99288613264844</v>
      </c>
      <c r="L224" s="357">
        <f t="shared" ca="1" si="87"/>
        <v>193.11253025250684</v>
      </c>
      <c r="M224" s="359">
        <f t="shared" ca="1" si="103"/>
        <v>1.3515190182640437</v>
      </c>
      <c r="N224" s="357">
        <f t="shared" ca="1" si="104"/>
        <v>77.436335678194126</v>
      </c>
      <c r="O224" s="343"/>
      <c r="P224" s="363">
        <f t="shared" ca="1" si="105"/>
        <v>8</v>
      </c>
      <c r="Q224" s="357">
        <f t="shared" ca="1" si="106"/>
        <v>880.5361111111115</v>
      </c>
      <c r="R224" s="359">
        <f t="shared" ca="1" si="107"/>
        <v>0.44108894492542972</v>
      </c>
      <c r="S224" s="360">
        <f t="shared" ca="1" si="108"/>
        <v>10.422843258950824</v>
      </c>
      <c r="T224" s="357">
        <f t="shared" ca="1" si="88"/>
        <v>102.24809237030759</v>
      </c>
      <c r="U224" s="364">
        <f t="shared" ca="1" si="89"/>
        <v>0</v>
      </c>
      <c r="V224" s="359">
        <f t="shared" ca="1" si="90"/>
        <v>1.202065098113783</v>
      </c>
      <c r="W224" s="357">
        <f t="shared" ca="1" si="91"/>
        <v>80.572143669977223</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188.99288613264844</v>
      </c>
      <c r="AF224" s="344"/>
      <c r="AG224" s="359">
        <f t="shared" ca="1" si="114"/>
        <v>67.234940677350764</v>
      </c>
      <c r="AH224" s="357">
        <f t="shared" ca="1" si="115"/>
        <v>76.810304875659895</v>
      </c>
    </row>
    <row r="225" spans="1:34" x14ac:dyDescent="0.25">
      <c r="A225" s="402">
        <f t="shared" ca="1" si="93"/>
        <v>0.01</v>
      </c>
      <c r="B225" s="357">
        <f t="shared" ca="1" si="94"/>
        <v>2.2099999999999969</v>
      </c>
      <c r="C225" s="342"/>
      <c r="D225" s="359">
        <f t="shared" ca="1" si="95"/>
        <v>16.672228329218786</v>
      </c>
      <c r="E225" s="360">
        <f t="shared" ca="1" si="96"/>
        <v>65.000082222114429</v>
      </c>
      <c r="F225" s="357">
        <f t="shared" ca="1" si="97"/>
        <v>67.104201704090343</v>
      </c>
      <c r="G225" s="359">
        <f t="shared" ca="1" si="98"/>
        <v>37.43472861806233</v>
      </c>
      <c r="H225" s="360">
        <f t="shared" ca="1" si="99"/>
        <v>167.87555478565309</v>
      </c>
      <c r="I225" s="357">
        <f t="shared" ca="1" si="100"/>
        <v>171.99872325485089</v>
      </c>
      <c r="J225" s="359">
        <f t="shared" ca="1" si="101"/>
        <v>40.048925856330108</v>
      </c>
      <c r="K225" s="360">
        <f t="shared" ca="1" si="102"/>
        <v>190.66839167639387</v>
      </c>
      <c r="L225" s="357">
        <f t="shared" ca="1" si="87"/>
        <v>194.82903286396657</v>
      </c>
      <c r="M225" s="359">
        <f t="shared" ca="1" si="103"/>
        <v>1.3513949526149929</v>
      </c>
      <c r="N225" s="357">
        <f t="shared" ca="1" si="104"/>
        <v>77.429227240120966</v>
      </c>
      <c r="O225" s="343"/>
      <c r="P225" s="363">
        <f t="shared" ca="1" si="105"/>
        <v>8</v>
      </c>
      <c r="Q225" s="357">
        <f t="shared" ca="1" si="106"/>
        <v>879.09722222222263</v>
      </c>
      <c r="R225" s="359">
        <f t="shared" ca="1" si="107"/>
        <v>0.44036815906116339</v>
      </c>
      <c r="S225" s="360">
        <f t="shared" ca="1" si="108"/>
        <v>10.418439577360212</v>
      </c>
      <c r="T225" s="357">
        <f t="shared" ca="1" si="88"/>
        <v>102.20489225390369</v>
      </c>
      <c r="U225" s="364">
        <f t="shared" ca="1" si="89"/>
        <v>0</v>
      </c>
      <c r="V225" s="359">
        <f t="shared" ca="1" si="90"/>
        <v>1.2018636901688831</v>
      </c>
      <c r="W225" s="357">
        <f t="shared" ca="1" si="91"/>
        <v>81.190609894359454</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190.66839167639387</v>
      </c>
      <c r="AF225" s="344"/>
      <c r="AG225" s="359">
        <f t="shared" ca="1" si="114"/>
        <v>67.070263905055214</v>
      </c>
      <c r="AH225" s="357">
        <f t="shared" ca="1" si="115"/>
        <v>76.645362544260479</v>
      </c>
    </row>
    <row r="226" spans="1:34" x14ac:dyDescent="0.25">
      <c r="A226" s="402">
        <f t="shared" ca="1" si="93"/>
        <v>0.01</v>
      </c>
      <c r="B226" s="357">
        <f t="shared" ca="1" si="94"/>
        <v>2.2199999999999966</v>
      </c>
      <c r="C226" s="342"/>
      <c r="D226" s="359">
        <f t="shared" ca="1" si="95"/>
        <v>16.645554839740225</v>
      </c>
      <c r="E226" s="360">
        <f t="shared" ca="1" si="96"/>
        <v>64.836774708768885</v>
      </c>
      <c r="F226" s="357">
        <f t="shared" ca="1" si="97"/>
        <v>66.939389379934241</v>
      </c>
      <c r="G226" s="359">
        <f t="shared" ca="1" si="98"/>
        <v>37.601184166459731</v>
      </c>
      <c r="H226" s="360">
        <f t="shared" ca="1" si="99"/>
        <v>168.52392253274078</v>
      </c>
      <c r="I226" s="357">
        <f t="shared" ca="1" si="100"/>
        <v>172.66777787572653</v>
      </c>
      <c r="J226" s="359">
        <f t="shared" ca="1" si="101"/>
        <v>40.424105420252715</v>
      </c>
      <c r="K226" s="360">
        <f t="shared" ca="1" si="102"/>
        <v>192.35038906298584</v>
      </c>
      <c r="L226" s="357">
        <f t="shared" ca="1" si="87"/>
        <v>196.55223344370762</v>
      </c>
      <c r="M226" s="359">
        <f t="shared" ca="1" si="103"/>
        <v>1.351271298898342</v>
      </c>
      <c r="N226" s="357">
        <f t="shared" ca="1" si="104"/>
        <v>77.422142404035768</v>
      </c>
      <c r="O226" s="343"/>
      <c r="P226" s="363">
        <f t="shared" ca="1" si="105"/>
        <v>8</v>
      </c>
      <c r="Q226" s="357">
        <f t="shared" ca="1" si="106"/>
        <v>877.65833333333376</v>
      </c>
      <c r="R226" s="359">
        <f t="shared" ca="1" si="107"/>
        <v>0.43964737319689712</v>
      </c>
      <c r="S226" s="360">
        <f t="shared" ca="1" si="108"/>
        <v>10.414043103628243</v>
      </c>
      <c r="T226" s="357">
        <f t="shared" ca="1" si="88"/>
        <v>102.16176284659308</v>
      </c>
      <c r="U226" s="364">
        <f t="shared" ca="1" si="89"/>
        <v>0</v>
      </c>
      <c r="V226" s="359">
        <f t="shared" ca="1" si="90"/>
        <v>1.2016615354763469</v>
      </c>
      <c r="W226" s="357">
        <f t="shared" ca="1" si="91"/>
        <v>81.809719284875456</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192.35038906298584</v>
      </c>
      <c r="AF226" s="344"/>
      <c r="AG226" s="359">
        <f t="shared" ca="1" si="114"/>
        <v>66.905330080961377</v>
      </c>
      <c r="AH226" s="357">
        <f t="shared" ca="1" si="115"/>
        <v>76.480163901135157</v>
      </c>
    </row>
    <row r="227" spans="1:34" x14ac:dyDescent="0.25">
      <c r="A227" s="402">
        <f t="shared" ca="1" si="93"/>
        <v>0.01</v>
      </c>
      <c r="B227" s="357">
        <f t="shared" ca="1" si="94"/>
        <v>2.2299999999999964</v>
      </c>
      <c r="C227" s="342"/>
      <c r="D227" s="359">
        <f t="shared" ca="1" si="95"/>
        <v>16.618755054079369</v>
      </c>
      <c r="E227" s="360">
        <f t="shared" ca="1" si="96"/>
        <v>64.673233744070544</v>
      </c>
      <c r="F227" s="357">
        <f t="shared" ca="1" si="97"/>
        <v>66.774322778016057</v>
      </c>
      <c r="G227" s="359">
        <f t="shared" ca="1" si="98"/>
        <v>37.767371717000522</v>
      </c>
      <c r="H227" s="360">
        <f t="shared" ca="1" si="99"/>
        <v>169.17065487018149</v>
      </c>
      <c r="I227" s="357">
        <f t="shared" ca="1" si="100"/>
        <v>173.33518060571592</v>
      </c>
      <c r="J227" s="359">
        <f t="shared" ca="1" si="101"/>
        <v>40.800948199670017</v>
      </c>
      <c r="K227" s="360">
        <f t="shared" ca="1" si="102"/>
        <v>194.03886195000044</v>
      </c>
      <c r="L227" s="357">
        <f t="shared" ca="1" si="87"/>
        <v>198.28211548408365</v>
      </c>
      <c r="M227" s="359">
        <f t="shared" ca="1" si="103"/>
        <v>1.3511480529890014</v>
      </c>
      <c r="N227" s="357">
        <f t="shared" ca="1" si="104"/>
        <v>77.4150809335883</v>
      </c>
      <c r="O227" s="343"/>
      <c r="P227" s="363">
        <f t="shared" ca="1" si="105"/>
        <v>8</v>
      </c>
      <c r="Q227" s="357">
        <f t="shared" ca="1" si="106"/>
        <v>876.21944444444489</v>
      </c>
      <c r="R227" s="359">
        <f t="shared" ca="1" si="107"/>
        <v>0.43892658733263079</v>
      </c>
      <c r="S227" s="360">
        <f t="shared" ca="1" si="108"/>
        <v>10.409653837754917</v>
      </c>
      <c r="T227" s="357">
        <f t="shared" ca="1" si="88"/>
        <v>102.11870414837574</v>
      </c>
      <c r="U227" s="364">
        <f t="shared" ca="1" si="89"/>
        <v>0</v>
      </c>
      <c r="V227" s="359">
        <f t="shared" ca="1" si="90"/>
        <v>1.2014586363813904</v>
      </c>
      <c r="W227" s="357">
        <f t="shared" ca="1" si="91"/>
        <v>82.429449776400119</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194.03886195000044</v>
      </c>
      <c r="AF227" s="344"/>
      <c r="AG227" s="359">
        <f t="shared" ca="1" si="114"/>
        <v>66.740141354731122</v>
      </c>
      <c r="AH227" s="357">
        <f t="shared" ca="1" si="115"/>
        <v>76.314711088500744</v>
      </c>
    </row>
    <row r="228" spans="1:34" x14ac:dyDescent="0.25">
      <c r="A228" s="402">
        <f t="shared" ca="1" si="93"/>
        <v>0.01</v>
      </c>
      <c r="B228" s="357">
        <f t="shared" ca="1" si="94"/>
        <v>2.2399999999999962</v>
      </c>
      <c r="C228" s="342"/>
      <c r="D228" s="359">
        <f t="shared" ca="1" si="95"/>
        <v>16.591829857277119</v>
      </c>
      <c r="E228" s="360">
        <f t="shared" ca="1" si="96"/>
        <v>64.509461345697247</v>
      </c>
      <c r="F228" s="357">
        <f t="shared" ca="1" si="97"/>
        <v>66.609004054443261</v>
      </c>
      <c r="G228" s="359">
        <f t="shared" ca="1" si="98"/>
        <v>37.933290015573291</v>
      </c>
      <c r="H228" s="360">
        <f t="shared" ca="1" si="99"/>
        <v>169.81574948363846</v>
      </c>
      <c r="I228" s="357">
        <f t="shared" ca="1" si="100"/>
        <v>174.00092891733493</v>
      </c>
      <c r="J228" s="359">
        <f t="shared" ca="1" si="101"/>
        <v>41.179451508332889</v>
      </c>
      <c r="K228" s="360">
        <f t="shared" ca="1" si="102"/>
        <v>195.73379397176953</v>
      </c>
      <c r="L228" s="357">
        <f t="shared" ca="1" si="87"/>
        <v>200.01866245205787</v>
      </c>
      <c r="M228" s="359">
        <f t="shared" ca="1" si="103"/>
        <v>1.3510252108168912</v>
      </c>
      <c r="N228" s="357">
        <f t="shared" ca="1" si="104"/>
        <v>77.408042595580156</v>
      </c>
      <c r="O228" s="343"/>
      <c r="P228" s="363">
        <f t="shared" ca="1" si="105"/>
        <v>8</v>
      </c>
      <c r="Q228" s="357">
        <f t="shared" ca="1" si="106"/>
        <v>874.78055555555613</v>
      </c>
      <c r="R228" s="359">
        <f t="shared" ca="1" si="107"/>
        <v>0.43820580146836452</v>
      </c>
      <c r="S228" s="360">
        <f t="shared" ca="1" si="108"/>
        <v>10.405271779740232</v>
      </c>
      <c r="T228" s="357">
        <f t="shared" ca="1" si="88"/>
        <v>102.07571615925168</v>
      </c>
      <c r="U228" s="364">
        <f t="shared" ca="1" si="89"/>
        <v>0</v>
      </c>
      <c r="V228" s="359">
        <f t="shared" ca="1" si="90"/>
        <v>1.2012549952320142</v>
      </c>
      <c r="W228" s="357">
        <f t="shared" ca="1" si="91"/>
        <v>83.049779347593258</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195.73379397176953</v>
      </c>
      <c r="AF228" s="344"/>
      <c r="AG228" s="359">
        <f t="shared" ca="1" si="114"/>
        <v>66.574699876470092</v>
      </c>
      <c r="AH228" s="357">
        <f t="shared" ca="1" si="115"/>
        <v>76.149006249112801</v>
      </c>
    </row>
    <row r="229" spans="1:34" x14ac:dyDescent="0.25">
      <c r="A229" s="402">
        <f t="shared" ca="1" si="93"/>
        <v>0.01</v>
      </c>
      <c r="B229" s="357">
        <f t="shared" ca="1" si="94"/>
        <v>2.249999999999996</v>
      </c>
      <c r="C229" s="342"/>
      <c r="D229" s="359">
        <f t="shared" ca="1" si="95"/>
        <v>16.56478012930684</v>
      </c>
      <c r="E229" s="360">
        <f t="shared" ca="1" si="96"/>
        <v>64.345459532644767</v>
      </c>
      <c r="F229" s="357">
        <f t="shared" ca="1" si="97"/>
        <v>66.443435365726728</v>
      </c>
      <c r="G229" s="359">
        <f t="shared" ca="1" si="98"/>
        <v>38.098937816866361</v>
      </c>
      <c r="H229" s="360">
        <f t="shared" ca="1" si="99"/>
        <v>170.45920407896492</v>
      </c>
      <c r="I229" s="357">
        <f t="shared" ca="1" si="100"/>
        <v>174.66502030460381</v>
      </c>
      <c r="J229" s="359">
        <f t="shared" ca="1" si="101"/>
        <v>41.559612647495086</v>
      </c>
      <c r="K229" s="360">
        <f t="shared" ca="1" si="102"/>
        <v>197.43516873958254</v>
      </c>
      <c r="L229" s="357">
        <f t="shared" ca="1" si="87"/>
        <v>201.7618577894178</v>
      </c>
      <c r="M229" s="359">
        <f t="shared" ca="1" si="103"/>
        <v>1.3509027683659389</v>
      </c>
      <c r="N229" s="357">
        <f t="shared" ca="1" si="104"/>
        <v>77.401027159907358</v>
      </c>
      <c r="O229" s="343"/>
      <c r="P229" s="363">
        <f t="shared" ca="1" si="105"/>
        <v>8</v>
      </c>
      <c r="Q229" s="357">
        <f t="shared" ca="1" si="106"/>
        <v>873.34166666666727</v>
      </c>
      <c r="R229" s="359">
        <f t="shared" ca="1" si="107"/>
        <v>0.43748501560409825</v>
      </c>
      <c r="S229" s="360">
        <f t="shared" ca="1" si="108"/>
        <v>10.400896929584192</v>
      </c>
      <c r="T229" s="357">
        <f t="shared" ca="1" si="88"/>
        <v>102.03279887922093</v>
      </c>
      <c r="U229" s="364">
        <f t="shared" ca="1" si="89"/>
        <v>0</v>
      </c>
      <c r="V229" s="359">
        <f t="shared" ca="1" si="90"/>
        <v>1.2010506143789661</v>
      </c>
      <c r="W229" s="357">
        <f t="shared" ca="1" si="91"/>
        <v>83.670686021651136</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197.43516873958254</v>
      </c>
      <c r="AF229" s="344"/>
      <c r="AG229" s="359">
        <f t="shared" ca="1" si="114"/>
        <v>66.409007796642896</v>
      </c>
      <c r="AH229" s="357">
        <f t="shared" ca="1" si="115"/>
        <v>75.983051526179139</v>
      </c>
    </row>
    <row r="230" spans="1:34" x14ac:dyDescent="0.25">
      <c r="A230" s="402">
        <f t="shared" ca="1" si="93"/>
        <v>0.01</v>
      </c>
      <c r="B230" s="357">
        <f t="shared" ca="1" si="94"/>
        <v>2.2599999999999958</v>
      </c>
      <c r="C230" s="342"/>
      <c r="D230" s="359">
        <f t="shared" ca="1" si="95"/>
        <v>16.537606745157046</v>
      </c>
      <c r="E230" s="360">
        <f t="shared" ca="1" si="96"/>
        <v>64.181230325125426</v>
      </c>
      <c r="F230" s="357">
        <f t="shared" ca="1" si="97"/>
        <v>66.277618868697019</v>
      </c>
      <c r="G230" s="359">
        <f t="shared" ca="1" si="98"/>
        <v>38.264313884317929</v>
      </c>
      <c r="H230" s="360">
        <f t="shared" ca="1" si="99"/>
        <v>171.10101638221616</v>
      </c>
      <c r="I230" s="357">
        <f t="shared" ca="1" si="100"/>
        <v>175.32745228304952</v>
      </c>
      <c r="J230" s="359">
        <f t="shared" ca="1" si="101"/>
        <v>41.941428906001008</v>
      </c>
      <c r="K230" s="360">
        <f t="shared" ca="1" si="102"/>
        <v>199.14296984188843</v>
      </c>
      <c r="L230" s="357">
        <f t="shared" ca="1" si="87"/>
        <v>203.51168491299075</v>
      </c>
      <c r="M230" s="359">
        <f t="shared" ca="1" si="103"/>
        <v>1.3507807216731011</v>
      </c>
      <c r="N230" s="357">
        <f t="shared" ca="1" si="104"/>
        <v>77.394034399504221</v>
      </c>
      <c r="O230" s="343"/>
      <c r="P230" s="363">
        <f t="shared" ca="1" si="105"/>
        <v>8</v>
      </c>
      <c r="Q230" s="357">
        <f t="shared" ca="1" si="106"/>
        <v>871.9027777777784</v>
      </c>
      <c r="R230" s="359">
        <f t="shared" ca="1" si="107"/>
        <v>0.43676422973983192</v>
      </c>
      <c r="S230" s="360">
        <f t="shared" ca="1" si="108"/>
        <v>10.396529287286794</v>
      </c>
      <c r="T230" s="357">
        <f t="shared" ca="1" si="88"/>
        <v>101.98995230828346</v>
      </c>
      <c r="U230" s="364">
        <f t="shared" ca="1" si="89"/>
        <v>0</v>
      </c>
      <c r="V230" s="359">
        <f t="shared" ca="1" si="90"/>
        <v>1.2008454961757005</v>
      </c>
      <c r="W230" s="357">
        <f t="shared" ca="1" si="91"/>
        <v>84.292147867052449</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199.14296984188843</v>
      </c>
      <c r="AF230" s="344"/>
      <c r="AG230" s="359">
        <f t="shared" ca="1" si="114"/>
        <v>66.2430672659886</v>
      </c>
      <c r="AH230" s="357">
        <f t="shared" ca="1" si="115"/>
        <v>75.816849063273693</v>
      </c>
    </row>
    <row r="231" spans="1:34" x14ac:dyDescent="0.25">
      <c r="A231" s="402">
        <f t="shared" ca="1" si="93"/>
        <v>0.01</v>
      </c>
      <c r="B231" s="357">
        <f t="shared" ca="1" si="94"/>
        <v>2.2699999999999956</v>
      </c>
      <c r="C231" s="342"/>
      <c r="D231" s="359">
        <f t="shared" ca="1" si="95"/>
        <v>16.510310574911731</v>
      </c>
      <c r="E231" s="360">
        <f t="shared" ca="1" si="96"/>
        <v>64.016775744467381</v>
      </c>
      <c r="F231" s="357">
        <f t="shared" ca="1" si="97"/>
        <v>66.111556720421191</v>
      </c>
      <c r="G231" s="359">
        <f t="shared" ca="1" si="98"/>
        <v>38.429416990067047</v>
      </c>
      <c r="H231" s="360">
        <f t="shared" ca="1" si="99"/>
        <v>171.74118413966085</v>
      </c>
      <c r="I231" s="357">
        <f t="shared" ca="1" si="100"/>
        <v>175.98822238970808</v>
      </c>
      <c r="J231" s="359">
        <f t="shared" ca="1" si="101"/>
        <v>42.324897560372932</v>
      </c>
      <c r="K231" s="360">
        <f t="shared" ca="1" si="102"/>
        <v>200.8571808444978</v>
      </c>
      <c r="L231" s="357">
        <f t="shared" ca="1" si="87"/>
        <v>205.26812721485857</v>
      </c>
      <c r="M231" s="359">
        <f t="shared" ca="1" si="103"/>
        <v>1.3506590668274048</v>
      </c>
      <c r="N231" s="357">
        <f t="shared" ca="1" si="104"/>
        <v>77.387064090288504</v>
      </c>
      <c r="O231" s="343"/>
      <c r="P231" s="363">
        <f t="shared" ca="1" si="105"/>
        <v>8</v>
      </c>
      <c r="Q231" s="357">
        <f t="shared" ca="1" si="106"/>
        <v>870.46388888888953</v>
      </c>
      <c r="R231" s="359">
        <f t="shared" ca="1" si="107"/>
        <v>0.43604344387556565</v>
      </c>
      <c r="S231" s="360">
        <f t="shared" ca="1" si="108"/>
        <v>10.392168852848039</v>
      </c>
      <c r="T231" s="357">
        <f t="shared" ca="1" si="88"/>
        <v>101.94717644643927</v>
      </c>
      <c r="U231" s="364">
        <f t="shared" ca="1" si="89"/>
        <v>0</v>
      </c>
      <c r="V231" s="359">
        <f t="shared" ca="1" si="90"/>
        <v>1.2006396429783359</v>
      </c>
      <c r="W231" s="357">
        <f t="shared" ca="1" si="91"/>
        <v>84.914142998299496</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200.8571808444978</v>
      </c>
      <c r="AF231" s="344"/>
      <c r="AG231" s="359">
        <f t="shared" ca="1" si="114"/>
        <v>66.076880435436536</v>
      </c>
      <c r="AH231" s="357">
        <f t="shared" ca="1" si="115"/>
        <v>75.650401004250597</v>
      </c>
    </row>
    <row r="232" spans="1:34" x14ac:dyDescent="0.25">
      <c r="A232" s="402">
        <f t="shared" ca="1" si="93"/>
        <v>0.01</v>
      </c>
      <c r="B232" s="357">
        <f t="shared" ca="1" si="94"/>
        <v>2.2799999999999954</v>
      </c>
      <c r="C232" s="342"/>
      <c r="D232" s="359">
        <f t="shared" ca="1" si="95"/>
        <v>16.482892483828586</v>
      </c>
      <c r="E232" s="360">
        <f t="shared" ca="1" si="96"/>
        <v>63.85209781301441</v>
      </c>
      <c r="F232" s="357">
        <f t="shared" ca="1" si="97"/>
        <v>65.945251078119441</v>
      </c>
      <c r="G232" s="359">
        <f t="shared" ca="1" si="98"/>
        <v>38.594245914905329</v>
      </c>
      <c r="H232" s="360">
        <f t="shared" ca="1" si="99"/>
        <v>172.37970511779099</v>
      </c>
      <c r="I232" s="357">
        <f t="shared" ca="1" si="100"/>
        <v>176.64732818312527</v>
      </c>
      <c r="J232" s="359">
        <f t="shared" ca="1" si="101"/>
        <v>42.710015874897792</v>
      </c>
      <c r="K232" s="360">
        <f t="shared" ca="1" si="102"/>
        <v>202.57778529078507</v>
      </c>
      <c r="L232" s="357">
        <f t="shared" ca="1" si="87"/>
        <v>207.03116806257322</v>
      </c>
      <c r="M232" s="359">
        <f t="shared" ca="1" si="103"/>
        <v>1.3505377999690129</v>
      </c>
      <c r="N232" s="357">
        <f t="shared" ca="1" si="104"/>
        <v>77.380116011107845</v>
      </c>
      <c r="O232" s="343"/>
      <c r="P232" s="363">
        <f t="shared" ca="1" si="105"/>
        <v>8</v>
      </c>
      <c r="Q232" s="357">
        <f t="shared" ca="1" si="106"/>
        <v>869.02500000000066</v>
      </c>
      <c r="R232" s="359">
        <f t="shared" ca="1" si="107"/>
        <v>0.43532265801129932</v>
      </c>
      <c r="S232" s="360">
        <f t="shared" ca="1" si="108"/>
        <v>10.387815626267926</v>
      </c>
      <c r="T232" s="357">
        <f t="shared" ca="1" si="88"/>
        <v>101.90447129368836</v>
      </c>
      <c r="U232" s="364">
        <f t="shared" ca="1" si="89"/>
        <v>0</v>
      </c>
      <c r="V232" s="359">
        <f t="shared" ca="1" si="90"/>
        <v>1.2004330571456192</v>
      </c>
      <c r="W232" s="357">
        <f t="shared" ca="1" si="91"/>
        <v>85.536649576654042</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202.57778529078507</v>
      </c>
      <c r="AF232" s="344"/>
      <c r="AG232" s="359">
        <f t="shared" ca="1" si="114"/>
        <v>65.910449456022121</v>
      </c>
      <c r="AH232" s="357">
        <f t="shared" ca="1" si="115"/>
        <v>75.483709493158557</v>
      </c>
    </row>
    <row r="233" spans="1:34" x14ac:dyDescent="0.25">
      <c r="A233" s="402">
        <f t="shared" ca="1" si="93"/>
        <v>0.01</v>
      </c>
      <c r="B233" s="357">
        <f t="shared" ca="1" si="94"/>
        <v>2.2899999999999952</v>
      </c>
      <c r="C233" s="342"/>
      <c r="D233" s="359">
        <f t="shared" ca="1" si="95"/>
        <v>16.455353332414809</v>
      </c>
      <c r="E233" s="360">
        <f t="shared" ca="1" si="96"/>
        <v>63.687198554026565</v>
      </c>
      <c r="F233" s="357">
        <f t="shared" ca="1" si="97"/>
        <v>65.778704099082233</v>
      </c>
      <c r="G233" s="359">
        <f t="shared" ca="1" si="98"/>
        <v>38.758799448229475</v>
      </c>
      <c r="H233" s="360">
        <f t="shared" ca="1" si="99"/>
        <v>173.01657710333126</v>
      </c>
      <c r="I233" s="357">
        <f t="shared" ca="1" si="100"/>
        <v>177.30476724335713</v>
      </c>
      <c r="J233" s="359">
        <f t="shared" ca="1" si="101"/>
        <v>43.096781101713468</v>
      </c>
      <c r="K233" s="360">
        <f t="shared" ca="1" si="102"/>
        <v>204.30476670189068</v>
      </c>
      <c r="L233" s="357">
        <f t="shared" ca="1" si="87"/>
        <v>208.8007907993717</v>
      </c>
      <c r="M233" s="359">
        <f t="shared" ca="1" si="103"/>
        <v>1.3504169172883089</v>
      </c>
      <c r="N233" s="357">
        <f t="shared" ca="1" si="104"/>
        <v>77.373189943687279</v>
      </c>
      <c r="O233" s="343"/>
      <c r="P233" s="363">
        <f t="shared" ca="1" si="105"/>
        <v>8</v>
      </c>
      <c r="Q233" s="357">
        <f t="shared" ca="1" si="106"/>
        <v>867.58611111111179</v>
      </c>
      <c r="R233" s="359">
        <f t="shared" ca="1" si="107"/>
        <v>0.434601872147033</v>
      </c>
      <c r="S233" s="360">
        <f t="shared" ca="1" si="108"/>
        <v>10.383469607546456</v>
      </c>
      <c r="T233" s="357">
        <f t="shared" ca="1" si="88"/>
        <v>101.86183685003074</v>
      </c>
      <c r="U233" s="364">
        <f t="shared" ca="1" si="89"/>
        <v>0</v>
      </c>
      <c r="V233" s="359">
        <f t="shared" ca="1" si="90"/>
        <v>1.2002257410388815</v>
      </c>
      <c r="W233" s="357">
        <f t="shared" ca="1" si="91"/>
        <v>86.159645810868057</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204.30476670189068</v>
      </c>
      <c r="AF233" s="344"/>
      <c r="AG233" s="359">
        <f t="shared" ca="1" si="114"/>
        <v>65.74377647880317</v>
      </c>
      <c r="AH233" s="357">
        <f t="shared" ca="1" si="115"/>
        <v>75.316776674155534</v>
      </c>
    </row>
    <row r="234" spans="1:34" x14ac:dyDescent="0.25">
      <c r="A234" s="402">
        <f t="shared" ca="1" si="93"/>
        <v>0.01</v>
      </c>
      <c r="B234" s="357">
        <f t="shared" ca="1" si="94"/>
        <v>2.2999999999999949</v>
      </c>
      <c r="C234" s="342"/>
      <c r="D234" s="359">
        <f t="shared" ca="1" si="95"/>
        <v>16.427693976501011</v>
      </c>
      <c r="E234" s="360">
        <f t="shared" ca="1" si="96"/>
        <v>63.522079991581208</v>
      </c>
      <c r="F234" s="357">
        <f t="shared" ca="1" si="97"/>
        <v>65.611917940587659</v>
      </c>
      <c r="G234" s="359">
        <f t="shared" ca="1" si="98"/>
        <v>38.923076387994485</v>
      </c>
      <c r="H234" s="360">
        <f t="shared" ca="1" si="99"/>
        <v>173.65179790324706</v>
      </c>
      <c r="I234" s="357">
        <f t="shared" ca="1" si="100"/>
        <v>177.96053717196915</v>
      </c>
      <c r="J234" s="359">
        <f t="shared" ca="1" si="101"/>
        <v>43.485190480894587</v>
      </c>
      <c r="K234" s="360">
        <f t="shared" ca="1" si="102"/>
        <v>206.03810857692358</v>
      </c>
      <c r="L234" s="357">
        <f t="shared" ca="1" si="87"/>
        <v>210.57697874439134</v>
      </c>
      <c r="M234" s="359">
        <f t="shared" ca="1" si="103"/>
        <v>1.3502964150250034</v>
      </c>
      <c r="N234" s="357">
        <f t="shared" ca="1" si="104"/>
        <v>77.366285672578101</v>
      </c>
      <c r="O234" s="343"/>
      <c r="P234" s="363">
        <f t="shared" ca="1" si="105"/>
        <v>8</v>
      </c>
      <c r="Q234" s="357">
        <f t="shared" ca="1" si="106"/>
        <v>866.14722222222292</v>
      </c>
      <c r="R234" s="359">
        <f t="shared" ca="1" si="107"/>
        <v>0.43388108628276673</v>
      </c>
      <c r="S234" s="360">
        <f t="shared" ca="1" si="108"/>
        <v>10.379130796683627</v>
      </c>
      <c r="T234" s="357">
        <f t="shared" ca="1" si="88"/>
        <v>101.81927311546639</v>
      </c>
      <c r="U234" s="364">
        <f t="shared" ca="1" si="89"/>
        <v>0</v>
      </c>
      <c r="V234" s="359">
        <f t="shared" ca="1" si="90"/>
        <v>1.2000176970220011</v>
      </c>
      <c r="W234" s="357">
        <f t="shared" ca="1" si="91"/>
        <v>86.783109957909005</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206.03810857692358</v>
      </c>
      <c r="AF234" s="344"/>
      <c r="AG234" s="359">
        <f t="shared" ca="1" si="114"/>
        <v>65.57686365477629</v>
      </c>
      <c r="AH234" s="357">
        <f t="shared" ca="1" si="115"/>
        <v>75.149604691423576</v>
      </c>
    </row>
    <row r="235" spans="1:34" x14ac:dyDescent="0.25">
      <c r="A235" s="402">
        <f t="shared" ca="1" si="93"/>
        <v>0.01</v>
      </c>
      <c r="B235" s="357">
        <f t="shared" ca="1" si="94"/>
        <v>2.3099999999999947</v>
      </c>
      <c r="C235" s="342"/>
      <c r="D235" s="359">
        <f t="shared" ca="1" si="95"/>
        <v>16.399915267312867</v>
      </c>
      <c r="E235" s="360">
        <f t="shared" ca="1" si="96"/>
        <v>63.35674415047508</v>
      </c>
      <c r="F235" s="357">
        <f t="shared" ca="1" si="97"/>
        <v>65.444894759819121</v>
      </c>
      <c r="G235" s="359">
        <f t="shared" ca="1" si="98"/>
        <v>39.087075540667612</v>
      </c>
      <c r="H235" s="360">
        <f t="shared" ca="1" si="99"/>
        <v>174.2853653447518</v>
      </c>
      <c r="I235" s="357">
        <f t="shared" ca="1" si="100"/>
        <v>178.61463559203503</v>
      </c>
      <c r="J235" s="359">
        <f t="shared" ca="1" si="101"/>
        <v>43.875241240537896</v>
      </c>
      <c r="K235" s="360">
        <f t="shared" ca="1" si="102"/>
        <v>207.77779439316356</v>
      </c>
      <c r="L235" s="357">
        <f t="shared" ca="1" si="87"/>
        <v>212.35971519288481</v>
      </c>
      <c r="M235" s="359">
        <f t="shared" ca="1" si="103"/>
        <v>1.3501762894672587</v>
      </c>
      <c r="N235" s="357">
        <f t="shared" ca="1" si="104"/>
        <v>77.359402985107664</v>
      </c>
      <c r="O235" s="343"/>
      <c r="P235" s="363">
        <f t="shared" ca="1" si="105"/>
        <v>8</v>
      </c>
      <c r="Q235" s="357">
        <f t="shared" ca="1" si="106"/>
        <v>864.70833333333405</v>
      </c>
      <c r="R235" s="359">
        <f t="shared" ca="1" si="107"/>
        <v>0.4331603004185004</v>
      </c>
      <c r="S235" s="360">
        <f t="shared" ca="1" si="108"/>
        <v>10.374799193679442</v>
      </c>
      <c r="T235" s="357">
        <f t="shared" ca="1" si="88"/>
        <v>101.77678008999533</v>
      </c>
      <c r="U235" s="364">
        <f t="shared" ca="1" si="89"/>
        <v>0</v>
      </c>
      <c r="V235" s="359">
        <f t="shared" ca="1" si="90"/>
        <v>1.1998089274613613</v>
      </c>
      <c r="W235" s="357">
        <f t="shared" ca="1" si="91"/>
        <v>87.407020323680101</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207.77779439316356</v>
      </c>
      <c r="AF235" s="344"/>
      <c r="AG235" s="359">
        <f t="shared" ca="1" si="114"/>
        <v>65.409713134793648</v>
      </c>
      <c r="AH235" s="357">
        <f t="shared" ca="1" si="115"/>
        <v>74.982195689084222</v>
      </c>
    </row>
    <row r="236" spans="1:34" x14ac:dyDescent="0.25">
      <c r="A236" s="402">
        <f t="shared" ca="1" si="93"/>
        <v>0.01</v>
      </c>
      <c r="B236" s="357">
        <f t="shared" ca="1" si="94"/>
        <v>2.3199999999999945</v>
      </c>
      <c r="C236" s="342"/>
      <c r="D236" s="359">
        <f t="shared" ca="1" si="95"/>
        <v>16.372018051540906</v>
      </c>
      <c r="E236" s="360">
        <f t="shared" ca="1" si="96"/>
        <v>63.191193056126551</v>
      </c>
      <c r="F236" s="357">
        <f t="shared" ca="1" si="97"/>
        <v>65.277636713783053</v>
      </c>
      <c r="G236" s="359">
        <f t="shared" ca="1" si="98"/>
        <v>39.250795721183025</v>
      </c>
      <c r="H236" s="360">
        <f t="shared" ca="1" si="99"/>
        <v>174.91727727531307</v>
      </c>
      <c r="I236" s="357">
        <f t="shared" ca="1" si="100"/>
        <v>179.26706014813428</v>
      </c>
      <c r="J236" s="359">
        <f t="shared" ca="1" si="101"/>
        <v>44.266930596847146</v>
      </c>
      <c r="K236" s="360">
        <f t="shared" ca="1" si="102"/>
        <v>209.52380760626389</v>
      </c>
      <c r="L236" s="357">
        <f t="shared" ca="1" si="87"/>
        <v>214.1489834164355</v>
      </c>
      <c r="M236" s="359">
        <f t="shared" ca="1" si="103"/>
        <v>1.3500565369508337</v>
      </c>
      <c r="N236" s="357">
        <f t="shared" ca="1" si="104"/>
        <v>77.352541671330442</v>
      </c>
      <c r="O236" s="343"/>
      <c r="P236" s="363">
        <f t="shared" ca="1" si="105"/>
        <v>8</v>
      </c>
      <c r="Q236" s="357">
        <f t="shared" ca="1" si="106"/>
        <v>863.2694444444453</v>
      </c>
      <c r="R236" s="359">
        <f t="shared" ca="1" si="107"/>
        <v>0.43243951455423413</v>
      </c>
      <c r="S236" s="360">
        <f t="shared" ca="1" si="108"/>
        <v>10.3704747985339</v>
      </c>
      <c r="T236" s="357">
        <f t="shared" ca="1" si="88"/>
        <v>101.73435777361756</v>
      </c>
      <c r="U236" s="364">
        <f t="shared" ca="1" si="89"/>
        <v>0</v>
      </c>
      <c r="V236" s="359">
        <f t="shared" ca="1" si="90"/>
        <v>1.1995994347258128</v>
      </c>
      <c r="W236" s="357">
        <f t="shared" ca="1" si="91"/>
        <v>88.031355263735165</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209.52380760626389</v>
      </c>
      <c r="AF236" s="344"/>
      <c r="AG236" s="359">
        <f t="shared" ca="1" si="114"/>
        <v>65.242327069479899</v>
      </c>
      <c r="AH236" s="357">
        <f t="shared" ca="1" si="115"/>
        <v>74.814551811113873</v>
      </c>
    </row>
    <row r="237" spans="1:34" x14ac:dyDescent="0.25">
      <c r="A237" s="402">
        <f t="shared" ca="1" si="93"/>
        <v>0.01</v>
      </c>
      <c r="B237" s="357">
        <f t="shared" ca="1" si="94"/>
        <v>2.3299999999999943</v>
      </c>
      <c r="C237" s="342"/>
      <c r="D237" s="359">
        <f t="shared" ca="1" si="95"/>
        <v>16.344003171408279</v>
      </c>
      <c r="E237" s="360">
        <f t="shared" ca="1" si="96"/>
        <v>63.025428734478936</v>
      </c>
      <c r="F237" s="357">
        <f t="shared" ca="1" si="97"/>
        <v>65.110145959227324</v>
      </c>
      <c r="G237" s="359">
        <f t="shared" ca="1" si="98"/>
        <v>39.414235752897106</v>
      </c>
      <c r="H237" s="360">
        <f t="shared" ca="1" si="99"/>
        <v>175.54753156265787</v>
      </c>
      <c r="I237" s="357">
        <f t="shared" ca="1" si="100"/>
        <v>179.91780850634913</v>
      </c>
      <c r="J237" s="359">
        <f t="shared" ca="1" si="101"/>
        <v>44.660255754217545</v>
      </c>
      <c r="K237" s="360">
        <f t="shared" ca="1" si="102"/>
        <v>211.27613165045375</v>
      </c>
      <c r="L237" s="357">
        <f t="shared" ca="1" si="87"/>
        <v>215.94476666317243</v>
      </c>
      <c r="M237" s="359">
        <f t="shared" ca="1" si="103"/>
        <v>1.349937153858249</v>
      </c>
      <c r="N237" s="357">
        <f t="shared" ca="1" si="104"/>
        <v>77.345701523980125</v>
      </c>
      <c r="O237" s="343"/>
      <c r="P237" s="363">
        <f t="shared" ca="1" si="105"/>
        <v>8</v>
      </c>
      <c r="Q237" s="357">
        <f t="shared" ca="1" si="106"/>
        <v>861.83055555555643</v>
      </c>
      <c r="R237" s="359">
        <f t="shared" ca="1" si="107"/>
        <v>0.43171872868996786</v>
      </c>
      <c r="S237" s="360">
        <f t="shared" ca="1" si="108"/>
        <v>10.366157611247001</v>
      </c>
      <c r="T237" s="357">
        <f t="shared" ca="1" si="88"/>
        <v>101.69200616633309</v>
      </c>
      <c r="U237" s="364">
        <f t="shared" ca="1" si="89"/>
        <v>0</v>
      </c>
      <c r="V237" s="359">
        <f t="shared" ca="1" si="90"/>
        <v>1.1993892211866317</v>
      </c>
      <c r="W237" s="357">
        <f t="shared" ca="1" si="91"/>
        <v>88.656093183987977</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211.27613165045375</v>
      </c>
      <c r="AF237" s="344"/>
      <c r="AG237" s="359">
        <f t="shared" ca="1" si="114"/>
        <v>65.07470760914947</v>
      </c>
      <c r="AH237" s="357">
        <f t="shared" ca="1" si="115"/>
        <v>74.646675201259725</v>
      </c>
    </row>
    <row r="238" spans="1:34" x14ac:dyDescent="0.25">
      <c r="A238" s="402">
        <f t="shared" ca="1" si="93"/>
        <v>0.01</v>
      </c>
      <c r="B238" s="357">
        <f t="shared" ca="1" si="94"/>
        <v>2.3399999999999941</v>
      </c>
      <c r="C238" s="342"/>
      <c r="D238" s="359">
        <f t="shared" ca="1" si="95"/>
        <v>16.315871464736581</v>
      </c>
      <c r="E238" s="360">
        <f t="shared" ca="1" si="96"/>
        <v>62.859453211904068</v>
      </c>
      <c r="F238" s="357">
        <f t="shared" ca="1" si="97"/>
        <v>64.942424652559453</v>
      </c>
      <c r="G238" s="359">
        <f t="shared" ca="1" si="98"/>
        <v>39.577394467544472</v>
      </c>
      <c r="H238" s="360">
        <f t="shared" ca="1" si="99"/>
        <v>176.17612609477692</v>
      </c>
      <c r="I238" s="357">
        <f t="shared" ca="1" si="100"/>
        <v>180.56687835426064</v>
      </c>
      <c r="J238" s="359">
        <f t="shared" ca="1" si="101"/>
        <v>45.055213905319754</v>
      </c>
      <c r="K238" s="360">
        <f t="shared" ca="1" si="102"/>
        <v>213.03474993874093</v>
      </c>
      <c r="L238" s="357">
        <f t="shared" ca="1" si="87"/>
        <v>217.74704815798538</v>
      </c>
      <c r="M238" s="359">
        <f t="shared" ca="1" si="103"/>
        <v>1.3498181366179667</v>
      </c>
      <c r="N238" s="357">
        <f t="shared" ca="1" si="104"/>
        <v>77.33888233842265</v>
      </c>
      <c r="O238" s="343"/>
      <c r="P238" s="363">
        <f t="shared" ca="1" si="105"/>
        <v>8</v>
      </c>
      <c r="Q238" s="357">
        <f t="shared" ca="1" si="106"/>
        <v>860.39166666666756</v>
      </c>
      <c r="R238" s="359">
        <f t="shared" ca="1" si="107"/>
        <v>0.43099794282570153</v>
      </c>
      <c r="S238" s="360">
        <f t="shared" ca="1" si="108"/>
        <v>10.361847631818744</v>
      </c>
      <c r="T238" s="357">
        <f t="shared" ca="1" si="88"/>
        <v>101.64972526814188</v>
      </c>
      <c r="U238" s="364">
        <f t="shared" ca="1" si="89"/>
        <v>0</v>
      </c>
      <c r="V238" s="359">
        <f t="shared" ca="1" si="90"/>
        <v>1.1991782892174814</v>
      </c>
      <c r="W238" s="357">
        <f t="shared" ca="1" si="91"/>
        <v>89.28121254141648</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213.03474993874093</v>
      </c>
      <c r="AF238" s="344"/>
      <c r="AG238" s="359">
        <f t="shared" ca="1" si="114"/>
        <v>64.906856903724119</v>
      </c>
      <c r="AH238" s="357">
        <f t="shared" ca="1" si="115"/>
        <v>74.478568002955868</v>
      </c>
    </row>
    <row r="239" spans="1:34" x14ac:dyDescent="0.25">
      <c r="A239" s="402">
        <f t="shared" ca="1" si="93"/>
        <v>0.01</v>
      </c>
      <c r="B239" s="357">
        <f t="shared" ca="1" si="94"/>
        <v>2.3499999999999939</v>
      </c>
      <c r="C239" s="342"/>
      <c r="D239" s="359">
        <f t="shared" ca="1" si="95"/>
        <v>16.287623765009968</v>
      </c>
      <c r="E239" s="360">
        <f t="shared" ca="1" si="96"/>
        <v>62.693268515106851</v>
      </c>
      <c r="F239" s="357">
        <f t="shared" ca="1" si="97"/>
        <v>64.774474949765548</v>
      </c>
      <c r="G239" s="359">
        <f t="shared" ca="1" si="98"/>
        <v>39.740270705194575</v>
      </c>
      <c r="H239" s="360">
        <f t="shared" ca="1" si="99"/>
        <v>176.80305877992799</v>
      </c>
      <c r="I239" s="357">
        <f t="shared" ca="1" si="100"/>
        <v>181.21426740094395</v>
      </c>
      <c r="J239" s="359">
        <f t="shared" ca="1" si="101"/>
        <v>45.45180223118345</v>
      </c>
      <c r="K239" s="360">
        <f t="shared" ca="1" si="102"/>
        <v>214.79964586311445</v>
      </c>
      <c r="L239" s="357">
        <f t="shared" ca="1" si="87"/>
        <v>219.55581110273988</v>
      </c>
      <c r="M239" s="359">
        <f t="shared" ca="1" si="103"/>
        <v>1.3496994817035917</v>
      </c>
      <c r="N239" s="357">
        <f t="shared" ca="1" si="104"/>
        <v>77.332083912610472</v>
      </c>
      <c r="O239" s="343"/>
      <c r="P239" s="363">
        <f t="shared" ca="1" si="105"/>
        <v>8</v>
      </c>
      <c r="Q239" s="357">
        <f t="shared" ca="1" si="106"/>
        <v>858.95277777777869</v>
      </c>
      <c r="R239" s="359">
        <f t="shared" ca="1" si="107"/>
        <v>0.43027715696143526</v>
      </c>
      <c r="S239" s="360">
        <f t="shared" ca="1" si="108"/>
        <v>10.35754486024913</v>
      </c>
      <c r="T239" s="357">
        <f t="shared" ca="1" si="88"/>
        <v>101.60751507904396</v>
      </c>
      <c r="U239" s="364">
        <f t="shared" ca="1" si="89"/>
        <v>0</v>
      </c>
      <c r="V239" s="359">
        <f t="shared" ca="1" si="90"/>
        <v>1.1989666411943725</v>
      </c>
      <c r="W239" s="357">
        <f t="shared" ca="1" si="91"/>
        <v>89.90669184476161</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214.79964586311445</v>
      </c>
      <c r="AF239" s="344"/>
      <c r="AG239" s="359">
        <f t="shared" ca="1" si="114"/>
        <v>64.738777102650715</v>
      </c>
      <c r="AH239" s="357">
        <f t="shared" ca="1" si="115"/>
        <v>74.310232359239748</v>
      </c>
    </row>
    <row r="240" spans="1:34" x14ac:dyDescent="0.25">
      <c r="A240" s="402">
        <f t="shared" ca="1" si="93"/>
        <v>0.01</v>
      </c>
      <c r="B240" s="357">
        <f t="shared" ca="1" si="94"/>
        <v>2.3599999999999937</v>
      </c>
      <c r="C240" s="342"/>
      <c r="D240" s="359">
        <f t="shared" ca="1" si="95"/>
        <v>16.259260901437322</v>
      </c>
      <c r="E240" s="360">
        <f t="shared" ca="1" si="96"/>
        <v>62.526876671030067</v>
      </c>
      <c r="F240" s="357">
        <f t="shared" ca="1" si="97"/>
        <v>64.606299006329195</v>
      </c>
      <c r="G240" s="359">
        <f t="shared" ca="1" si="98"/>
        <v>39.90286331420895</v>
      </c>
      <c r="H240" s="360">
        <f t="shared" ca="1" si="99"/>
        <v>177.42832754663829</v>
      </c>
      <c r="I240" s="357">
        <f t="shared" ca="1" si="100"/>
        <v>181.85997337696276</v>
      </c>
      <c r="J240" s="359">
        <f t="shared" ca="1" si="101"/>
        <v>45.850017901280467</v>
      </c>
      <c r="K240" s="360">
        <f t="shared" ca="1" si="102"/>
        <v>216.57080279474729</v>
      </c>
      <c r="L240" s="357">
        <f t="shared" ca="1" si="87"/>
        <v>221.37103867649233</v>
      </c>
      <c r="M240" s="359">
        <f t="shared" ca="1" si="103"/>
        <v>1.3495811856330879</v>
      </c>
      <c r="N240" s="357">
        <f t="shared" ca="1" si="104"/>
        <v>77.325306047037628</v>
      </c>
      <c r="O240" s="343"/>
      <c r="P240" s="363">
        <f t="shared" ca="1" si="105"/>
        <v>8</v>
      </c>
      <c r="Q240" s="357">
        <f t="shared" ca="1" si="106"/>
        <v>857.51388888888982</v>
      </c>
      <c r="R240" s="359">
        <f t="shared" ca="1" si="107"/>
        <v>0.42955637109716893</v>
      </c>
      <c r="S240" s="360">
        <f t="shared" ca="1" si="108"/>
        <v>10.353249296538158</v>
      </c>
      <c r="T240" s="357">
        <f t="shared" ca="1" si="88"/>
        <v>101.56537559903933</v>
      </c>
      <c r="U240" s="364">
        <f t="shared" ca="1" si="89"/>
        <v>0</v>
      </c>
      <c r="V240" s="359">
        <f t="shared" ca="1" si="90"/>
        <v>1.1987542794956214</v>
      </c>
      <c r="W240" s="357">
        <f t="shared" ca="1" si="91"/>
        <v>90.532509655220338</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216.57080279474729</v>
      </c>
      <c r="AF240" s="344"/>
      <c r="AG240" s="359">
        <f t="shared" ca="1" si="114"/>
        <v>64.570470354819264</v>
      </c>
      <c r="AH240" s="357">
        <f t="shared" ca="1" si="115"/>
        <v>74.141670412668901</v>
      </c>
    </row>
    <row r="241" spans="1:34" x14ac:dyDescent="0.25">
      <c r="A241" s="402">
        <f t="shared" ca="1" si="93"/>
        <v>0.01</v>
      </c>
      <c r="B241" s="357">
        <f t="shared" ca="1" si="94"/>
        <v>2.3699999999999934</v>
      </c>
      <c r="C241" s="342"/>
      <c r="D241" s="359">
        <f t="shared" ca="1" si="95"/>
        <v>16.230783699012797</v>
      </c>
      <c r="E241" s="360">
        <f t="shared" ca="1" si="96"/>
        <v>62.360279706760167</v>
      </c>
      <c r="F241" s="357">
        <f t="shared" ca="1" si="97"/>
        <v>64.437898977150894</v>
      </c>
      <c r="G241" s="359">
        <f t="shared" ca="1" si="98"/>
        <v>40.065171151199081</v>
      </c>
      <c r="H241" s="360">
        <f t="shared" ca="1" si="99"/>
        <v>178.05193034370589</v>
      </c>
      <c r="I241" s="357">
        <f t="shared" ca="1" si="100"/>
        <v>182.5039940343629</v>
      </c>
      <c r="J241" s="359">
        <f t="shared" ca="1" si="101"/>
        <v>46.249858073607506</v>
      </c>
      <c r="K241" s="360">
        <f t="shared" ca="1" si="102"/>
        <v>218.34820408419901</v>
      </c>
      <c r="L241" s="357">
        <f t="shared" ca="1" si="87"/>
        <v>223.19271403570471</v>
      </c>
      <c r="M241" s="359">
        <f t="shared" ca="1" si="103"/>
        <v>1.3494632449680137</v>
      </c>
      <c r="N241" s="357">
        <f t="shared" ca="1" si="104"/>
        <v>77.318548544695915</v>
      </c>
      <c r="O241" s="343"/>
      <c r="P241" s="363">
        <f t="shared" ca="1" si="105"/>
        <v>8</v>
      </c>
      <c r="Q241" s="357">
        <f t="shared" ca="1" si="106"/>
        <v>856.07500000000095</v>
      </c>
      <c r="R241" s="359">
        <f t="shared" ca="1" si="107"/>
        <v>0.42883558523290261</v>
      </c>
      <c r="S241" s="360">
        <f t="shared" ca="1" si="108"/>
        <v>10.348960940685828</v>
      </c>
      <c r="T241" s="357">
        <f t="shared" ca="1" si="88"/>
        <v>101.52330682812797</v>
      </c>
      <c r="U241" s="364">
        <f t="shared" ca="1" si="89"/>
        <v>0</v>
      </c>
      <c r="V241" s="359">
        <f t="shared" ca="1" si="90"/>
        <v>1.1985412065018139</v>
      </c>
      <c r="W241" s="357">
        <f t="shared" ca="1" si="91"/>
        <v>91.158644587133892</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218.34820408419901</v>
      </c>
      <c r="AF241" s="344"/>
      <c r="AG241" s="359">
        <f t="shared" ca="1" si="114"/>
        <v>64.401938808481461</v>
      </c>
      <c r="AH241" s="357">
        <f t="shared" ca="1" si="115"/>
        <v>73.972884305238082</v>
      </c>
    </row>
    <row r="242" spans="1:34" x14ac:dyDescent="0.25">
      <c r="A242" s="402">
        <f t="shared" ca="1" si="93"/>
        <v>0.01</v>
      </c>
      <c r="B242" s="357">
        <f t="shared" ca="1" si="94"/>
        <v>2.3799999999999932</v>
      </c>
      <c r="C242" s="342"/>
      <c r="D242" s="359">
        <f t="shared" ca="1" si="95"/>
        <v>16.202192978574512</v>
      </c>
      <c r="E242" s="360">
        <f t="shared" ca="1" si="96"/>
        <v>62.193479649433414</v>
      </c>
      <c r="F242" s="357">
        <f t="shared" ca="1" si="97"/>
        <v>64.269277016467655</v>
      </c>
      <c r="G242" s="359">
        <f t="shared" ca="1" si="98"/>
        <v>40.227193080984826</v>
      </c>
      <c r="H242" s="360">
        <f t="shared" ca="1" si="99"/>
        <v>178.67386514020023</v>
      </c>
      <c r="I242" s="357">
        <f t="shared" ca="1" si="100"/>
        <v>183.14632714666513</v>
      </c>
      <c r="J242" s="359">
        <f t="shared" ca="1" si="101"/>
        <v>46.651319894768427</v>
      </c>
      <c r="K242" s="360">
        <f t="shared" ca="1" si="102"/>
        <v>220.13183306161855</v>
      </c>
      <c r="L242" s="357">
        <f t="shared" ca="1" si="87"/>
        <v>225.02082031445963</v>
      </c>
      <c r="M242" s="359">
        <f t="shared" ca="1" si="103"/>
        <v>1.3493456563127706</v>
      </c>
      <c r="N242" s="357">
        <f t="shared" ca="1" si="104"/>
        <v>77.311811211031866</v>
      </c>
      <c r="O242" s="343"/>
      <c r="P242" s="363">
        <f t="shared" ca="1" si="105"/>
        <v>8</v>
      </c>
      <c r="Q242" s="357">
        <f t="shared" ca="1" si="106"/>
        <v>854.63611111111209</v>
      </c>
      <c r="R242" s="359">
        <f t="shared" ca="1" si="107"/>
        <v>0.42811479936863633</v>
      </c>
      <c r="S242" s="360">
        <f t="shared" ca="1" si="108"/>
        <v>10.344679792692142</v>
      </c>
      <c r="T242" s="357">
        <f t="shared" ca="1" si="88"/>
        <v>101.48130876630992</v>
      </c>
      <c r="U242" s="364">
        <f t="shared" ca="1" si="89"/>
        <v>0</v>
      </c>
      <c r="V242" s="359">
        <f t="shared" ca="1" si="90"/>
        <v>1.1983274245957622</v>
      </c>
      <c r="W242" s="357">
        <f t="shared" ca="1" si="91"/>
        <v>91.785075308669661</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220.13183306161855</v>
      </c>
      <c r="AF242" s="344"/>
      <c r="AG242" s="359">
        <f t="shared" ca="1" si="114"/>
        <v>64.233184611169179</v>
      </c>
      <c r="AH242" s="357">
        <f t="shared" ca="1" si="115"/>
        <v>73.803876178296633</v>
      </c>
    </row>
    <row r="243" spans="1:34" x14ac:dyDescent="0.25">
      <c r="A243" s="402">
        <f t="shared" ca="1" si="93"/>
        <v>0.01</v>
      </c>
      <c r="B243" s="357">
        <f t="shared" ca="1" si="94"/>
        <v>2.389999999999993</v>
      </c>
      <c r="C243" s="342"/>
      <c r="D243" s="359">
        <f t="shared" ca="1" si="95"/>
        <v>16.173489556861835</v>
      </c>
      <c r="E243" s="360">
        <f t="shared" ca="1" si="96"/>
        <v>62.02647852614281</v>
      </c>
      <c r="F243" s="357">
        <f t="shared" ca="1" si="97"/>
        <v>64.100435277773059</v>
      </c>
      <c r="G243" s="359">
        <f t="shared" ca="1" si="98"/>
        <v>40.388927976553447</v>
      </c>
      <c r="H243" s="360">
        <f t="shared" ca="1" si="99"/>
        <v>179.29412992546168</v>
      </c>
      <c r="I243" s="357">
        <f t="shared" ca="1" si="100"/>
        <v>183.78697050885719</v>
      </c>
      <c r="J243" s="359">
        <f t="shared" ca="1" si="101"/>
        <v>47.054400500056119</v>
      </c>
      <c r="K243" s="360">
        <f t="shared" ca="1" si="102"/>
        <v>221.92167303694686</v>
      </c>
      <c r="L243" s="357">
        <f t="shared" ca="1" si="87"/>
        <v>226.8553406246748</v>
      </c>
      <c r="M243" s="359">
        <f t="shared" ca="1" si="103"/>
        <v>1.349228416313871</v>
      </c>
      <c r="N243" s="357">
        <f t="shared" ca="1" si="104"/>
        <v>77.305093853904793</v>
      </c>
      <c r="O243" s="343"/>
      <c r="P243" s="363">
        <f t="shared" ca="1" si="105"/>
        <v>8</v>
      </c>
      <c r="Q243" s="357">
        <f t="shared" ca="1" si="106"/>
        <v>853.19722222222322</v>
      </c>
      <c r="R243" s="359">
        <f t="shared" ca="1" si="107"/>
        <v>0.42739401350437001</v>
      </c>
      <c r="S243" s="360">
        <f t="shared" ca="1" si="108"/>
        <v>10.340405852557099</v>
      </c>
      <c r="T243" s="357">
        <f t="shared" ca="1" si="88"/>
        <v>101.43938141358515</v>
      </c>
      <c r="U243" s="364">
        <f t="shared" ca="1" si="89"/>
        <v>0</v>
      </c>
      <c r="V243" s="359">
        <f t="shared" ca="1" si="90"/>
        <v>1.1981129361624676</v>
      </c>
      <c r="W243" s="357">
        <f t="shared" ca="1" si="91"/>
        <v>92.411780542498377</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221.92167303694686</v>
      </c>
      <c r="AF243" s="344"/>
      <c r="AG243" s="359">
        <f t="shared" ca="1" si="114"/>
        <v>64.064209909613709</v>
      </c>
      <c r="AH243" s="357">
        <f t="shared" ca="1" si="115"/>
        <v>73.634648172466314</v>
      </c>
    </row>
    <row r="244" spans="1:34" x14ac:dyDescent="0.25">
      <c r="A244" s="402">
        <f t="shared" ca="1" si="93"/>
        <v>0.01</v>
      </c>
      <c r="B244" s="357">
        <f t="shared" ca="1" si="94"/>
        <v>2.3999999999999928</v>
      </c>
      <c r="C244" s="342"/>
      <c r="D244" s="359">
        <f t="shared" ca="1" si="95"/>
        <v>16.144674246570787</v>
      </c>
      <c r="E244" s="360">
        <f t="shared" ca="1" si="96"/>
        <v>61.859278363845519</v>
      </c>
      <c r="F244" s="357">
        <f t="shared" ca="1" si="97"/>
        <v>63.931375913737476</v>
      </c>
      <c r="G244" s="359">
        <f t="shared" ca="1" si="98"/>
        <v>40.550374719019153</v>
      </c>
      <c r="H244" s="360">
        <f t="shared" ca="1" si="99"/>
        <v>179.91272270910014</v>
      </c>
      <c r="I244" s="357">
        <f t="shared" ca="1" si="100"/>
        <v>184.425921937385</v>
      </c>
      <c r="J244" s="359">
        <f t="shared" ca="1" si="101"/>
        <v>47.459097013533984</v>
      </c>
      <c r="K244" s="360">
        <f t="shared" ca="1" si="102"/>
        <v>223.71770730011966</v>
      </c>
      <c r="L244" s="357">
        <f t="shared" ca="1" si="87"/>
        <v>228.6962580563181</v>
      </c>
      <c r="M244" s="359">
        <f t="shared" ca="1" si="103"/>
        <v>1.3491115216592202</v>
      </c>
      <c r="N244" s="357">
        <f t="shared" ca="1" si="104"/>
        <v>77.298396283545671</v>
      </c>
      <c r="O244" s="343"/>
      <c r="P244" s="363">
        <f t="shared" ca="1" si="105"/>
        <v>8</v>
      </c>
      <c r="Q244" s="357">
        <f t="shared" ca="1" si="106"/>
        <v>851.75833333333435</v>
      </c>
      <c r="R244" s="359">
        <f t="shared" ca="1" si="107"/>
        <v>0.42667322764010368</v>
      </c>
      <c r="S244" s="360">
        <f t="shared" ca="1" si="108"/>
        <v>10.336139120280698</v>
      </c>
      <c r="T244" s="357">
        <f t="shared" ca="1" si="88"/>
        <v>101.39752476995366</v>
      </c>
      <c r="U244" s="364">
        <f t="shared" ca="1" si="89"/>
        <v>0</v>
      </c>
      <c r="V244" s="359">
        <f t="shared" ca="1" si="90"/>
        <v>1.1978977435890812</v>
      </c>
      <c r="W244" s="357">
        <f t="shared" ca="1" si="91"/>
        <v>93.038739066465453</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223.71770730011966</v>
      </c>
      <c r="AF244" s="344"/>
      <c r="AG244" s="359">
        <f t="shared" ca="1" si="114"/>
        <v>63.89501684966482</v>
      </c>
      <c r="AH244" s="357">
        <f t="shared" ca="1" si="115"/>
        <v>73.465202427559277</v>
      </c>
    </row>
    <row r="245" spans="1:34" x14ac:dyDescent="0.25">
      <c r="A245" s="402">
        <f t="shared" ca="1" si="93"/>
        <v>0.01</v>
      </c>
      <c r="B245" s="357">
        <f t="shared" ca="1" si="94"/>
        <v>2.4099999999999926</v>
      </c>
      <c r="C245" s="342"/>
      <c r="D245" s="359">
        <f t="shared" ca="1" si="95"/>
        <v>16.115747856408085</v>
      </c>
      <c r="E245" s="360">
        <f t="shared" ca="1" si="96"/>
        <v>61.691881189270944</v>
      </c>
      <c r="F245" s="357">
        <f t="shared" ca="1" si="97"/>
        <v>63.76210107612863</v>
      </c>
      <c r="G245" s="359">
        <f t="shared" ca="1" si="98"/>
        <v>40.711532197583232</v>
      </c>
      <c r="H245" s="360">
        <f t="shared" ca="1" si="99"/>
        <v>180.52964152099284</v>
      </c>
      <c r="I245" s="357">
        <f t="shared" ca="1" si="100"/>
        <v>185.06317927014285</v>
      </c>
      <c r="J245" s="359">
        <f t="shared" ca="1" si="101"/>
        <v>47.865406548116994</v>
      </c>
      <c r="K245" s="360">
        <f t="shared" ca="1" si="102"/>
        <v>225.51991912127011</v>
      </c>
      <c r="L245" s="357">
        <f t="shared" ca="1" si="87"/>
        <v>230.54355567762187</v>
      </c>
      <c r="M245" s="359">
        <f t="shared" ca="1" si="103"/>
        <v>1.348994969077413</v>
      </c>
      <c r="N245" s="357">
        <f t="shared" ca="1" si="104"/>
        <v>77.291718312516764</v>
      </c>
      <c r="O245" s="343"/>
      <c r="P245" s="363">
        <f t="shared" ca="1" si="105"/>
        <v>8</v>
      </c>
      <c r="Q245" s="357">
        <f t="shared" ca="1" si="106"/>
        <v>850.31944444444548</v>
      </c>
      <c r="R245" s="359">
        <f t="shared" ca="1" si="107"/>
        <v>0.42595244177583741</v>
      </c>
      <c r="S245" s="360">
        <f t="shared" ca="1" si="108"/>
        <v>10.33187959586294</v>
      </c>
      <c r="T245" s="357">
        <f t="shared" ca="1" si="88"/>
        <v>101.35573883541545</v>
      </c>
      <c r="U245" s="364">
        <f t="shared" ca="1" si="89"/>
        <v>0</v>
      </c>
      <c r="V245" s="359">
        <f t="shared" ca="1" si="90"/>
        <v>1.1976818492648611</v>
      </c>
      <c r="W245" s="357">
        <f t="shared" ca="1" si="91"/>
        <v>93.665929714256237</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225.51991912127011</v>
      </c>
      <c r="AF245" s="344"/>
      <c r="AG245" s="359">
        <f t="shared" ca="1" si="114"/>
        <v>63.725607576210521</v>
      </c>
      <c r="AH245" s="357">
        <f t="shared" ca="1" si="115"/>
        <v>73.295541082496555</v>
      </c>
    </row>
    <row r="246" spans="1:34" x14ac:dyDescent="0.25">
      <c r="A246" s="402">
        <f t="shared" ca="1" si="93"/>
        <v>0.01</v>
      </c>
      <c r="B246" s="357">
        <f t="shared" ca="1" si="94"/>
        <v>2.4199999999999924</v>
      </c>
      <c r="C246" s="342"/>
      <c r="D246" s="359">
        <f t="shared" ca="1" si="95"/>
        <v>16.080200215809434</v>
      </c>
      <c r="E246" s="360">
        <f t="shared" ca="1" si="96"/>
        <v>61.495417011993382</v>
      </c>
      <c r="F246" s="357">
        <f t="shared" ca="1" si="97"/>
        <v>63.56303290796847</v>
      </c>
      <c r="G246" s="359">
        <f t="shared" ca="1" si="98"/>
        <v>40.872334199741324</v>
      </c>
      <c r="H246" s="360">
        <f t="shared" ca="1" si="99"/>
        <v>181.14459569111278</v>
      </c>
      <c r="I246" s="357">
        <f t="shared" ca="1" si="100"/>
        <v>185.69844439583241</v>
      </c>
      <c r="J246" s="359">
        <f t="shared" ca="1" si="101"/>
        <v>48.273325880103613</v>
      </c>
      <c r="K246" s="360">
        <f t="shared" ca="1" si="102"/>
        <v>227.32829030733063</v>
      </c>
      <c r="L246" s="357">
        <f t="shared" ca="1" si="87"/>
        <v>232.39721505556102</v>
      </c>
      <c r="M246" s="359">
        <f t="shared" ca="1" si="103"/>
        <v>1.3488787551518233</v>
      </c>
      <c r="N246" s="357">
        <f t="shared" ca="1" si="104"/>
        <v>77.285059745059826</v>
      </c>
      <c r="O246" s="343"/>
      <c r="P246" s="363">
        <f t="shared" ca="1" si="105"/>
        <v>9</v>
      </c>
      <c r="Q246" s="357">
        <f t="shared" ca="1" si="106"/>
        <v>848.57500000000164</v>
      </c>
      <c r="R246" s="359">
        <f t="shared" ca="1" si="107"/>
        <v>0.42507859327630249</v>
      </c>
      <c r="S246" s="360">
        <f t="shared" ca="1" si="108"/>
        <v>10.327628809930177</v>
      </c>
      <c r="T246" s="357">
        <f t="shared" ca="1" si="88"/>
        <v>101.31403862541504</v>
      </c>
      <c r="U246" s="364">
        <f t="shared" ca="1" si="89"/>
        <v>0</v>
      </c>
      <c r="V246" s="359">
        <f t="shared" ca="1" si="90"/>
        <v>1.1974652557540264</v>
      </c>
      <c r="W246" s="357">
        <f t="shared" ca="1" si="91"/>
        <v>94.293030816446844</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227.32829030733063</v>
      </c>
      <c r="AF246" s="344"/>
      <c r="AG246" s="359">
        <f t="shared" ca="1" si="114"/>
        <v>63.526387169796976</v>
      </c>
      <c r="AH246" s="357">
        <f t="shared" ca="1" si="115"/>
        <v>73.096069211926803</v>
      </c>
    </row>
    <row r="247" spans="1:34" x14ac:dyDescent="0.25">
      <c r="A247" s="402">
        <f t="shared" ca="1" si="93"/>
        <v>0.01</v>
      </c>
      <c r="B247" s="357">
        <f t="shared" ca="1" si="94"/>
        <v>2.4299999999999922</v>
      </c>
      <c r="C247" s="342"/>
      <c r="D247" s="359">
        <f t="shared" ca="1" si="95"/>
        <v>16.038018089281991</v>
      </c>
      <c r="E247" s="360">
        <f t="shared" ca="1" si="96"/>
        <v>61.26987247002215</v>
      </c>
      <c r="F247" s="357">
        <f t="shared" ca="1" si="97"/>
        <v>63.334155845996044</v>
      </c>
      <c r="G247" s="359">
        <f t="shared" ca="1" si="98"/>
        <v>41.032714380634147</v>
      </c>
      <c r="H247" s="360">
        <f t="shared" ca="1" si="99"/>
        <v>181.75729441581299</v>
      </c>
      <c r="I247" s="357">
        <f t="shared" ca="1" si="100"/>
        <v>186.33141904359346</v>
      </c>
      <c r="J247" s="359">
        <f t="shared" ca="1" si="101"/>
        <v>48.682851123005491</v>
      </c>
      <c r="K247" s="360">
        <f t="shared" ca="1" si="102"/>
        <v>229.14279975786525</v>
      </c>
      <c r="L247" s="357">
        <f t="shared" ca="1" si="87"/>
        <v>234.25721477542126</v>
      </c>
      <c r="M247" s="359">
        <f t="shared" ca="1" si="103"/>
        <v>1.3487628763243711</v>
      </c>
      <c r="N247" s="357">
        <f t="shared" ca="1" si="104"/>
        <v>77.278420377311889</v>
      </c>
      <c r="O247" s="343"/>
      <c r="P247" s="363">
        <f t="shared" ca="1" si="105"/>
        <v>9</v>
      </c>
      <c r="Q247" s="357">
        <f t="shared" ca="1" si="106"/>
        <v>846.52500000000168</v>
      </c>
      <c r="R247" s="359">
        <f t="shared" ca="1" si="107"/>
        <v>0.42405168214149835</v>
      </c>
      <c r="S247" s="360">
        <f t="shared" ca="1" si="108"/>
        <v>10.323388293108762</v>
      </c>
      <c r="T247" s="357">
        <f t="shared" ca="1" si="88"/>
        <v>101.27243915539695</v>
      </c>
      <c r="U247" s="364">
        <f t="shared" ca="1" si="89"/>
        <v>0</v>
      </c>
      <c r="V247" s="359">
        <f t="shared" ca="1" si="90"/>
        <v>1.1972479659685091</v>
      </c>
      <c r="W247" s="357">
        <f t="shared" ca="1" si="91"/>
        <v>94.919716722034352</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229.14279975786525</v>
      </c>
      <c r="AF247" s="344"/>
      <c r="AG247" s="359">
        <f t="shared" ca="1" si="114"/>
        <v>63.297339674099248</v>
      </c>
      <c r="AH247" s="357">
        <f t="shared" ca="1" si="115"/>
        <v>72.866770853296018</v>
      </c>
    </row>
    <row r="248" spans="1:34" x14ac:dyDescent="0.25">
      <c r="A248" s="402">
        <f t="shared" ca="1" si="93"/>
        <v>0.01</v>
      </c>
      <c r="B248" s="357">
        <f t="shared" ca="1" si="94"/>
        <v>2.439999999999992</v>
      </c>
      <c r="C248" s="342"/>
      <c r="D248" s="359">
        <f t="shared" ca="1" si="95"/>
        <v>15.995711456698062</v>
      </c>
      <c r="E248" s="360">
        <f t="shared" ca="1" si="96"/>
        <v>61.044128967827049</v>
      </c>
      <c r="F248" s="357">
        <f t="shared" ca="1" si="97"/>
        <v>63.10505896080474</v>
      </c>
      <c r="G248" s="359">
        <f t="shared" ca="1" si="98"/>
        <v>41.192671495201125</v>
      </c>
      <c r="H248" s="360">
        <f t="shared" ca="1" si="99"/>
        <v>182.36773570549127</v>
      </c>
      <c r="I248" s="357">
        <f t="shared" ca="1" si="100"/>
        <v>186.9621010024745</v>
      </c>
      <c r="J248" s="359">
        <f t="shared" ca="1" si="101"/>
        <v>49.093978052384671</v>
      </c>
      <c r="K248" s="360">
        <f t="shared" ca="1" si="102"/>
        <v>230.96342490847178</v>
      </c>
      <c r="L248" s="357">
        <f t="shared" ca="1" si="87"/>
        <v>236.12353192017798</v>
      </c>
      <c r="M248" s="359">
        <f t="shared" ca="1" si="103"/>
        <v>1.3486473290822301</v>
      </c>
      <c r="N248" s="357">
        <f t="shared" ca="1" si="104"/>
        <v>77.271800008002828</v>
      </c>
      <c r="O248" s="343"/>
      <c r="P248" s="363">
        <f t="shared" ca="1" si="105"/>
        <v>9</v>
      </c>
      <c r="Q248" s="357">
        <f t="shared" ca="1" si="106"/>
        <v>844.47500000000173</v>
      </c>
      <c r="R248" s="359">
        <f t="shared" ca="1" si="107"/>
        <v>0.42302477100669422</v>
      </c>
      <c r="S248" s="360">
        <f t="shared" ca="1" si="108"/>
        <v>10.319158045398694</v>
      </c>
      <c r="T248" s="357">
        <f t="shared" ca="1" si="88"/>
        <v>101.2309404253612</v>
      </c>
      <c r="U248" s="364">
        <f t="shared" ca="1" si="89"/>
        <v>0</v>
      </c>
      <c r="V248" s="359">
        <f t="shared" ca="1" si="90"/>
        <v>1.1970299829948257</v>
      </c>
      <c r="W248" s="357">
        <f t="shared" ca="1" si="91"/>
        <v>95.545960585877936</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230.96342490847178</v>
      </c>
      <c r="AF248" s="344"/>
      <c r="AG248" s="359">
        <f t="shared" ca="1" si="114"/>
        <v>63.06807108000703</v>
      </c>
      <c r="AH248" s="357">
        <f t="shared" ca="1" si="115"/>
        <v>72.637251990940641</v>
      </c>
    </row>
    <row r="249" spans="1:34" x14ac:dyDescent="0.25">
      <c r="A249" s="402">
        <f t="shared" ca="1" si="93"/>
        <v>0.01</v>
      </c>
      <c r="B249" s="357">
        <f t="shared" ca="1" si="94"/>
        <v>2.4499999999999917</v>
      </c>
      <c r="C249" s="342"/>
      <c r="D249" s="359">
        <f t="shared" ca="1" si="95"/>
        <v>15.953281384922322</v>
      </c>
      <c r="E249" s="360">
        <f t="shared" ca="1" si="96"/>
        <v>60.81818937537912</v>
      </c>
      <c r="F249" s="357">
        <f t="shared" ca="1" si="97"/>
        <v>62.875745290580745</v>
      </c>
      <c r="G249" s="359">
        <f t="shared" ca="1" si="98"/>
        <v>41.35220430905035</v>
      </c>
      <c r="H249" s="360">
        <f t="shared" ca="1" si="99"/>
        <v>182.97591759924507</v>
      </c>
      <c r="I249" s="357">
        <f t="shared" ca="1" si="100"/>
        <v>187.59048809175576</v>
      </c>
      <c r="J249" s="359">
        <f t="shared" ca="1" si="101"/>
        <v>49.506702431405927</v>
      </c>
      <c r="K249" s="360">
        <f t="shared" ca="1" si="102"/>
        <v>232.79014317499545</v>
      </c>
      <c r="L249" s="357">
        <f t="shared" ca="1" si="87"/>
        <v>237.99614355082869</v>
      </c>
      <c r="M249" s="359">
        <f t="shared" ca="1" si="103"/>
        <v>1.3485321099570191</v>
      </c>
      <c r="N249" s="357">
        <f t="shared" ca="1" si="104"/>
        <v>77.265198438409058</v>
      </c>
      <c r="O249" s="343"/>
      <c r="P249" s="363">
        <f t="shared" ca="1" si="105"/>
        <v>9</v>
      </c>
      <c r="Q249" s="357">
        <f t="shared" ca="1" si="106"/>
        <v>842.42500000000177</v>
      </c>
      <c r="R249" s="359">
        <f t="shared" ca="1" si="107"/>
        <v>0.42199785987189015</v>
      </c>
      <c r="S249" s="360">
        <f t="shared" ca="1" si="108"/>
        <v>10.314938066799975</v>
      </c>
      <c r="T249" s="357">
        <f t="shared" ca="1" si="88"/>
        <v>101.18954243530776</v>
      </c>
      <c r="U249" s="364">
        <f t="shared" ca="1" si="89"/>
        <v>0</v>
      </c>
      <c r="V249" s="359">
        <f t="shared" ca="1" si="90"/>
        <v>1.1968113099210331</v>
      </c>
      <c r="W249" s="357">
        <f t="shared" ca="1" si="91"/>
        <v>96.171735675714075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232.79014317499545</v>
      </c>
      <c r="AF249" s="344"/>
      <c r="AG249" s="359">
        <f t="shared" ca="1" si="114"/>
        <v>62.838584410750585</v>
      </c>
      <c r="AH249" s="357">
        <f t="shared" ca="1" si="115"/>
        <v>72.407515641616413</v>
      </c>
    </row>
    <row r="250" spans="1:34" x14ac:dyDescent="0.25">
      <c r="A250" s="402">
        <f t="shared" ca="1" si="93"/>
        <v>0.01</v>
      </c>
      <c r="B250" s="357">
        <f t="shared" ca="1" si="94"/>
        <v>2.4599999999999915</v>
      </c>
      <c r="C250" s="342"/>
      <c r="D250" s="359">
        <f t="shared" ca="1" si="95"/>
        <v>15.910728935243013</v>
      </c>
      <c r="E250" s="360">
        <f t="shared" ca="1" si="96"/>
        <v>60.59205655885161</v>
      </c>
      <c r="F250" s="357">
        <f t="shared" ca="1" si="97"/>
        <v>62.646217868933249</v>
      </c>
      <c r="G250" s="359">
        <f t="shared" ca="1" si="98"/>
        <v>41.511311598402777</v>
      </c>
      <c r="H250" s="360">
        <f t="shared" ca="1" si="99"/>
        <v>183.58183816483358</v>
      </c>
      <c r="I250" s="357">
        <f t="shared" ca="1" si="100"/>
        <v>188.21657816090175</v>
      </c>
      <c r="J250" s="359">
        <f t="shared" ca="1" si="101"/>
        <v>49.921020010943195</v>
      </c>
      <c r="K250" s="360">
        <f t="shared" ca="1" si="102"/>
        <v>234.62293195381585</v>
      </c>
      <c r="L250" s="357">
        <f t="shared" ca="1" si="87"/>
        <v>239.87502670669554</v>
      </c>
      <c r="M250" s="359">
        <f t="shared" ca="1" si="103"/>
        <v>1.3484172155240086</v>
      </c>
      <c r="N250" s="357">
        <f t="shared" ca="1" si="104"/>
        <v>77.258615472308009</v>
      </c>
      <c r="O250" s="343"/>
      <c r="P250" s="363">
        <f t="shared" ca="1" si="105"/>
        <v>9</v>
      </c>
      <c r="Q250" s="357">
        <f t="shared" ca="1" si="106"/>
        <v>840.37500000000182</v>
      </c>
      <c r="R250" s="359">
        <f t="shared" ca="1" si="107"/>
        <v>0.42097094873708601</v>
      </c>
      <c r="S250" s="360">
        <f t="shared" ca="1" si="108"/>
        <v>10.310728357312604</v>
      </c>
      <c r="T250" s="357">
        <f t="shared" ca="1" si="88"/>
        <v>101.14824518523665</v>
      </c>
      <c r="U250" s="364">
        <f t="shared" ca="1" si="89"/>
        <v>0</v>
      </c>
      <c r="V250" s="359">
        <f t="shared" ca="1" si="90"/>
        <v>1.1965919498366782</v>
      </c>
      <c r="W250" s="357">
        <f t="shared" ca="1" si="91"/>
        <v>96.797015372968858</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234.62293195381585</v>
      </c>
      <c r="AF250" s="344"/>
      <c r="AG250" s="359">
        <f t="shared" ca="1" si="114"/>
        <v>62.6088826847798</v>
      </c>
      <c r="AH250" s="357">
        <f t="shared" ca="1" si="115"/>
        <v>72.177564817376052</v>
      </c>
    </row>
    <row r="251" spans="1:34" x14ac:dyDescent="0.25">
      <c r="A251" s="402">
        <f t="shared" ca="1" si="93"/>
        <v>0.01</v>
      </c>
      <c r="B251" s="357">
        <f t="shared" ca="1" si="94"/>
        <v>2.4699999999999913</v>
      </c>
      <c r="C251" s="342"/>
      <c r="D251" s="359">
        <f t="shared" ca="1" si="95"/>
        <v>15.868055163432485</v>
      </c>
      <c r="E251" s="360">
        <f t="shared" ca="1" si="96"/>
        <v>60.365733380489033</v>
      </c>
      <c r="F251" s="357">
        <f t="shared" ca="1" si="97"/>
        <v>62.416479724781212</v>
      </c>
      <c r="G251" s="359">
        <f t="shared" ca="1" si="98"/>
        <v>41.669992150037103</v>
      </c>
      <c r="H251" s="360">
        <f t="shared" ca="1" si="99"/>
        <v>184.18549549863849</v>
      </c>
      <c r="I251" s="357">
        <f t="shared" ca="1" si="100"/>
        <v>188.84036908951202</v>
      </c>
      <c r="J251" s="359">
        <f t="shared" ca="1" si="101"/>
        <v>50.336926529685392</v>
      </c>
      <c r="K251" s="360">
        <f t="shared" ca="1" si="102"/>
        <v>236.46176862213321</v>
      </c>
      <c r="L251" s="357">
        <f t="shared" ca="1" si="87"/>
        <v>241.760158405727</v>
      </c>
      <c r="M251" s="359">
        <f t="shared" ca="1" si="103"/>
        <v>1.3483026424013476</v>
      </c>
      <c r="N251" s="357">
        <f t="shared" ca="1" si="104"/>
        <v>77.252050915933893</v>
      </c>
      <c r="O251" s="343"/>
      <c r="P251" s="363">
        <f t="shared" ca="1" si="105"/>
        <v>9</v>
      </c>
      <c r="Q251" s="357">
        <f t="shared" ca="1" si="106"/>
        <v>838.32500000000175</v>
      </c>
      <c r="R251" s="359">
        <f t="shared" ca="1" si="107"/>
        <v>0.41994403760228183</v>
      </c>
      <c r="S251" s="360">
        <f t="shared" ca="1" si="108"/>
        <v>10.30652891693658</v>
      </c>
      <c r="T251" s="357">
        <f t="shared" ca="1" si="88"/>
        <v>101.10704867514785</v>
      </c>
      <c r="U251" s="364">
        <f t="shared" ca="1" si="89"/>
        <v>0</v>
      </c>
      <c r="V251" s="359">
        <f t="shared" ca="1" si="90"/>
        <v>1.1963719058327424</v>
      </c>
      <c r="W251" s="357">
        <f t="shared" ca="1" si="91"/>
        <v>97.421773173558762</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236.46176862213321</v>
      </c>
      <c r="AF251" s="344"/>
      <c r="AG251" s="359">
        <f t="shared" ca="1" si="114"/>
        <v>62.378968915646929</v>
      </c>
      <c r="AH251" s="357">
        <f t="shared" ca="1" si="115"/>
        <v>71.947402525450627</v>
      </c>
    </row>
    <row r="252" spans="1:34" x14ac:dyDescent="0.25">
      <c r="A252" s="402">
        <f t="shared" ca="1" si="93"/>
        <v>0.01</v>
      </c>
      <c r="B252" s="357">
        <f t="shared" ca="1" si="94"/>
        <v>2.4799999999999911</v>
      </c>
      <c r="C252" s="342"/>
      <c r="D252" s="359">
        <f t="shared" ca="1" si="95"/>
        <v>15.825261119805786</v>
      </c>
      <c r="E252" s="360">
        <f t="shared" ca="1" si="96"/>
        <v>60.139222698477838</v>
      </c>
      <c r="F252" s="357">
        <f t="shared" ca="1" si="97"/>
        <v>62.186533882241328</v>
      </c>
      <c r="G252" s="359">
        <f t="shared" ca="1" si="98"/>
        <v>41.828244761235162</v>
      </c>
      <c r="H252" s="360">
        <f t="shared" ca="1" si="99"/>
        <v>184.78688772562327</v>
      </c>
      <c r="I252" s="357">
        <f t="shared" ca="1" si="100"/>
        <v>189.46185878727121</v>
      </c>
      <c r="J252" s="359">
        <f t="shared" ca="1" si="101"/>
        <v>50.754417714241754</v>
      </c>
      <c r="K252" s="360">
        <f t="shared" ca="1" si="102"/>
        <v>238.30663053825452</v>
      </c>
      <c r="L252" s="357">
        <f t="shared" ca="1" si="87"/>
        <v>243.6515156447993</v>
      </c>
      <c r="M252" s="359">
        <f t="shared" ca="1" si="103"/>
        <v>1.3481883872493052</v>
      </c>
      <c r="N252" s="357">
        <f t="shared" ca="1" si="104"/>
        <v>77.245504577934241</v>
      </c>
      <c r="O252" s="343"/>
      <c r="P252" s="363">
        <f t="shared" ca="1" si="105"/>
        <v>9</v>
      </c>
      <c r="Q252" s="357">
        <f t="shared" ca="1" si="106"/>
        <v>836.2750000000018</v>
      </c>
      <c r="R252" s="359">
        <f t="shared" ca="1" si="107"/>
        <v>0.41891712646747775</v>
      </c>
      <c r="S252" s="360">
        <f t="shared" ca="1" si="108"/>
        <v>10.302339745671905</v>
      </c>
      <c r="T252" s="357">
        <f t="shared" ca="1" si="88"/>
        <v>101.06595290504139</v>
      </c>
      <c r="U252" s="364">
        <f t="shared" ca="1" si="89"/>
        <v>0</v>
      </c>
      <c r="V252" s="359">
        <f t="shared" ca="1" si="90"/>
        <v>1.1961511810015897</v>
      </c>
      <c r="W252" s="357">
        <f t="shared" ca="1" si="91"/>
        <v>98.045982688680922</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238.30663053825452</v>
      </c>
      <c r="AF252" s="344"/>
      <c r="AG252" s="359">
        <f t="shared" ca="1" si="114"/>
        <v>62.148846111890578</v>
      </c>
      <c r="AH252" s="357">
        <f t="shared" ca="1" si="115"/>
        <v>71.717031768132202</v>
      </c>
    </row>
    <row r="253" spans="1:34" x14ac:dyDescent="0.25">
      <c r="A253" s="402">
        <f t="shared" ca="1" si="93"/>
        <v>0.01</v>
      </c>
      <c r="B253" s="357">
        <f t="shared" ca="1" si="94"/>
        <v>2.4899999999999909</v>
      </c>
      <c r="C253" s="342"/>
      <c r="D253" s="359">
        <f t="shared" ca="1" si="95"/>
        <v>15.782347849277501</v>
      </c>
      <c r="E253" s="360">
        <f t="shared" ca="1" si="96"/>
        <v>59.912527366817869</v>
      </c>
      <c r="F253" s="357">
        <f t="shared" ca="1" si="97"/>
        <v>61.956383360516568</v>
      </c>
      <c r="G253" s="359">
        <f t="shared" ca="1" si="98"/>
        <v>41.986068239727935</v>
      </c>
      <c r="H253" s="360">
        <f t="shared" ca="1" si="99"/>
        <v>185.38601299929144</v>
      </c>
      <c r="I253" s="357">
        <f t="shared" ca="1" si="100"/>
        <v>190.08104519389761</v>
      </c>
      <c r="J253" s="359">
        <f t="shared" ca="1" si="101"/>
        <v>51.173489279246567</v>
      </c>
      <c r="K253" s="360">
        <f t="shared" ca="1" si="102"/>
        <v>240.15749504187909</v>
      </c>
      <c r="L253" s="357">
        <f t="shared" ca="1" si="87"/>
        <v>245.54907540001722</v>
      </c>
      <c r="M253" s="359">
        <f t="shared" ca="1" si="103"/>
        <v>1.3480744467695303</v>
      </c>
      <c r="N253" s="357">
        <f t="shared" ca="1" si="104"/>
        <v>77.238976269327438</v>
      </c>
      <c r="O253" s="343"/>
      <c r="P253" s="363">
        <f t="shared" ca="1" si="105"/>
        <v>9</v>
      </c>
      <c r="Q253" s="357">
        <f t="shared" ca="1" si="106"/>
        <v>834.22500000000184</v>
      </c>
      <c r="R253" s="359">
        <f t="shared" ca="1" si="107"/>
        <v>0.41789021533267362</v>
      </c>
      <c r="S253" s="360">
        <f t="shared" ca="1" si="108"/>
        <v>10.298160843518577</v>
      </c>
      <c r="T253" s="357">
        <f t="shared" ca="1" si="88"/>
        <v>101.02495787491725</v>
      </c>
      <c r="U253" s="364">
        <f t="shared" ca="1" si="89"/>
        <v>0</v>
      </c>
      <c r="V253" s="359">
        <f t="shared" ca="1" si="90"/>
        <v>1.1959297784369149</v>
      </c>
      <c r="W253" s="357">
        <f t="shared" ca="1" si="91"/>
        <v>98.669617645593135</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240.15749504187909</v>
      </c>
      <c r="AF253" s="344"/>
      <c r="AG253" s="359">
        <f t="shared" ca="1" si="114"/>
        <v>61.918517276920042</v>
      </c>
      <c r="AH253" s="357">
        <f t="shared" ca="1" si="115"/>
        <v>71.486455542656898</v>
      </c>
    </row>
    <row r="254" spans="1:34" x14ac:dyDescent="0.25">
      <c r="A254" s="402">
        <f t="shared" ca="1" si="93"/>
        <v>0.01</v>
      </c>
      <c r="B254" s="357">
        <f t="shared" ca="1" si="94"/>
        <v>2.4999999999999907</v>
      </c>
      <c r="C254" s="342"/>
      <c r="D254" s="359">
        <f t="shared" ca="1" si="95"/>
        <v>15.739316391416899</v>
      </c>
      <c r="E254" s="360">
        <f t="shared" ca="1" si="96"/>
        <v>59.685650235195254</v>
      </c>
      <c r="F254" s="357">
        <f t="shared" ca="1" si="97"/>
        <v>61.726031173785891</v>
      </c>
      <c r="G254" s="359">
        <f t="shared" ca="1" si="98"/>
        <v>42.143461403642107</v>
      </c>
      <c r="H254" s="360">
        <f t="shared" ca="1" si="99"/>
        <v>185.98286950164339</v>
      </c>
      <c r="I254" s="357">
        <f t="shared" ca="1" si="100"/>
        <v>190.69792627909089</v>
      </c>
      <c r="J254" s="359">
        <f t="shared" ca="1" si="101"/>
        <v>51.594136927463417</v>
      </c>
      <c r="K254" s="360">
        <f t="shared" ca="1" si="102"/>
        <v>242.01433945438376</v>
      </c>
      <c r="L254" s="357">
        <f t="shared" ca="1" si="87"/>
        <v>247.45281462701436</v>
      </c>
      <c r="M254" s="359">
        <f t="shared" ca="1" si="103"/>
        <v>1.3479608177043265</v>
      </c>
      <c r="N254" s="357">
        <f t="shared" ca="1" si="104"/>
        <v>77.232465803461253</v>
      </c>
      <c r="O254" s="343"/>
      <c r="P254" s="363">
        <f t="shared" ca="1" si="105"/>
        <v>9</v>
      </c>
      <c r="Q254" s="357">
        <f t="shared" ca="1" si="106"/>
        <v>832.17500000000189</v>
      </c>
      <c r="R254" s="359">
        <f t="shared" ca="1" si="107"/>
        <v>0.41686330419786954</v>
      </c>
      <c r="S254" s="360">
        <f t="shared" ca="1" si="108"/>
        <v>10.293992210476599</v>
      </c>
      <c r="T254" s="357">
        <f t="shared" ca="1" si="88"/>
        <v>100.98406358477544</v>
      </c>
      <c r="U254" s="364">
        <f t="shared" ca="1" si="89"/>
        <v>0</v>
      </c>
      <c r="V254" s="359">
        <f t="shared" ca="1" si="90"/>
        <v>1.1957077012336894</v>
      </c>
      <c r="W254" s="357">
        <f t="shared" ca="1" si="91"/>
        <v>99.292651888382608</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242.01433945438376</v>
      </c>
      <c r="AF254" s="344"/>
      <c r="AG254" s="359">
        <f t="shared" ca="1" si="114"/>
        <v>61.687985408900794</v>
      </c>
      <c r="AH254" s="357">
        <f t="shared" ca="1" si="115"/>
        <v>71.255676841089084</v>
      </c>
    </row>
    <row r="255" spans="1:34" x14ac:dyDescent="0.25">
      <c r="A255" s="402">
        <f t="shared" ca="1" si="93"/>
        <v>0.01</v>
      </c>
      <c r="B255" s="357">
        <f t="shared" ca="1" si="94"/>
        <v>2.5099999999999905</v>
      </c>
      <c r="C255" s="342"/>
      <c r="D255" s="359">
        <f t="shared" ca="1" si="95"/>
        <v>15.69616778050128</v>
      </c>
      <c r="E255" s="360">
        <f t="shared" ca="1" si="96"/>
        <v>59.458594148856179</v>
      </c>
      <c r="F255" s="357">
        <f t="shared" ca="1" si="97"/>
        <v>61.495480331094583</v>
      </c>
      <c r="G255" s="359">
        <f t="shared" ca="1" si="98"/>
        <v>42.300423081447121</v>
      </c>
      <c r="H255" s="360">
        <f t="shared" ca="1" si="99"/>
        <v>186.57745544313195</v>
      </c>
      <c r="I255" s="357">
        <f t="shared" ca="1" si="100"/>
        <v>191.31250004247843</v>
      </c>
      <c r="J255" s="359">
        <f t="shared" ca="1" si="101"/>
        <v>52.016356349888866</v>
      </c>
      <c r="K255" s="360">
        <f t="shared" ca="1" si="102"/>
        <v>243.87714107910764</v>
      </c>
      <c r="L255" s="357">
        <f t="shared" ca="1" si="87"/>
        <v>249.36271026125297</v>
      </c>
      <c r="M255" s="359">
        <f t="shared" ca="1" si="103"/>
        <v>1.3478474968359422</v>
      </c>
      <c r="N255" s="357">
        <f t="shared" ca="1" si="104"/>
        <v>77.225972995972072</v>
      </c>
      <c r="O255" s="343"/>
      <c r="P255" s="363">
        <f t="shared" ca="1" si="105"/>
        <v>9</v>
      </c>
      <c r="Q255" s="357">
        <f t="shared" ca="1" si="106"/>
        <v>830.12500000000193</v>
      </c>
      <c r="R255" s="359">
        <f t="shared" ca="1" si="107"/>
        <v>0.41583639306306541</v>
      </c>
      <c r="S255" s="360">
        <f t="shared" ca="1" si="108"/>
        <v>10.289833846545969</v>
      </c>
      <c r="T255" s="357">
        <f t="shared" ca="1" si="88"/>
        <v>100.94327003461596</v>
      </c>
      <c r="U255" s="364">
        <f t="shared" ca="1" si="89"/>
        <v>0</v>
      </c>
      <c r="V255" s="359">
        <f t="shared" ca="1" si="90"/>
        <v>1.1954849524881099</v>
      </c>
      <c r="W255" s="357">
        <f t="shared" ca="1" si="91"/>
        <v>99.915059378724237</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243.87714107910764</v>
      </c>
      <c r="AF255" s="344"/>
      <c r="AG255" s="359">
        <f t="shared" ca="1" si="114"/>
        <v>61.457253500640498</v>
      </c>
      <c r="AH255" s="357">
        <f t="shared" ca="1" si="115"/>
        <v>71.024698650206176</v>
      </c>
    </row>
    <row r="256" spans="1:34" x14ac:dyDescent="0.25">
      <c r="A256" s="402">
        <f t="shared" ca="1" si="93"/>
        <v>0.01</v>
      </c>
      <c r="B256" s="357">
        <f t="shared" ca="1" si="94"/>
        <v>2.5199999999999902</v>
      </c>
      <c r="C256" s="342"/>
      <c r="D256" s="359">
        <f t="shared" ca="1" si="95"/>
        <v>15.652903045567927</v>
      </c>
      <c r="E256" s="360">
        <f t="shared" ca="1" si="96"/>
        <v>59.231361948482046</v>
      </c>
      <c r="F256" s="357">
        <f t="shared" ca="1" si="97"/>
        <v>61.26473383624576</v>
      </c>
      <c r="G256" s="359">
        <f t="shared" ca="1" si="98"/>
        <v>42.456952111902801</v>
      </c>
      <c r="H256" s="360">
        <f t="shared" ca="1" si="99"/>
        <v>187.16976906261678</v>
      </c>
      <c r="I256" s="357">
        <f t="shared" ca="1" si="100"/>
        <v>191.92476451356063</v>
      </c>
      <c r="J256" s="359">
        <f t="shared" ca="1" si="101"/>
        <v>52.440143225855614</v>
      </c>
      <c r="K256" s="360">
        <f t="shared" ca="1" si="102"/>
        <v>245.74587720163638</v>
      </c>
      <c r="L256" s="357">
        <f t="shared" ca="1" si="87"/>
        <v>251.27873921832304</v>
      </c>
      <c r="M256" s="359">
        <f t="shared" ca="1" si="103"/>
        <v>1.3477344809858769</v>
      </c>
      <c r="N256" s="357">
        <f t="shared" ca="1" si="104"/>
        <v>77.219497664745248</v>
      </c>
      <c r="O256" s="343"/>
      <c r="P256" s="363">
        <f t="shared" ca="1" si="105"/>
        <v>9</v>
      </c>
      <c r="Q256" s="357">
        <f t="shared" ca="1" si="106"/>
        <v>828.07500000000198</v>
      </c>
      <c r="R256" s="359">
        <f t="shared" ca="1" si="107"/>
        <v>0.41480948192826128</v>
      </c>
      <c r="S256" s="360">
        <f t="shared" ca="1" si="108"/>
        <v>10.285685751726687</v>
      </c>
      <c r="T256" s="357">
        <f t="shared" ca="1" si="88"/>
        <v>100.9025772244388</v>
      </c>
      <c r="U256" s="364">
        <f t="shared" ca="1" si="89"/>
        <v>0</v>
      </c>
      <c r="V256" s="359">
        <f t="shared" ca="1" si="90"/>
        <v>1.1952615352975464</v>
      </c>
      <c r="W256" s="357">
        <f t="shared" ca="1" si="91"/>
        <v>100.53681419662821</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245.74587720163638</v>
      </c>
      <c r="AF256" s="344"/>
      <c r="AG256" s="359">
        <f t="shared" ca="1" si="114"/>
        <v>61.226324539476131</v>
      </c>
      <c r="AH256" s="357">
        <f t="shared" ca="1" si="115"/>
        <v>70.793523951384529</v>
      </c>
    </row>
    <row r="257" spans="1:34" x14ac:dyDescent="0.25">
      <c r="A257" s="402">
        <f t="shared" ca="1" si="93"/>
        <v>0.01</v>
      </c>
      <c r="B257" s="357">
        <f t="shared" ca="1" si="94"/>
        <v>2.52999999999999</v>
      </c>
      <c r="C257" s="342"/>
      <c r="D257" s="359">
        <f t="shared" ca="1" si="95"/>
        <v>15.609523210464177</v>
      </c>
      <c r="E257" s="360">
        <f t="shared" ca="1" si="96"/>
        <v>59.003956470065546</v>
      </c>
      <c r="F257" s="357">
        <f t="shared" ca="1" si="97"/>
        <v>61.03379468769257</v>
      </c>
      <c r="G257" s="359">
        <f t="shared" ca="1" si="98"/>
        <v>42.613047344007441</v>
      </c>
      <c r="H257" s="360">
        <f t="shared" ca="1" si="99"/>
        <v>187.75980862731743</v>
      </c>
      <c r="I257" s="357">
        <f t="shared" ca="1" si="100"/>
        <v>192.53471775165505</v>
      </c>
      <c r="J257" s="359">
        <f t="shared" ca="1" si="101"/>
        <v>52.865493223135168</v>
      </c>
      <c r="K257" s="360">
        <f t="shared" ca="1" si="102"/>
        <v>247.62052509008603</v>
      </c>
      <c r="L257" s="357">
        <f t="shared" ca="1" si="87"/>
        <v>253.20087839424113</v>
      </c>
      <c r="M257" s="359">
        <f t="shared" ca="1" si="103"/>
        <v>1.3476217670142021</v>
      </c>
      <c r="N257" s="357">
        <f t="shared" ca="1" si="104"/>
        <v>77.213039629876121</v>
      </c>
      <c r="O257" s="343"/>
      <c r="P257" s="363">
        <f t="shared" ca="1" si="105"/>
        <v>9</v>
      </c>
      <c r="Q257" s="357">
        <f t="shared" ca="1" si="106"/>
        <v>826.02500000000202</v>
      </c>
      <c r="R257" s="359">
        <f t="shared" ca="1" si="107"/>
        <v>0.41378257079345721</v>
      </c>
      <c r="S257" s="360">
        <f t="shared" ca="1" si="108"/>
        <v>10.281547926018753</v>
      </c>
      <c r="T257" s="357">
        <f t="shared" ca="1" si="88"/>
        <v>100.86198515424397</v>
      </c>
      <c r="U257" s="364">
        <f t="shared" ca="1" si="89"/>
        <v>0</v>
      </c>
      <c r="V257" s="359">
        <f t="shared" ca="1" si="90"/>
        <v>1.1950374527604888</v>
      </c>
      <c r="W257" s="357">
        <f t="shared" ca="1" si="91"/>
        <v>101.15789054117658</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247.62052509008603</v>
      </c>
      <c r="AF257" s="344"/>
      <c r="AG257" s="359">
        <f t="shared" ca="1" si="114"/>
        <v>60.995201507161624</v>
      </c>
      <c r="AH257" s="357">
        <f t="shared" ca="1" si="115"/>
        <v>70.562155720485862</v>
      </c>
    </row>
    <row r="258" spans="1:34" x14ac:dyDescent="0.25">
      <c r="A258" s="402">
        <f t="shared" ca="1" si="93"/>
        <v>0.01</v>
      </c>
      <c r="B258" s="357">
        <f t="shared" ca="1" si="94"/>
        <v>2.5399999999999898</v>
      </c>
      <c r="C258" s="342"/>
      <c r="D258" s="359">
        <f t="shared" ca="1" si="95"/>
        <v>15.566029293896195</v>
      </c>
      <c r="E258" s="360">
        <f t="shared" ca="1" si="96"/>
        <v>58.776380544788083</v>
      </c>
      <c r="F258" s="357">
        <f t="shared" ca="1" si="97"/>
        <v>60.802665878431498</v>
      </c>
      <c r="G258" s="359">
        <f t="shared" ca="1" si="98"/>
        <v>42.768707636946402</v>
      </c>
      <c r="H258" s="360">
        <f t="shared" ca="1" si="99"/>
        <v>188.3475724327653</v>
      </c>
      <c r="I258" s="357">
        <f t="shared" ca="1" si="100"/>
        <v>193.14235784583963</v>
      </c>
      <c r="J258" s="359">
        <f t="shared" ca="1" si="101"/>
        <v>53.292401998039935</v>
      </c>
      <c r="K258" s="360">
        <f t="shared" ca="1" si="102"/>
        <v>249.50106199538644</v>
      </c>
      <c r="L258" s="357">
        <f t="shared" ca="1" si="87"/>
        <v>255.12910466574832</v>
      </c>
      <c r="M258" s="359">
        <f t="shared" ca="1" si="103"/>
        <v>1.3475093518188968</v>
      </c>
      <c r="N258" s="357">
        <f t="shared" ca="1" si="104"/>
        <v>77.20659871363199</v>
      </c>
      <c r="O258" s="343"/>
      <c r="P258" s="363">
        <f t="shared" ca="1" si="105"/>
        <v>9</v>
      </c>
      <c r="Q258" s="357">
        <f t="shared" ca="1" si="106"/>
        <v>823.97500000000207</v>
      </c>
      <c r="R258" s="359">
        <f t="shared" ca="1" si="107"/>
        <v>0.41275565965865307</v>
      </c>
      <c r="S258" s="360">
        <f t="shared" ca="1" si="108"/>
        <v>10.277420369422167</v>
      </c>
      <c r="T258" s="357">
        <f t="shared" ca="1" si="88"/>
        <v>100.82149382403146</v>
      </c>
      <c r="U258" s="364">
        <f t="shared" ca="1" si="89"/>
        <v>0</v>
      </c>
      <c r="V258" s="359">
        <f t="shared" ca="1" si="90"/>
        <v>1.1948127079764967</v>
      </c>
      <c r="W258" s="357">
        <f t="shared" ca="1" si="91"/>
        <v>101.7782627312496</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249.50106199538644</v>
      </c>
      <c r="AF258" s="344"/>
      <c r="AG258" s="359">
        <f t="shared" ca="1" si="114"/>
        <v>60.763887379756625</v>
      </c>
      <c r="AH258" s="357">
        <f t="shared" ca="1" si="115"/>
        <v>70.330596927744892</v>
      </c>
    </row>
    <row r="259" spans="1:34" x14ac:dyDescent="0.25">
      <c r="A259" s="402">
        <f t="shared" ca="1" si="93"/>
        <v>0.01</v>
      </c>
      <c r="B259" s="357">
        <f t="shared" ca="1" si="94"/>
        <v>2.5499999999999896</v>
      </c>
      <c r="C259" s="342"/>
      <c r="D259" s="359">
        <f t="shared" ca="1" si="95"/>
        <v>15.522422309476079</v>
      </c>
      <c r="E259" s="360">
        <f t="shared" ca="1" si="96"/>
        <v>58.548636998898075</v>
      </c>
      <c r="F259" s="357">
        <f t="shared" ca="1" si="97"/>
        <v>60.571350395896381</v>
      </c>
      <c r="G259" s="359">
        <f t="shared" ca="1" si="98"/>
        <v>42.923931860041165</v>
      </c>
      <c r="H259" s="360">
        <f t="shared" ca="1" si="99"/>
        <v>188.93305880275429</v>
      </c>
      <c r="I259" s="357">
        <f t="shared" ca="1" si="100"/>
        <v>193.74768291489443</v>
      </c>
      <c r="J259" s="359">
        <f t="shared" ca="1" si="101"/>
        <v>53.720865195524873</v>
      </c>
      <c r="K259" s="360">
        <f t="shared" ca="1" si="102"/>
        <v>251.38746515156404</v>
      </c>
      <c r="L259" s="357">
        <f t="shared" ca="1" si="87"/>
        <v>257.06339489060787</v>
      </c>
      <c r="M259" s="359">
        <f t="shared" ca="1" si="103"/>
        <v>1.347397232335195</v>
      </c>
      <c r="N259" s="357">
        <f t="shared" ca="1" si="104"/>
        <v>77.200174740414695</v>
      </c>
      <c r="O259" s="343"/>
      <c r="P259" s="363">
        <f t="shared" ca="1" si="105"/>
        <v>9</v>
      </c>
      <c r="Q259" s="357">
        <f t="shared" ca="1" si="106"/>
        <v>821.92500000000211</v>
      </c>
      <c r="R259" s="359">
        <f t="shared" ca="1" si="107"/>
        <v>0.41172874852384894</v>
      </c>
      <c r="S259" s="360">
        <f t="shared" ca="1" si="108"/>
        <v>10.273303081936929</v>
      </c>
      <c r="T259" s="357">
        <f t="shared" ca="1" si="88"/>
        <v>100.78110323380128</v>
      </c>
      <c r="U259" s="364">
        <f t="shared" ca="1" si="89"/>
        <v>0</v>
      </c>
      <c r="V259" s="359">
        <f t="shared" ca="1" si="90"/>
        <v>1.1945873040461465</v>
      </c>
      <c r="W259" s="357">
        <f t="shared" ca="1" si="91"/>
        <v>102.39790520624081</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251.38746515156404</v>
      </c>
      <c r="AF259" s="344"/>
      <c r="AG259" s="359">
        <f t="shared" ca="1" si="114"/>
        <v>60.532385127515795</v>
      </c>
      <c r="AH259" s="357">
        <f t="shared" ca="1" si="115"/>
        <v>70.098850537657455</v>
      </c>
    </row>
    <row r="260" spans="1:34" x14ac:dyDescent="0.25">
      <c r="A260" s="402">
        <f t="shared" ca="1" si="93"/>
        <v>0.01</v>
      </c>
      <c r="B260" s="357">
        <f t="shared" ca="1" si="94"/>
        <v>2.5599999999999894</v>
      </c>
      <c r="C260" s="342"/>
      <c r="D260" s="359">
        <f t="shared" ca="1" si="95"/>
        <v>15.478703265767734</v>
      </c>
      <c r="E260" s="360">
        <f t="shared" ca="1" si="96"/>
        <v>58.320728653590677</v>
      </c>
      <c r="F260" s="357">
        <f t="shared" ca="1" si="97"/>
        <v>60.339851221853714</v>
      </c>
      <c r="G260" s="359">
        <f t="shared" ca="1" si="98"/>
        <v>43.078718892698845</v>
      </c>
      <c r="H260" s="360">
        <f t="shared" ca="1" si="99"/>
        <v>189.51626608929018</v>
      </c>
      <c r="I260" s="357">
        <f t="shared" ca="1" si="100"/>
        <v>194.35069110724257</v>
      </c>
      <c r="J260" s="359">
        <f t="shared" ca="1" si="101"/>
        <v>54.15087844928857</v>
      </c>
      <c r="K260" s="360">
        <f t="shared" ca="1" si="102"/>
        <v>253.27971177602427</v>
      </c>
      <c r="L260" s="357">
        <f t="shared" ref="L260:L323" ca="1" si="116">SQRT(pos_x^2+pos_z^2)</f>
        <v>259.00372590790187</v>
      </c>
      <c r="M260" s="359">
        <f t="shared" ca="1" si="103"/>
        <v>1.3472854055349515</v>
      </c>
      <c r="N260" s="357">
        <f t="shared" ca="1" si="104"/>
        <v>77.19376753672428</v>
      </c>
      <c r="O260" s="343"/>
      <c r="P260" s="363">
        <f t="shared" ca="1" si="105"/>
        <v>9</v>
      </c>
      <c r="Q260" s="357">
        <f t="shared" ca="1" si="106"/>
        <v>819.87500000000216</v>
      </c>
      <c r="R260" s="359">
        <f t="shared" ca="1" si="107"/>
        <v>0.41070183738904487</v>
      </c>
      <c r="S260" s="360">
        <f t="shared" ca="1" si="108"/>
        <v>10.269196063563038</v>
      </c>
      <c r="T260" s="357">
        <f t="shared" ref="T260:T323" ca="1" si="117">m*g</f>
        <v>100.74081338355342</v>
      </c>
      <c r="U260" s="364">
        <f t="shared" ref="U260:U323" ca="1" si="118">IF(pos_xz&lt;L_rampe,Poids*COS(Beta),0)</f>
        <v>0</v>
      </c>
      <c r="V260" s="359">
        <f t="shared" ref="V260:V323" ca="1" si="119">Rho_moyen*(20000-Alt_rampe-pos_z)/(20000+Alt_rampe+pos_z)</f>
        <v>1.1943612440709812</v>
      </c>
      <c r="W260" s="357">
        <f t="shared" ref="W260:W323" ca="1" si="120">1/2*Rho*Sref*Cx*vit_xz^2</f>
        <v>103.01679252676161</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253.27971177602427</v>
      </c>
      <c r="AF260" s="344"/>
      <c r="AG260" s="359">
        <f t="shared" ca="1" si="114"/>
        <v>60.30069771477919</v>
      </c>
      <c r="AH260" s="357">
        <f t="shared" ca="1" si="115"/>
        <v>69.866919508869799</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15.434873166331053</v>
      </c>
      <c r="E261" s="360">
        <f t="shared" ref="E261:E324" ca="1" si="125">IF(AND(L260&lt;L_rampe,Poussee&lt;Poids*SIN(M260)),0,(-W260+Poussee)/m*SIN(M260)+U260/m*COS(M260)-Poids/m)</f>
        <v>58.092658324888347</v>
      </c>
      <c r="F261" s="357">
        <f t="shared" ref="F261:F324" ca="1" si="126">SQRT(acc_x^2+acc_z^2)</f>
        <v>60.108171332298454</v>
      </c>
      <c r="G261" s="359">
        <f t="shared" ref="G261:G324" ca="1" si="127">G260+acc_x*pas</f>
        <v>43.233067624362157</v>
      </c>
      <c r="H261" s="360">
        <f t="shared" ref="H261:H324" ca="1" si="128">H260+acc_z*pas</f>
        <v>190.09719267253908</v>
      </c>
      <c r="I261" s="357">
        <f t="shared" ref="I261:I324" ca="1" si="129">SQRT(vit_x^2+vit_z^2)</f>
        <v>194.9513806008901</v>
      </c>
      <c r="J261" s="359">
        <f t="shared" ref="J261:J324" ca="1" si="130">J260+0.5*(vit_x+G260)*pas*(K260&gt;=0)</f>
        <v>54.582437381873874</v>
      </c>
      <c r="K261" s="360">
        <f t="shared" ref="K261:K324" ca="1" si="131">K260+0.5*(vit_z+H260)*pas</f>
        <v>255.17777906983341</v>
      </c>
      <c r="L261" s="357">
        <f t="shared" ca="1" si="116"/>
        <v>260.9500745383279</v>
      </c>
      <c r="M261" s="359">
        <f t="shared" ref="M261:M324" ca="1" si="132">IF(AND(L260&gt;L_rampe,G261&gt;0),ATAN2(G261,H261),$M$4)</f>
        <v>1.3471738684260155</v>
      </c>
      <c r="N261" s="357">
        <f t="shared" ref="N261:N324" ca="1" si="133">DEGREES(Beta)</f>
        <v>77.187376931123154</v>
      </c>
      <c r="O261" s="343"/>
      <c r="P261" s="363">
        <f t="shared" ref="P261:P324" ca="1" si="134">MATCH(t-pas/2-T_ini,CdP_t)</f>
        <v>9</v>
      </c>
      <c r="Q261" s="357">
        <f t="shared" ref="Q261:Q324" ca="1" si="135">(INDEX(CdP,2,i_P+1)-INDEX(CdP,2,i_P+0))/(INDEX(CdP,1,i_P+1)-INDEX(CdP,1,i_P+0))*(t-pas/2-T_ini-INDEX(CdP,1,i_P+0))+INDEX(CdP,2,i_P+0)</f>
        <v>817.82500000000221</v>
      </c>
      <c r="R261" s="359">
        <f t="shared" ref="R261:R324" ca="1" si="136">Poussee/(g*ISP)</f>
        <v>0.40967492625424073</v>
      </c>
      <c r="S261" s="360">
        <f t="shared" ref="S261:S324" ca="1" si="137">S260-Débit*pas</f>
        <v>10.265099314300496</v>
      </c>
      <c r="T261" s="357">
        <f t="shared" ca="1" si="117"/>
        <v>100.70062427328787</v>
      </c>
      <c r="U261" s="364">
        <f t="shared" ca="1" si="118"/>
        <v>0</v>
      </c>
      <c r="V261" s="359">
        <f t="shared" ca="1" si="119"/>
        <v>1.1941345311534561</v>
      </c>
      <c r="W261" s="357">
        <f t="shared" ca="1" si="120"/>
        <v>103.63489937533518</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255.17777906983341</v>
      </c>
      <c r="AF261" s="344"/>
      <c r="AG261" s="359">
        <f t="shared" ref="AG261:AG324" ca="1" si="143">IF(AND(L260&lt;L_rampe,Poussee&lt;Poids*SIN(M260)),0,(-W260+Poussee)/m-Poids*SIN(M260)/m)</f>
        <v>60.06882809986336</v>
      </c>
      <c r="AH261" s="357">
        <f t="shared" ref="AH261:AH324" ca="1" si="144">IF(AND(L260&lt;L_rampe,Poussee&lt;Poids*SIN(M260)), g*SIN(M260), (-W260+Poussee)/m)</f>
        <v>69.634806794068552</v>
      </c>
    </row>
    <row r="262" spans="1:34" x14ac:dyDescent="0.25">
      <c r="A262" s="402">
        <f t="shared" ca="1" si="122"/>
        <v>0.01</v>
      </c>
      <c r="B262" s="357">
        <f t="shared" ca="1" si="123"/>
        <v>2.579999999999989</v>
      </c>
      <c r="C262" s="342"/>
      <c r="D262" s="359">
        <f t="shared" ca="1" si="124"/>
        <v>15.390933009765027</v>
      </c>
      <c r="E262" s="360">
        <f t="shared" ca="1" si="125"/>
        <v>57.864428823522772</v>
      </c>
      <c r="F262" s="357">
        <f t="shared" ca="1" si="126"/>
        <v>59.876313697351208</v>
      </c>
      <c r="G262" s="359">
        <f t="shared" ca="1" si="127"/>
        <v>43.386976954459804</v>
      </c>
      <c r="H262" s="360">
        <f t="shared" ca="1" si="128"/>
        <v>190.67583696077432</v>
      </c>
      <c r="I262" s="357">
        <f t="shared" ca="1" si="129"/>
        <v>195.54974960336466</v>
      </c>
      <c r="J262" s="359">
        <f t="shared" ca="1" si="130"/>
        <v>55.015537604767985</v>
      </c>
      <c r="K262" s="360">
        <f t="shared" ca="1" si="131"/>
        <v>257.08164421799995</v>
      </c>
      <c r="L262" s="357">
        <f t="shared" ca="1" si="116"/>
        <v>262.90241758449457</v>
      </c>
      <c r="M262" s="359">
        <f t="shared" ca="1" si="132"/>
        <v>1.3470626180516225</v>
      </c>
      <c r="N262" s="357">
        <f t="shared" ca="1" si="133"/>
        <v>77.181002754201188</v>
      </c>
      <c r="O262" s="343"/>
      <c r="P262" s="363">
        <f t="shared" ca="1" si="134"/>
        <v>9</v>
      </c>
      <c r="Q262" s="357">
        <f t="shared" ca="1" si="135"/>
        <v>815.77500000000225</v>
      </c>
      <c r="R262" s="359">
        <f t="shared" ca="1" si="136"/>
        <v>0.4086480151194366</v>
      </c>
      <c r="S262" s="360">
        <f t="shared" ca="1" si="137"/>
        <v>10.261012834149302</v>
      </c>
      <c r="T262" s="357">
        <f t="shared" ca="1" si="117"/>
        <v>100.66053590300466</v>
      </c>
      <c r="U262" s="364">
        <f t="shared" ca="1" si="118"/>
        <v>0</v>
      </c>
      <c r="V262" s="359">
        <f t="shared" ca="1" si="119"/>
        <v>1.1939071683968911</v>
      </c>
      <c r="W262" s="357">
        <f t="shared" ca="1" si="120"/>
        <v>104.25220055707958</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257.08164421799995</v>
      </c>
      <c r="AF262" s="344"/>
      <c r="AG262" s="359">
        <f t="shared" ca="1" si="143"/>
        <v>59.836779234953354</v>
      </c>
      <c r="AH262" s="357">
        <f t="shared" ca="1" si="144"/>
        <v>69.402515339871684</v>
      </c>
    </row>
    <row r="263" spans="1:34" x14ac:dyDescent="0.25">
      <c r="A263" s="402">
        <f t="shared" ca="1" si="122"/>
        <v>0.01</v>
      </c>
      <c r="B263" s="357">
        <f t="shared" ca="1" si="123"/>
        <v>2.5899999999999888</v>
      </c>
      <c r="C263" s="342"/>
      <c r="D263" s="359">
        <f t="shared" ca="1" si="124"/>
        <v>15.346883789749267</v>
      </c>
      <c r="E263" s="360">
        <f t="shared" ca="1" si="125"/>
        <v>57.636042954817725</v>
      </c>
      <c r="F263" s="357">
        <f t="shared" ca="1" si="126"/>
        <v>59.644281281156054</v>
      </c>
      <c r="G263" s="359">
        <f t="shared" ca="1" si="127"/>
        <v>43.540445792357296</v>
      </c>
      <c r="H263" s="360">
        <f t="shared" ca="1" si="128"/>
        <v>191.25219739032249</v>
      </c>
      <c r="I263" s="357">
        <f t="shared" ca="1" si="129"/>
        <v>196.14579635165288</v>
      </c>
      <c r="J263" s="359">
        <f t="shared" ca="1" si="130"/>
        <v>55.450174718502069</v>
      </c>
      <c r="K263" s="360">
        <f t="shared" ca="1" si="131"/>
        <v>258.99128438975544</v>
      </c>
      <c r="L263" s="357">
        <f t="shared" ca="1" si="116"/>
        <v>264.86073183121653</v>
      </c>
      <c r="M263" s="359">
        <f t="shared" ca="1" si="132"/>
        <v>1.3469516514897941</v>
      </c>
      <c r="N263" s="357">
        <f t="shared" ca="1" si="133"/>
        <v>77.17464483854134</v>
      </c>
      <c r="O263" s="343"/>
      <c r="P263" s="363">
        <f t="shared" ca="1" si="134"/>
        <v>9</v>
      </c>
      <c r="Q263" s="357">
        <f t="shared" ca="1" si="135"/>
        <v>813.7250000000023</v>
      </c>
      <c r="R263" s="359">
        <f t="shared" ca="1" si="136"/>
        <v>0.40762110398463253</v>
      </c>
      <c r="S263" s="360">
        <f t="shared" ca="1" si="137"/>
        <v>10.256936623109455</v>
      </c>
      <c r="T263" s="357">
        <f t="shared" ca="1" si="117"/>
        <v>100.62054827270376</v>
      </c>
      <c r="U263" s="364">
        <f t="shared" ca="1" si="118"/>
        <v>0</v>
      </c>
      <c r="V263" s="359">
        <f t="shared" ca="1" si="119"/>
        <v>1.1936791589054179</v>
      </c>
      <c r="W263" s="357">
        <f t="shared" ca="1" si="120"/>
        <v>104.86867100037992</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258.99128438975544</v>
      </c>
      <c r="AF263" s="344"/>
      <c r="AG263" s="359">
        <f t="shared" ca="1" si="143"/>
        <v>59.604554065995515</v>
      </c>
      <c r="AH263" s="357">
        <f t="shared" ca="1" si="144"/>
        <v>69.170048086720215</v>
      </c>
    </row>
    <row r="264" spans="1:34" x14ac:dyDescent="0.25">
      <c r="A264" s="402">
        <f t="shared" ca="1" si="122"/>
        <v>0.01</v>
      </c>
      <c r="B264" s="357">
        <f t="shared" ca="1" si="123"/>
        <v>2.5999999999999885</v>
      </c>
      <c r="C264" s="342"/>
      <c r="D264" s="359">
        <f t="shared" ca="1" si="124"/>
        <v>15.302726495084524</v>
      </c>
      <c r="E264" s="360">
        <f t="shared" ca="1" si="125"/>
        <v>57.40750351857325</v>
      </c>
      <c r="F264" s="357">
        <f t="shared" ca="1" si="126"/>
        <v>59.412077041779661</v>
      </c>
      <c r="G264" s="359">
        <f t="shared" ca="1" si="127"/>
        <v>43.69347305730814</v>
      </c>
      <c r="H264" s="360">
        <f t="shared" ca="1" si="128"/>
        <v>191.82627242550822</v>
      </c>
      <c r="I264" s="357">
        <f t="shared" ca="1" si="129"/>
        <v>196.73951911213723</v>
      </c>
      <c r="J264" s="359">
        <f t="shared" ca="1" si="130"/>
        <v>55.886344312750396</v>
      </c>
      <c r="K264" s="360">
        <f t="shared" ca="1" si="131"/>
        <v>260.90667673883456</v>
      </c>
      <c r="L264" s="357">
        <f t="shared" ca="1" si="116"/>
        <v>266.82499404580898</v>
      </c>
      <c r="M264" s="359">
        <f t="shared" ca="1" si="132"/>
        <v>1.3468409658527543</v>
      </c>
      <c r="N264" s="357">
        <f t="shared" ca="1" si="133"/>
        <v>77.168303018686245</v>
      </c>
      <c r="O264" s="343"/>
      <c r="P264" s="363">
        <f t="shared" ca="1" si="134"/>
        <v>9</v>
      </c>
      <c r="Q264" s="357">
        <f t="shared" ca="1" si="135"/>
        <v>811.67500000000234</v>
      </c>
      <c r="R264" s="359">
        <f t="shared" ca="1" si="136"/>
        <v>0.4065941928498284</v>
      </c>
      <c r="S264" s="360">
        <f t="shared" ca="1" si="137"/>
        <v>10.252870681180957</v>
      </c>
      <c r="T264" s="357">
        <f t="shared" ca="1" si="117"/>
        <v>100.58066138238519</v>
      </c>
      <c r="U264" s="364">
        <f t="shared" ca="1" si="118"/>
        <v>0</v>
      </c>
      <c r="V264" s="359">
        <f t="shared" ca="1" si="119"/>
        <v>1.193450505783928</v>
      </c>
      <c r="W264" s="357">
        <f t="shared" ca="1" si="120"/>
        <v>105.48428575755015</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260.90667673883456</v>
      </c>
      <c r="AF264" s="344"/>
      <c r="AG264" s="359">
        <f t="shared" ca="1" si="143"/>
        <v>59.372155532591236</v>
      </c>
      <c r="AH264" s="357">
        <f t="shared" ca="1" si="144"/>
        <v>68.937407968770984</v>
      </c>
    </row>
    <row r="265" spans="1:34" x14ac:dyDescent="0.25">
      <c r="A265" s="402">
        <f t="shared" ca="1" si="122"/>
        <v>0.01</v>
      </c>
      <c r="B265" s="357">
        <f t="shared" ca="1" si="123"/>
        <v>2.6099999999999883</v>
      </c>
      <c r="C265" s="342"/>
      <c r="D265" s="359">
        <f t="shared" ca="1" si="124"/>
        <v>15.258462109731662</v>
      </c>
      <c r="E265" s="360">
        <f t="shared" ca="1" si="125"/>
        <v>57.17881330895068</v>
      </c>
      <c r="F265" s="357">
        <f t="shared" ca="1" si="126"/>
        <v>59.179703931110978</v>
      </c>
      <c r="G265" s="359">
        <f t="shared" ca="1" si="127"/>
        <v>43.846057678405458</v>
      </c>
      <c r="H265" s="360">
        <f t="shared" ca="1" si="128"/>
        <v>192.39806055859773</v>
      </c>
      <c r="I265" s="357">
        <f t="shared" ca="1" si="129"/>
        <v>197.33091618053137</v>
      </c>
      <c r="J265" s="359">
        <f t="shared" ca="1" si="130"/>
        <v>56.324041966428965</v>
      </c>
      <c r="K265" s="360">
        <f t="shared" ca="1" si="131"/>
        <v>262.82779840375508</v>
      </c>
      <c r="L265" s="357">
        <f t="shared" ca="1" si="116"/>
        <v>268.79518097838172</v>
      </c>
      <c r="M265" s="359">
        <f t="shared" ca="1" si="132"/>
        <v>1.3467305582863549</v>
      </c>
      <c r="N265" s="357">
        <f t="shared" ca="1" si="133"/>
        <v>77.161977131105246</v>
      </c>
      <c r="O265" s="343"/>
      <c r="P265" s="363">
        <f t="shared" ca="1" si="134"/>
        <v>9</v>
      </c>
      <c r="Q265" s="357">
        <f t="shared" ca="1" si="135"/>
        <v>809.62500000000239</v>
      </c>
      <c r="R265" s="359">
        <f t="shared" ca="1" si="136"/>
        <v>0.40556728171502426</v>
      </c>
      <c r="S265" s="360">
        <f t="shared" ca="1" si="137"/>
        <v>10.248815008363806</v>
      </c>
      <c r="T265" s="357">
        <f t="shared" ca="1" si="117"/>
        <v>100.54087523204895</v>
      </c>
      <c r="U265" s="364">
        <f t="shared" ca="1" si="118"/>
        <v>0</v>
      </c>
      <c r="V265" s="359">
        <f t="shared" ca="1" si="119"/>
        <v>1.1932212121380252</v>
      </c>
      <c r="W265" s="357">
        <f t="shared" ca="1" si="120"/>
        <v>106.09902000548392</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262.82779840375508</v>
      </c>
      <c r="AF265" s="344"/>
      <c r="AG265" s="359">
        <f t="shared" ca="1" si="143"/>
        <v>59.139586567891413</v>
      </c>
      <c r="AH265" s="357">
        <f t="shared" ca="1" si="144"/>
        <v>68.704597913790053</v>
      </c>
    </row>
    <row r="266" spans="1:34" x14ac:dyDescent="0.25">
      <c r="A266" s="402">
        <f t="shared" ca="1" si="122"/>
        <v>0.01</v>
      </c>
      <c r="B266" s="357">
        <f t="shared" ca="1" si="123"/>
        <v>2.6199999999999881</v>
      </c>
      <c r="C266" s="342"/>
      <c r="D266" s="359">
        <f t="shared" ca="1" si="124"/>
        <v>15.214091612849669</v>
      </c>
      <c r="E266" s="360">
        <f t="shared" ca="1" si="125"/>
        <v>56.94997511435912</v>
      </c>
      <c r="F266" s="357">
        <f t="shared" ca="1" si="126"/>
        <v>58.947164894762373</v>
      </c>
      <c r="G266" s="359">
        <f t="shared" ca="1" si="127"/>
        <v>43.998198594533953</v>
      </c>
      <c r="H266" s="360">
        <f t="shared" ca="1" si="128"/>
        <v>192.96756030974132</v>
      </c>
      <c r="I266" s="357">
        <f t="shared" ca="1" si="129"/>
        <v>197.91998588181463</v>
      </c>
      <c r="J266" s="359">
        <f t="shared" ca="1" si="130"/>
        <v>56.76326324779366</v>
      </c>
      <c r="K266" s="360">
        <f t="shared" ca="1" si="131"/>
        <v>264.75462650809681</v>
      </c>
      <c r="L266" s="357">
        <f t="shared" ca="1" si="116"/>
        <v>270.77126936213182</v>
      </c>
      <c r="M266" s="359">
        <f t="shared" ca="1" si="132"/>
        <v>1.3466204259695151</v>
      </c>
      <c r="N266" s="357">
        <f t="shared" ca="1" si="133"/>
        <v>77.155667014162333</v>
      </c>
      <c r="O266" s="343"/>
      <c r="P266" s="363">
        <f t="shared" ca="1" si="134"/>
        <v>9</v>
      </c>
      <c r="Q266" s="357">
        <f t="shared" ca="1" si="135"/>
        <v>807.57500000000243</v>
      </c>
      <c r="R266" s="359">
        <f t="shared" ca="1" si="136"/>
        <v>0.40454037058022019</v>
      </c>
      <c r="S266" s="360">
        <f t="shared" ca="1" si="137"/>
        <v>10.244769604658003</v>
      </c>
      <c r="T266" s="357">
        <f t="shared" ca="1" si="117"/>
        <v>100.50118982169502</v>
      </c>
      <c r="U266" s="364">
        <f t="shared" ca="1" si="118"/>
        <v>0</v>
      </c>
      <c r="V266" s="359">
        <f t="shared" ca="1" si="119"/>
        <v>1.1929912810739713</v>
      </c>
      <c r="W266" s="357">
        <f t="shared" ca="1" si="120"/>
        <v>106.71284904629455</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264.75462650809681</v>
      </c>
      <c r="AF266" s="344"/>
      <c r="AG266" s="359">
        <f t="shared" ca="1" si="143"/>
        <v>58.906850098492001</v>
      </c>
      <c r="AH266" s="357">
        <f t="shared" ca="1" si="144"/>
        <v>68.471620843047319</v>
      </c>
    </row>
    <row r="267" spans="1:34" x14ac:dyDescent="0.25">
      <c r="A267" s="402">
        <f t="shared" ca="1" si="122"/>
        <v>0.01</v>
      </c>
      <c r="B267" s="357">
        <f t="shared" ca="1" si="123"/>
        <v>2.6299999999999879</v>
      </c>
      <c r="C267" s="342"/>
      <c r="D267" s="359">
        <f t="shared" ca="1" si="124"/>
        <v>15.169615978832306</v>
      </c>
      <c r="E267" s="360">
        <f t="shared" ca="1" si="125"/>
        <v>56.720991717342685</v>
      </c>
      <c r="F267" s="357">
        <f t="shared" ca="1" si="126"/>
        <v>58.714462871971342</v>
      </c>
      <c r="G267" s="359">
        <f t="shared" ca="1" si="127"/>
        <v>44.149894754322276</v>
      </c>
      <c r="H267" s="360">
        <f t="shared" ca="1" si="128"/>
        <v>193.53477022691473</v>
      </c>
      <c r="I267" s="357">
        <f t="shared" ca="1" si="129"/>
        <v>198.5067265701654</v>
      </c>
      <c r="J267" s="359">
        <f t="shared" ca="1" si="130"/>
        <v>57.20400371453794</v>
      </c>
      <c r="K267" s="360">
        <f t="shared" ca="1" si="131"/>
        <v>266.68713816078008</v>
      </c>
      <c r="L267" s="357">
        <f t="shared" ca="1" si="116"/>
        <v>272.75323591363656</v>
      </c>
      <c r="M267" s="359">
        <f t="shared" ca="1" si="132"/>
        <v>1.3465105661136703</v>
      </c>
      <c r="N267" s="357">
        <f t="shared" ca="1" si="133"/>
        <v>77.149372508084511</v>
      </c>
      <c r="O267" s="343"/>
      <c r="P267" s="363">
        <f t="shared" ca="1" si="134"/>
        <v>9</v>
      </c>
      <c r="Q267" s="357">
        <f t="shared" ca="1" si="135"/>
        <v>805.52500000000248</v>
      </c>
      <c r="R267" s="359">
        <f t="shared" ca="1" si="136"/>
        <v>0.40351345944541606</v>
      </c>
      <c r="S267" s="360">
        <f t="shared" ca="1" si="137"/>
        <v>10.240734470063549</v>
      </c>
      <c r="T267" s="357">
        <f t="shared" ca="1" si="117"/>
        <v>100.46160515132343</v>
      </c>
      <c r="U267" s="364">
        <f t="shared" ca="1" si="118"/>
        <v>0</v>
      </c>
      <c r="V267" s="359">
        <f t="shared" ca="1" si="119"/>
        <v>1.1927607156986384</v>
      </c>
      <c r="W267" s="357">
        <f t="shared" ca="1" si="120"/>
        <v>107.32574830794474</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266.68713816078008</v>
      </c>
      <c r="AF267" s="344"/>
      <c r="AG267" s="359">
        <f t="shared" ca="1" si="143"/>
        <v>58.673949044330186</v>
      </c>
      <c r="AH267" s="357">
        <f t="shared" ca="1" si="144"/>
        <v>68.23847967121165</v>
      </c>
    </row>
    <row r="268" spans="1:34" x14ac:dyDescent="0.25">
      <c r="A268" s="402">
        <f t="shared" ca="1" si="122"/>
        <v>0.01</v>
      </c>
      <c r="B268" s="357">
        <f t="shared" ca="1" si="123"/>
        <v>2.6399999999999877</v>
      </c>
      <c r="C268" s="342"/>
      <c r="D268" s="359">
        <f t="shared" ca="1" si="124"/>
        <v>15.125036177343787</v>
      </c>
      <c r="E268" s="360">
        <f t="shared" ca="1" si="125"/>
        <v>56.491865894469171</v>
      </c>
      <c r="F268" s="357">
        <f t="shared" ca="1" si="126"/>
        <v>58.481600795503603</v>
      </c>
      <c r="G268" s="359">
        <f t="shared" ca="1" si="127"/>
        <v>44.301145116095711</v>
      </c>
      <c r="H268" s="360">
        <f t="shared" ca="1" si="128"/>
        <v>194.09968888585942</v>
      </c>
      <c r="I268" s="357">
        <f t="shared" ca="1" si="129"/>
        <v>199.09113662889362</v>
      </c>
      <c r="J268" s="359">
        <f t="shared" ca="1" si="130"/>
        <v>57.64625891389003</v>
      </c>
      <c r="K268" s="360">
        <f t="shared" ca="1" si="131"/>
        <v>268.62531045634393</v>
      </c>
      <c r="L268" s="357">
        <f t="shared" ca="1" si="116"/>
        <v>274.74105733314485</v>
      </c>
      <c r="M268" s="359">
        <f t="shared" ca="1" si="132"/>
        <v>1.3464009759622328</v>
      </c>
      <c r="N268" s="357">
        <f t="shared" ca="1" si="133"/>
        <v>77.143093454930948</v>
      </c>
      <c r="O268" s="343"/>
      <c r="P268" s="363">
        <f t="shared" ca="1" si="134"/>
        <v>9</v>
      </c>
      <c r="Q268" s="357">
        <f t="shared" ca="1" si="135"/>
        <v>803.47500000000252</v>
      </c>
      <c r="R268" s="359">
        <f t="shared" ca="1" si="136"/>
        <v>0.40248654831061198</v>
      </c>
      <c r="S268" s="360">
        <f t="shared" ca="1" si="137"/>
        <v>10.236709604580442</v>
      </c>
      <c r="T268" s="357">
        <f t="shared" ca="1" si="117"/>
        <v>100.42212122093414</v>
      </c>
      <c r="U268" s="364">
        <f t="shared" ca="1" si="118"/>
        <v>0</v>
      </c>
      <c r="V268" s="359">
        <f t="shared" ca="1" si="119"/>
        <v>1.1925295191194583</v>
      </c>
      <c r="W268" s="357">
        <f t="shared" ca="1" si="120"/>
        <v>107.93769334486528</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268.62531045634393</v>
      </c>
      <c r="AF268" s="344"/>
      <c r="AG268" s="359">
        <f t="shared" ca="1" si="143"/>
        <v>58.440886318581704</v>
      </c>
      <c r="AH268" s="357">
        <f t="shared" ca="1" si="144"/>
        <v>68.005177306247305</v>
      </c>
    </row>
    <row r="269" spans="1:34" x14ac:dyDescent="0.25">
      <c r="A269" s="402">
        <f t="shared" ca="1" si="122"/>
        <v>0.01</v>
      </c>
      <c r="B269" s="357">
        <f t="shared" ca="1" si="123"/>
        <v>2.6499999999999875</v>
      </c>
      <c r="C269" s="342"/>
      <c r="D269" s="359">
        <f t="shared" ca="1" si="124"/>
        <v>15.080353173353254</v>
      </c>
      <c r="E269" s="360">
        <f t="shared" ca="1" si="125"/>
        <v>56.262600416219598</v>
      </c>
      <c r="F269" s="357">
        <f t="shared" ca="1" si="126"/>
        <v>58.248581591556885</v>
      </c>
      <c r="G269" s="359">
        <f t="shared" ca="1" si="127"/>
        <v>44.451948647829241</v>
      </c>
      <c r="H269" s="360">
        <f t="shared" ca="1" si="128"/>
        <v>194.66231489002161</v>
      </c>
      <c r="I269" s="357">
        <f t="shared" ca="1" si="129"/>
        <v>199.67321447037199</v>
      </c>
      <c r="J269" s="359">
        <f t="shared" ca="1" si="130"/>
        <v>58.090024382709657</v>
      </c>
      <c r="K269" s="360">
        <f t="shared" ca="1" si="131"/>
        <v>270.56912047522331</v>
      </c>
      <c r="L269" s="357">
        <f t="shared" ca="1" si="116"/>
        <v>276.73471030486888</v>
      </c>
      <c r="M269" s="359">
        <f t="shared" ca="1" si="132"/>
        <v>1.3462916527900655</v>
      </c>
      <c r="N269" s="357">
        <f t="shared" ca="1" si="133"/>
        <v>77.136829698562778</v>
      </c>
      <c r="O269" s="343"/>
      <c r="P269" s="363">
        <f t="shared" ca="1" si="134"/>
        <v>9</v>
      </c>
      <c r="Q269" s="357">
        <f t="shared" ca="1" si="135"/>
        <v>801.42500000000257</v>
      </c>
      <c r="R269" s="359">
        <f t="shared" ca="1" si="136"/>
        <v>0.40145963717580785</v>
      </c>
      <c r="S269" s="360">
        <f t="shared" ca="1" si="137"/>
        <v>10.232695008208683</v>
      </c>
      <c r="T269" s="357">
        <f t="shared" ca="1" si="117"/>
        <v>100.38273803052719</v>
      </c>
      <c r="U269" s="364">
        <f t="shared" ca="1" si="118"/>
        <v>0</v>
      </c>
      <c r="V269" s="359">
        <f t="shared" ca="1" si="119"/>
        <v>1.1922976944443704</v>
      </c>
      <c r="W269" s="357">
        <f t="shared" ca="1" si="120"/>
        <v>108.5486598385627</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270.56912047522331</v>
      </c>
      <c r="AF269" s="344"/>
      <c r="AG269" s="359">
        <f t="shared" ca="1" si="143"/>
        <v>58.207664827558759</v>
      </c>
      <c r="AH269" s="357">
        <f t="shared" ca="1" si="144"/>
        <v>67.771716649310932</v>
      </c>
    </row>
    <row r="270" spans="1:34" x14ac:dyDescent="0.25">
      <c r="A270" s="402">
        <f t="shared" ca="1" si="122"/>
        <v>0.01</v>
      </c>
      <c r="B270" s="357">
        <f t="shared" ca="1" si="123"/>
        <v>2.6599999999999873</v>
      </c>
      <c r="C270" s="342"/>
      <c r="D270" s="359">
        <f t="shared" ca="1" si="124"/>
        <v>15.035567927168145</v>
      </c>
      <c r="E270" s="360">
        <f t="shared" ca="1" si="125"/>
        <v>56.033198046878994</v>
      </c>
      <c r="F270" s="357">
        <f t="shared" ca="1" si="126"/>
        <v>58.015408179665954</v>
      </c>
      <c r="G270" s="359">
        <f t="shared" ca="1" si="127"/>
        <v>44.602304327100924</v>
      </c>
      <c r="H270" s="360">
        <f t="shared" ca="1" si="128"/>
        <v>195.22264687049039</v>
      </c>
      <c r="I270" s="357">
        <f t="shared" ca="1" si="129"/>
        <v>200.25295853596648</v>
      </c>
      <c r="J270" s="359">
        <f t="shared" ca="1" si="130"/>
        <v>58.535295647584306</v>
      </c>
      <c r="K270" s="360">
        <f t="shared" ca="1" si="131"/>
        <v>272.51854528402589</v>
      </c>
      <c r="L270" s="357">
        <f t="shared" ca="1" si="116"/>
        <v>278.73417149727402</v>
      </c>
      <c r="M270" s="359">
        <f t="shared" ca="1" si="132"/>
        <v>1.3461825939029628</v>
      </c>
      <c r="N270" s="357">
        <f t="shared" ca="1" si="133"/>
        <v>77.130581084613397</v>
      </c>
      <c r="O270" s="343"/>
      <c r="P270" s="363">
        <f t="shared" ca="1" si="134"/>
        <v>9</v>
      </c>
      <c r="Q270" s="357">
        <f t="shared" ca="1" si="135"/>
        <v>799.37500000000261</v>
      </c>
      <c r="R270" s="359">
        <f t="shared" ca="1" si="136"/>
        <v>0.40043272604100372</v>
      </c>
      <c r="S270" s="360">
        <f t="shared" ca="1" si="137"/>
        <v>10.228690680948272</v>
      </c>
      <c r="T270" s="357">
        <f t="shared" ca="1" si="117"/>
        <v>100.34345558010256</v>
      </c>
      <c r="U270" s="364">
        <f t="shared" ca="1" si="118"/>
        <v>0</v>
      </c>
      <c r="V270" s="359">
        <f t="shared" ca="1" si="119"/>
        <v>1.1920652447817746</v>
      </c>
      <c r="W270" s="357">
        <f t="shared" ca="1" si="120"/>
        <v>109.1586235982171</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272.51854528402589</v>
      </c>
      <c r="AF270" s="344"/>
      <c r="AG270" s="359">
        <f t="shared" ca="1" si="143"/>
        <v>57.974287470609084</v>
      </c>
      <c r="AH270" s="357">
        <f t="shared" ca="1" si="144"/>
        <v>67.538100594649663</v>
      </c>
    </row>
    <row r="271" spans="1:34" x14ac:dyDescent="0.25">
      <c r="A271" s="402">
        <f t="shared" ca="1" si="122"/>
        <v>0.01</v>
      </c>
      <c r="B271" s="357">
        <f t="shared" ca="1" si="123"/>
        <v>2.6699999999999871</v>
      </c>
      <c r="C271" s="342"/>
      <c r="D271" s="359">
        <f t="shared" ca="1" si="124"/>
        <v>14.990681394466604</v>
      </c>
      <c r="E271" s="360">
        <f t="shared" ca="1" si="125"/>
        <v>55.803661544428181</v>
      </c>
      <c r="F271" s="357">
        <f t="shared" ca="1" si="126"/>
        <v>57.782083472608527</v>
      </c>
      <c r="G271" s="359">
        <f t="shared" ca="1" si="127"/>
        <v>44.752211141045592</v>
      </c>
      <c r="H271" s="360">
        <f t="shared" ca="1" si="128"/>
        <v>195.78068348593467</v>
      </c>
      <c r="I271" s="357">
        <f t="shared" ca="1" si="129"/>
        <v>200.83036729596563</v>
      </c>
      <c r="J271" s="359">
        <f t="shared" ca="1" si="130"/>
        <v>58.982068224925037</v>
      </c>
      <c r="K271" s="360">
        <f t="shared" ca="1" si="131"/>
        <v>274.47356193580799</v>
      </c>
      <c r="L271" s="357">
        <f t="shared" ca="1" si="116"/>
        <v>280.73941756336882</v>
      </c>
      <c r="M271" s="359">
        <f t="shared" ca="1" si="132"/>
        <v>1.3460737966371448</v>
      </c>
      <c r="N271" s="357">
        <f t="shared" ca="1" si="133"/>
        <v>77.124347460459461</v>
      </c>
      <c r="O271" s="343"/>
      <c r="P271" s="363">
        <f t="shared" ca="1" si="134"/>
        <v>9</v>
      </c>
      <c r="Q271" s="357">
        <f t="shared" ca="1" si="135"/>
        <v>797.32500000000266</v>
      </c>
      <c r="R271" s="359">
        <f t="shared" ca="1" si="136"/>
        <v>0.39940581490619964</v>
      </c>
      <c r="S271" s="360">
        <f t="shared" ca="1" si="137"/>
        <v>10.224696622799211</v>
      </c>
      <c r="T271" s="357">
        <f t="shared" ca="1" si="117"/>
        <v>100.30427386966026</v>
      </c>
      <c r="U271" s="364">
        <f t="shared" ca="1" si="118"/>
        <v>0</v>
      </c>
      <c r="V271" s="359">
        <f t="shared" ca="1" si="119"/>
        <v>1.1918321732404815</v>
      </c>
      <c r="W271" s="357">
        <f t="shared" ca="1" si="120"/>
        <v>109.76756056126874</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274.47356193580799</v>
      </c>
      <c r="AF271" s="344"/>
      <c r="AG271" s="359">
        <f t="shared" ca="1" si="143"/>
        <v>57.740757140015717</v>
      </c>
      <c r="AH271" s="357">
        <f t="shared" ca="1" si="144"/>
        <v>67.304332029500017</v>
      </c>
    </row>
    <row r="272" spans="1:34" x14ac:dyDescent="0.25">
      <c r="A272" s="402">
        <f t="shared" ca="1" si="122"/>
        <v>0.01</v>
      </c>
      <c r="B272" s="357">
        <f t="shared" ca="1" si="123"/>
        <v>2.6799999999999868</v>
      </c>
      <c r="C272" s="342"/>
      <c r="D272" s="359">
        <f t="shared" ca="1" si="124"/>
        <v>14.945694526328861</v>
      </c>
      <c r="E272" s="360">
        <f t="shared" ca="1" si="125"/>
        <v>55.573993660436855</v>
      </c>
      <c r="F272" s="357">
        <f t="shared" ca="1" si="126"/>
        <v>57.548610376312404</v>
      </c>
      <c r="G272" s="359">
        <f t="shared" ca="1" si="127"/>
        <v>44.901668086308881</v>
      </c>
      <c r="H272" s="360">
        <f t="shared" ca="1" si="128"/>
        <v>196.33642342253904</v>
      </c>
      <c r="I272" s="357">
        <f t="shared" ca="1" si="129"/>
        <v>201.40543924950882</v>
      </c>
      <c r="J272" s="359">
        <f t="shared" ca="1" si="130"/>
        <v>59.43033762106181</v>
      </c>
      <c r="K272" s="360">
        <f t="shared" ca="1" si="131"/>
        <v>276.43414747035035</v>
      </c>
      <c r="L272" s="357">
        <f t="shared" ca="1" si="116"/>
        <v>282.75042514099391</v>
      </c>
      <c r="M272" s="359">
        <f t="shared" ca="1" si="132"/>
        <v>1.34596525835876</v>
      </c>
      <c r="N272" s="357">
        <f t="shared" ca="1" si="133"/>
        <v>77.118128675192395</v>
      </c>
      <c r="O272" s="343"/>
      <c r="P272" s="363">
        <f t="shared" ca="1" si="134"/>
        <v>9</v>
      </c>
      <c r="Q272" s="357">
        <f t="shared" ca="1" si="135"/>
        <v>795.27500000000271</v>
      </c>
      <c r="R272" s="359">
        <f t="shared" ca="1" si="136"/>
        <v>0.39837890377139551</v>
      </c>
      <c r="S272" s="360">
        <f t="shared" ca="1" si="137"/>
        <v>10.220712833761498</v>
      </c>
      <c r="T272" s="357">
        <f t="shared" ca="1" si="117"/>
        <v>100.2651928992003</v>
      </c>
      <c r="U272" s="364">
        <f t="shared" ca="1" si="118"/>
        <v>0</v>
      </c>
      <c r="V272" s="359">
        <f t="shared" ca="1" si="119"/>
        <v>1.19159848292966</v>
      </c>
      <c r="W272" s="357">
        <f t="shared" ca="1" si="120"/>
        <v>110.37544679399353</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276.43414747035035</v>
      </c>
      <c r="AF272" s="344"/>
      <c r="AG272" s="359">
        <f t="shared" ca="1" si="143"/>
        <v>57.507076720897743</v>
      </c>
      <c r="AH272" s="357">
        <f t="shared" ca="1" si="144"/>
        <v>67.070413833987814</v>
      </c>
    </row>
    <row r="273" spans="1:34" x14ac:dyDescent="0.25">
      <c r="A273" s="402">
        <f t="shared" ca="1" si="122"/>
        <v>0.01</v>
      </c>
      <c r="B273" s="357">
        <f t="shared" ca="1" si="123"/>
        <v>2.6899999999999866</v>
      </c>
      <c r="C273" s="342"/>
      <c r="D273" s="359">
        <f t="shared" ca="1" si="124"/>
        <v>14.900608269267591</v>
      </c>
      <c r="E273" s="360">
        <f t="shared" ca="1" si="125"/>
        <v>55.344197139957544</v>
      </c>
      <c r="F273" s="357">
        <f t="shared" ca="1" si="126"/>
        <v>57.31499178976344</v>
      </c>
      <c r="G273" s="359">
        <f t="shared" ca="1" si="127"/>
        <v>45.05067416900156</v>
      </c>
      <c r="H273" s="360">
        <f t="shared" ca="1" si="128"/>
        <v>196.88986539393861</v>
      </c>
      <c r="I273" s="357">
        <f t="shared" ca="1" si="129"/>
        <v>201.97817292451381</v>
      </c>
      <c r="J273" s="359">
        <f t="shared" ca="1" si="130"/>
        <v>59.880099332338361</v>
      </c>
      <c r="K273" s="360">
        <f t="shared" ca="1" si="131"/>
        <v>278.40027891443276</v>
      </c>
      <c r="L273" s="357">
        <f t="shared" ca="1" si="116"/>
        <v>284.7671708531106</v>
      </c>
      <c r="M273" s="359">
        <f t="shared" ca="1" si="132"/>
        <v>1.3458569764633981</v>
      </c>
      <c r="N273" s="357">
        <f t="shared" ca="1" si="133"/>
        <v>77.111924579590479</v>
      </c>
      <c r="O273" s="343"/>
      <c r="P273" s="363">
        <f t="shared" ca="1" si="134"/>
        <v>9</v>
      </c>
      <c r="Q273" s="357">
        <f t="shared" ca="1" si="135"/>
        <v>793.22500000000275</v>
      </c>
      <c r="R273" s="359">
        <f t="shared" ca="1" si="136"/>
        <v>0.39735199263659138</v>
      </c>
      <c r="S273" s="360">
        <f t="shared" ca="1" si="137"/>
        <v>10.216739313835133</v>
      </c>
      <c r="T273" s="357">
        <f t="shared" ca="1" si="117"/>
        <v>100.22621266872265</v>
      </c>
      <c r="U273" s="364">
        <f t="shared" ca="1" si="118"/>
        <v>0</v>
      </c>
      <c r="V273" s="359">
        <f t="shared" ca="1" si="119"/>
        <v>1.1913641769587915</v>
      </c>
      <c r="W273" s="357">
        <f t="shared" ca="1" si="120"/>
        <v>110.98225849206911</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278.40027891443276</v>
      </c>
      <c r="AF273" s="344"/>
      <c r="AG273" s="359">
        <f t="shared" ca="1" si="143"/>
        <v>57.273249091111992</v>
      </c>
      <c r="AH273" s="357">
        <f t="shared" ca="1" si="144"/>
        <v>66.83634888102894</v>
      </c>
    </row>
    <row r="274" spans="1:34" x14ac:dyDescent="0.25">
      <c r="A274" s="402">
        <f t="shared" ca="1" si="122"/>
        <v>0.01</v>
      </c>
      <c r="B274" s="357">
        <f t="shared" ca="1" si="123"/>
        <v>2.6999999999999864</v>
      </c>
      <c r="C274" s="342"/>
      <c r="D274" s="359">
        <f t="shared" ca="1" si="124"/>
        <v>14.855423565257402</v>
      </c>
      <c r="E274" s="360">
        <f t="shared" ca="1" si="125"/>
        <v>55.114274721420799</v>
      </c>
      <c r="F274" s="357">
        <f t="shared" ca="1" si="126"/>
        <v>57.08123060491468</v>
      </c>
      <c r="G274" s="359">
        <f t="shared" ca="1" si="127"/>
        <v>45.199228404654136</v>
      </c>
      <c r="H274" s="360">
        <f t="shared" ca="1" si="128"/>
        <v>197.44100814115282</v>
      </c>
      <c r="I274" s="357">
        <f t="shared" ca="1" si="129"/>
        <v>202.54856687760312</v>
      </c>
      <c r="J274" s="359">
        <f t="shared" ca="1" si="130"/>
        <v>60.331348845206641</v>
      </c>
      <c r="K274" s="360">
        <f t="shared" ca="1" si="131"/>
        <v>280.37193328210822</v>
      </c>
      <c r="L274" s="357">
        <f t="shared" ca="1" si="116"/>
        <v>286.78963130808785</v>
      </c>
      <c r="M274" s="359">
        <f t="shared" ca="1" si="132"/>
        <v>1.3457489483756135</v>
      </c>
      <c r="N274" s="357">
        <f t="shared" ca="1" si="133"/>
        <v>77.105735026091565</v>
      </c>
      <c r="O274" s="343"/>
      <c r="P274" s="363">
        <f t="shared" ca="1" si="134"/>
        <v>9</v>
      </c>
      <c r="Q274" s="357">
        <f t="shared" ca="1" si="135"/>
        <v>791.1750000000028</v>
      </c>
      <c r="R274" s="359">
        <f t="shared" ca="1" si="136"/>
        <v>0.3963250815017873</v>
      </c>
      <c r="S274" s="360">
        <f t="shared" ca="1" si="137"/>
        <v>10.212776063020115</v>
      </c>
      <c r="T274" s="357">
        <f t="shared" ca="1" si="117"/>
        <v>100.18733317822733</v>
      </c>
      <c r="U274" s="364">
        <f t="shared" ca="1" si="118"/>
        <v>0</v>
      </c>
      <c r="V274" s="359">
        <f t="shared" ca="1" si="119"/>
        <v>1.191129258437619</v>
      </c>
      <c r="W274" s="357">
        <f t="shared" ca="1" si="120"/>
        <v>111.58797198112916</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280.37193328210822</v>
      </c>
      <c r="AF274" s="344"/>
      <c r="AG274" s="359">
        <f t="shared" ca="1" si="143"/>
        <v>57.039277121155514</v>
      </c>
      <c r="AH274" s="357">
        <f t="shared" ca="1" si="144"/>
        <v>66.602140036231006</v>
      </c>
    </row>
    <row r="275" spans="1:34" x14ac:dyDescent="0.25">
      <c r="A275" s="402">
        <f t="shared" ca="1" si="122"/>
        <v>0.01</v>
      </c>
      <c r="B275" s="357">
        <f t="shared" ca="1" si="123"/>
        <v>2.7099999999999862</v>
      </c>
      <c r="C275" s="342"/>
      <c r="D275" s="359">
        <f t="shared" ca="1" si="124"/>
        <v>14.810141351763264</v>
      </c>
      <c r="E275" s="360">
        <f t="shared" ca="1" si="125"/>
        <v>54.884229136531403</v>
      </c>
      <c r="F275" s="357">
        <f t="shared" ca="1" si="126"/>
        <v>56.847329706596518</v>
      </c>
      <c r="G275" s="359">
        <f t="shared" ca="1" si="127"/>
        <v>45.347329818171765</v>
      </c>
      <c r="H275" s="360">
        <f t="shared" ca="1" si="128"/>
        <v>197.98985043251812</v>
      </c>
      <c r="I275" s="357">
        <f t="shared" ca="1" si="129"/>
        <v>203.11661969402934</v>
      </c>
      <c r="J275" s="359">
        <f t="shared" ca="1" si="130"/>
        <v>60.784081636320771</v>
      </c>
      <c r="K275" s="360">
        <f t="shared" ca="1" si="131"/>
        <v>282.34908757497658</v>
      </c>
      <c r="L275" s="357">
        <f t="shared" ca="1" si="116"/>
        <v>288.8177830999897</v>
      </c>
      <c r="M275" s="359">
        <f t="shared" ca="1" si="132"/>
        <v>1.3456411715484573</v>
      </c>
      <c r="N275" s="357">
        <f t="shared" ca="1" si="133"/>
        <v>77.099559868766192</v>
      </c>
      <c r="O275" s="343"/>
      <c r="P275" s="363">
        <f t="shared" ca="1" si="134"/>
        <v>9</v>
      </c>
      <c r="Q275" s="357">
        <f t="shared" ca="1" si="135"/>
        <v>789.12500000000284</v>
      </c>
      <c r="R275" s="359">
        <f t="shared" ca="1" si="136"/>
        <v>0.39529817036698317</v>
      </c>
      <c r="S275" s="360">
        <f t="shared" ca="1" si="137"/>
        <v>10.208823081316446</v>
      </c>
      <c r="T275" s="357">
        <f t="shared" ca="1" si="117"/>
        <v>100.14855442771434</v>
      </c>
      <c r="U275" s="364">
        <f t="shared" ca="1" si="118"/>
        <v>0</v>
      </c>
      <c r="V275" s="359">
        <f t="shared" ca="1" si="119"/>
        <v>1.1908937304760983</v>
      </c>
      <c r="W275" s="357">
        <f t="shared" ca="1" si="120"/>
        <v>112.19256371730741</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282.34908757497658</v>
      </c>
      <c r="AF275" s="344"/>
      <c r="AG275" s="359">
        <f t="shared" ca="1" si="143"/>
        <v>56.805163674068993</v>
      </c>
      <c r="AH275" s="357">
        <f t="shared" ca="1" si="144"/>
        <v>66.367790157795952</v>
      </c>
    </row>
    <row r="276" spans="1:34" x14ac:dyDescent="0.25">
      <c r="A276" s="402">
        <f t="shared" ca="1" si="122"/>
        <v>0.01</v>
      </c>
      <c r="B276" s="357">
        <f t="shared" ca="1" si="123"/>
        <v>2.719999999999986</v>
      </c>
      <c r="C276" s="342"/>
      <c r="D276" s="359">
        <f t="shared" ca="1" si="124"/>
        <v>14.764762561768196</v>
      </c>
      <c r="E276" s="360">
        <f t="shared" ca="1" si="125"/>
        <v>54.654063110165794</v>
      </c>
      <c r="F276" s="357">
        <f t="shared" ca="1" si="126"/>
        <v>56.613291972427966</v>
      </c>
      <c r="G276" s="359">
        <f t="shared" ca="1" si="127"/>
        <v>45.494977443789445</v>
      </c>
      <c r="H276" s="360">
        <f t="shared" ca="1" si="128"/>
        <v>198.53639106361979</v>
      </c>
      <c r="I276" s="357">
        <f t="shared" ca="1" si="129"/>
        <v>203.68232998759973</v>
      </c>
      <c r="J276" s="359">
        <f t="shared" ca="1" si="130"/>
        <v>61.238293172630577</v>
      </c>
      <c r="K276" s="360">
        <f t="shared" ca="1" si="131"/>
        <v>284.33171878245724</v>
      </c>
      <c r="L276" s="357">
        <f t="shared" ca="1" si="116"/>
        <v>290.85160280886095</v>
      </c>
      <c r="M276" s="359">
        <f t="shared" ca="1" si="132"/>
        <v>1.3455336434630178</v>
      </c>
      <c r="N276" s="357">
        <f t="shared" ca="1" si="133"/>
        <v>77.093398963291392</v>
      </c>
      <c r="O276" s="343"/>
      <c r="P276" s="363">
        <f t="shared" ca="1" si="134"/>
        <v>9</v>
      </c>
      <c r="Q276" s="357">
        <f t="shared" ca="1" si="135"/>
        <v>787.07500000000289</v>
      </c>
      <c r="R276" s="359">
        <f t="shared" ca="1" si="136"/>
        <v>0.39427125923217904</v>
      </c>
      <c r="S276" s="360">
        <f t="shared" ca="1" si="137"/>
        <v>10.204880368724124</v>
      </c>
      <c r="T276" s="357">
        <f t="shared" ca="1" si="117"/>
        <v>100.10987641718367</v>
      </c>
      <c r="U276" s="364">
        <f t="shared" ca="1" si="118"/>
        <v>0</v>
      </c>
      <c r="V276" s="359">
        <f t="shared" ca="1" si="119"/>
        <v>1.1906575961843502</v>
      </c>
      <c r="W276" s="357">
        <f t="shared" ca="1" si="120"/>
        <v>112.79601028777137</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284.33171878245724</v>
      </c>
      <c r="AF276" s="344"/>
      <c r="AG276" s="359">
        <f t="shared" ca="1" si="143"/>
        <v>56.570911605341152</v>
      </c>
      <c r="AH276" s="357">
        <f t="shared" ca="1" si="144"/>
        <v>66.133302096423634</v>
      </c>
    </row>
    <row r="277" spans="1:34" x14ac:dyDescent="0.25">
      <c r="A277" s="402">
        <f t="shared" ca="1" si="122"/>
        <v>0.01</v>
      </c>
      <c r="B277" s="357">
        <f t="shared" ca="1" si="123"/>
        <v>2.7299999999999858</v>
      </c>
      <c r="C277" s="342"/>
      <c r="D277" s="359">
        <f t="shared" ca="1" si="124"/>
        <v>14.719288123800016</v>
      </c>
      <c r="E277" s="360">
        <f t="shared" ca="1" si="125"/>
        <v>54.423779360270501</v>
      </c>
      <c r="F277" s="357">
        <f t="shared" ca="1" si="126"/>
        <v>56.379120272729033</v>
      </c>
      <c r="G277" s="359">
        <f t="shared" ca="1" si="127"/>
        <v>45.642170325027443</v>
      </c>
      <c r="H277" s="360">
        <f t="shared" ca="1" si="128"/>
        <v>199.08062885722251</v>
      </c>
      <c r="I277" s="357">
        <f t="shared" ca="1" si="129"/>
        <v>204.24569640059983</v>
      </c>
      <c r="J277" s="359">
        <f t="shared" ca="1" si="130"/>
        <v>61.693978911474659</v>
      </c>
      <c r="K277" s="360">
        <f t="shared" ca="1" si="131"/>
        <v>286.31980388206148</v>
      </c>
      <c r="L277" s="357">
        <f t="shared" ca="1" si="116"/>
        <v>292.89106700101257</v>
      </c>
      <c r="M277" s="359">
        <f t="shared" ca="1" si="132"/>
        <v>1.3454263616279722</v>
      </c>
      <c r="N277" s="357">
        <f t="shared" ca="1" si="133"/>
        <v>77.087252166924856</v>
      </c>
      <c r="O277" s="343"/>
      <c r="P277" s="363">
        <f t="shared" ca="1" si="134"/>
        <v>9</v>
      </c>
      <c r="Q277" s="357">
        <f t="shared" ca="1" si="135"/>
        <v>785.02500000000293</v>
      </c>
      <c r="R277" s="359">
        <f t="shared" ca="1" si="136"/>
        <v>0.39324434809737496</v>
      </c>
      <c r="S277" s="360">
        <f t="shared" ca="1" si="137"/>
        <v>10.200947925243151</v>
      </c>
      <c r="T277" s="357">
        <f t="shared" ca="1" si="117"/>
        <v>100.07129914663531</v>
      </c>
      <c r="U277" s="364">
        <f t="shared" ca="1" si="118"/>
        <v>0</v>
      </c>
      <c r="V277" s="359">
        <f t="shared" ca="1" si="119"/>
        <v>1.1904208586726108</v>
      </c>
      <c r="W277" s="357">
        <f t="shared" ca="1" si="120"/>
        <v>113.39828841124519</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286.31980388206148</v>
      </c>
      <c r="AF277" s="344"/>
      <c r="AG277" s="359">
        <f t="shared" ca="1" si="143"/>
        <v>56.336523762814039</v>
      </c>
      <c r="AH277" s="357">
        <f t="shared" ca="1" si="144"/>
        <v>65.89867869521629</v>
      </c>
    </row>
    <row r="278" spans="1:34" x14ac:dyDescent="0.25">
      <c r="A278" s="402">
        <f t="shared" ca="1" si="122"/>
        <v>0.01</v>
      </c>
      <c r="B278" s="357">
        <f t="shared" ca="1" si="123"/>
        <v>2.7399999999999856</v>
      </c>
      <c r="C278" s="342"/>
      <c r="D278" s="359">
        <f t="shared" ca="1" si="124"/>
        <v>14.673718961957219</v>
      </c>
      <c r="E278" s="360">
        <f t="shared" ca="1" si="125"/>
        <v>54.193380597761646</v>
      </c>
      <c r="F278" s="357">
        <f t="shared" ca="1" si="126"/>
        <v>56.144817470433999</v>
      </c>
      <c r="G278" s="359">
        <f t="shared" ca="1" si="127"/>
        <v>45.788907514647015</v>
      </c>
      <c r="H278" s="360">
        <f t="shared" ca="1" si="128"/>
        <v>199.62256266320011</v>
      </c>
      <c r="I278" s="357">
        <f t="shared" ca="1" si="129"/>
        <v>204.80671760371573</v>
      </c>
      <c r="J278" s="359">
        <f t="shared" ca="1" si="130"/>
        <v>62.151134300673029</v>
      </c>
      <c r="K278" s="360">
        <f t="shared" ca="1" si="131"/>
        <v>288.31331983966356</v>
      </c>
      <c r="L278" s="357">
        <f t="shared" ca="1" si="116"/>
        <v>294.93615222930612</v>
      </c>
      <c r="M278" s="359">
        <f t="shared" ca="1" si="132"/>
        <v>1.345319323579145</v>
      </c>
      <c r="N278" s="357">
        <f t="shared" ca="1" si="133"/>
        <v>77.081119338479738</v>
      </c>
      <c r="O278" s="343"/>
      <c r="P278" s="363">
        <f t="shared" ca="1" si="134"/>
        <v>9</v>
      </c>
      <c r="Q278" s="357">
        <f t="shared" ca="1" si="135"/>
        <v>782.97500000000298</v>
      </c>
      <c r="R278" s="359">
        <f t="shared" ca="1" si="136"/>
        <v>0.39221743696257083</v>
      </c>
      <c r="S278" s="360">
        <f t="shared" ca="1" si="137"/>
        <v>10.197025750873525</v>
      </c>
      <c r="T278" s="357">
        <f t="shared" ca="1" si="117"/>
        <v>100.03282261606928</v>
      </c>
      <c r="U278" s="364">
        <f t="shared" ca="1" si="118"/>
        <v>0</v>
      </c>
      <c r="V278" s="359">
        <f t="shared" ca="1" si="119"/>
        <v>1.1901835210511842</v>
      </c>
      <c r="W278" s="357">
        <f t="shared" ca="1" si="120"/>
        <v>113.99937493852168</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288.31331983966356</v>
      </c>
      <c r="AF278" s="344"/>
      <c r="AG278" s="359">
        <f t="shared" ca="1" si="143"/>
        <v>56.102002986589127</v>
      </c>
      <c r="AH278" s="357">
        <f t="shared" ca="1" si="144"/>
        <v>65.663922789583893</v>
      </c>
    </row>
    <row r="279" spans="1:34" x14ac:dyDescent="0.25">
      <c r="A279" s="402">
        <f t="shared" ca="1" si="122"/>
        <v>0.01</v>
      </c>
      <c r="B279" s="357">
        <f t="shared" ca="1" si="123"/>
        <v>2.7499999999999853</v>
      </c>
      <c r="C279" s="342"/>
      <c r="D279" s="359">
        <f t="shared" ca="1" si="124"/>
        <v>14.628055995934092</v>
      </c>
      <c r="E279" s="360">
        <f t="shared" ca="1" si="125"/>
        <v>53.962869526425628</v>
      </c>
      <c r="F279" s="357">
        <f t="shared" ca="1" si="126"/>
        <v>55.910386421006059</v>
      </c>
      <c r="G279" s="359">
        <f t="shared" ca="1" si="127"/>
        <v>45.935188074606359</v>
      </c>
      <c r="H279" s="360">
        <f t="shared" ca="1" si="128"/>
        <v>200.16219135846438</v>
      </c>
      <c r="I279" s="357">
        <f t="shared" ca="1" si="129"/>
        <v>205.36539229595616</v>
      </c>
      <c r="J279" s="359">
        <f t="shared" ca="1" si="130"/>
        <v>62.609754778619298</v>
      </c>
      <c r="K279" s="360">
        <f t="shared" ca="1" si="131"/>
        <v>290.31224360977188</v>
      </c>
      <c r="L279" s="357">
        <f t="shared" ca="1" si="116"/>
        <v>296.98683503343773</v>
      </c>
      <c r="M279" s="359">
        <f t="shared" ca="1" si="132"/>
        <v>1.3452125268790756</v>
      </c>
      <c r="N279" s="357">
        <f t="shared" ca="1" si="133"/>
        <v>77.075000338299844</v>
      </c>
      <c r="O279" s="343"/>
      <c r="P279" s="363">
        <f t="shared" ca="1" si="134"/>
        <v>9</v>
      </c>
      <c r="Q279" s="357">
        <f t="shared" ca="1" si="135"/>
        <v>780.92500000000302</v>
      </c>
      <c r="R279" s="359">
        <f t="shared" ca="1" si="136"/>
        <v>0.3911905258277667</v>
      </c>
      <c r="S279" s="360">
        <f t="shared" ca="1" si="137"/>
        <v>10.193113845615247</v>
      </c>
      <c r="T279" s="357">
        <f t="shared" ca="1" si="117"/>
        <v>99.994446825485582</v>
      </c>
      <c r="U279" s="364">
        <f t="shared" ca="1" si="118"/>
        <v>0</v>
      </c>
      <c r="V279" s="359">
        <f t="shared" ca="1" si="119"/>
        <v>1.1899455864303938</v>
      </c>
      <c r="W279" s="357">
        <f t="shared" ca="1" si="120"/>
        <v>114.5992468529645</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290.31224360977188</v>
      </c>
      <c r="AF279" s="344"/>
      <c r="AG279" s="359">
        <f t="shared" ca="1" si="143"/>
        <v>55.867352108934483</v>
      </c>
      <c r="AH279" s="357">
        <f t="shared" ca="1" si="144"/>
        <v>65.429037207150543</v>
      </c>
    </row>
    <row r="280" spans="1:34" x14ac:dyDescent="0.25">
      <c r="A280" s="402">
        <f t="shared" ca="1" si="122"/>
        <v>0.01</v>
      </c>
      <c r="B280" s="357">
        <f t="shared" ca="1" si="123"/>
        <v>2.7599999999999851</v>
      </c>
      <c r="C280" s="342"/>
      <c r="D280" s="359">
        <f t="shared" ca="1" si="124"/>
        <v>14.582300141045016</v>
      </c>
      <c r="E280" s="360">
        <f t="shared" ca="1" si="125"/>
        <v>53.732248842820837</v>
      </c>
      <c r="F280" s="357">
        <f t="shared" ca="1" si="126"/>
        <v>55.675829972352837</v>
      </c>
      <c r="G280" s="359">
        <f t="shared" ca="1" si="127"/>
        <v>46.081011076016807</v>
      </c>
      <c r="H280" s="360">
        <f t="shared" ca="1" si="128"/>
        <v>200.69951384689259</v>
      </c>
      <c r="I280" s="357">
        <f t="shared" ca="1" si="129"/>
        <v>205.92171920457301</v>
      </c>
      <c r="J280" s="359">
        <f t="shared" ca="1" si="130"/>
        <v>63.069835774372415</v>
      </c>
      <c r="K280" s="360">
        <f t="shared" ca="1" si="131"/>
        <v>292.31655213579864</v>
      </c>
      <c r="L280" s="357">
        <f t="shared" ca="1" si="116"/>
        <v>299.04309194022085</v>
      </c>
      <c r="M280" s="359">
        <f t="shared" ca="1" si="132"/>
        <v>1.3451059691165954</v>
      </c>
      <c r="N280" s="357">
        <f t="shared" ca="1" si="133"/>
        <v>77.068895028235374</v>
      </c>
      <c r="O280" s="343"/>
      <c r="P280" s="363">
        <f t="shared" ca="1" si="134"/>
        <v>9</v>
      </c>
      <c r="Q280" s="357">
        <f t="shared" ca="1" si="135"/>
        <v>778.87500000000307</v>
      </c>
      <c r="R280" s="359">
        <f t="shared" ca="1" si="136"/>
        <v>0.39016361469296262</v>
      </c>
      <c r="S280" s="360">
        <f t="shared" ca="1" si="137"/>
        <v>10.189212209468318</v>
      </c>
      <c r="T280" s="357">
        <f t="shared" ca="1" si="117"/>
        <v>99.956171774884197</v>
      </c>
      <c r="U280" s="364">
        <f t="shared" ca="1" si="118"/>
        <v>0</v>
      </c>
      <c r="V280" s="359">
        <f t="shared" ca="1" si="119"/>
        <v>1.1897070579205347</v>
      </c>
      <c r="W280" s="357">
        <f t="shared" ca="1" si="120"/>
        <v>115.19788127099919</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292.31655213579864</v>
      </c>
      <c r="AF280" s="344"/>
      <c r="AG280" s="359">
        <f t="shared" ca="1" si="143"/>
        <v>55.632573954192779</v>
      </c>
      <c r="AH280" s="357">
        <f t="shared" ca="1" si="144"/>
        <v>65.194024767661702</v>
      </c>
    </row>
    <row r="281" spans="1:34" x14ac:dyDescent="0.25">
      <c r="A281" s="402">
        <f t="shared" ca="1" si="122"/>
        <v>0.01</v>
      </c>
      <c r="B281" s="357">
        <f t="shared" ca="1" si="123"/>
        <v>2.7699999999999849</v>
      </c>
      <c r="C281" s="342"/>
      <c r="D281" s="359">
        <f t="shared" ca="1" si="124"/>
        <v>14.536452308247959</v>
      </c>
      <c r="E281" s="360">
        <f t="shared" ca="1" si="125"/>
        <v>53.50152123618048</v>
      </c>
      <c r="F281" s="357">
        <f t="shared" ca="1" si="126"/>
        <v>55.44115096474313</v>
      </c>
      <c r="G281" s="359">
        <f t="shared" ca="1" si="127"/>
        <v>46.226375599099285</v>
      </c>
      <c r="H281" s="360">
        <f t="shared" ca="1" si="128"/>
        <v>201.23452905925438</v>
      </c>
      <c r="I281" s="357">
        <f t="shared" ca="1" si="129"/>
        <v>206.47569708498116</v>
      </c>
      <c r="J281" s="359">
        <f t="shared" ca="1" si="130"/>
        <v>63.531372707747998</v>
      </c>
      <c r="K281" s="360">
        <f t="shared" ca="1" si="131"/>
        <v>294.32622235032937</v>
      </c>
      <c r="L281" s="357">
        <f t="shared" ca="1" si="116"/>
        <v>301.10489946386843</v>
      </c>
      <c r="M281" s="359">
        <f t="shared" ca="1" si="132"/>
        <v>1.3449996479064106</v>
      </c>
      <c r="N281" s="357">
        <f t="shared" ca="1" si="133"/>
        <v>77.06280327161906</v>
      </c>
      <c r="O281" s="343"/>
      <c r="P281" s="363">
        <f t="shared" ca="1" si="134"/>
        <v>9</v>
      </c>
      <c r="Q281" s="357">
        <f t="shared" ca="1" si="135"/>
        <v>776.82500000000312</v>
      </c>
      <c r="R281" s="359">
        <f t="shared" ca="1" si="136"/>
        <v>0.38913670355815849</v>
      </c>
      <c r="S281" s="360">
        <f t="shared" ca="1" si="137"/>
        <v>10.185320842432736</v>
      </c>
      <c r="T281" s="357">
        <f t="shared" ca="1" si="117"/>
        <v>99.917997464265142</v>
      </c>
      <c r="U281" s="364">
        <f t="shared" ca="1" si="118"/>
        <v>0</v>
      </c>
      <c r="V281" s="359">
        <f t="shared" ca="1" si="119"/>
        <v>1.1894679386318254</v>
      </c>
      <c r="W281" s="357">
        <f t="shared" ca="1" si="120"/>
        <v>115.79525544259396</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294.32622235032937</v>
      </c>
      <c r="AF281" s="344"/>
      <c r="AG281" s="359">
        <f t="shared" ca="1" si="143"/>
        <v>55.397671338690202</v>
      </c>
      <c r="AH281" s="357">
        <f t="shared" ca="1" si="144"/>
        <v>64.958888282892431</v>
      </c>
    </row>
    <row r="282" spans="1:34" x14ac:dyDescent="0.25">
      <c r="A282" s="402">
        <f t="shared" ca="1" si="122"/>
        <v>0.01</v>
      </c>
      <c r="B282" s="357">
        <f t="shared" ca="1" si="123"/>
        <v>2.7799999999999847</v>
      </c>
      <c r="C282" s="342"/>
      <c r="D282" s="359">
        <f t="shared" ca="1" si="124"/>
        <v>14.490513404167361</v>
      </c>
      <c r="E282" s="360">
        <f t="shared" ca="1" si="125"/>
        <v>53.270689388316441</v>
      </c>
      <c r="F282" s="357">
        <f t="shared" ca="1" si="126"/>
        <v>55.206352230724718</v>
      </c>
      <c r="G282" s="359">
        <f t="shared" ca="1" si="127"/>
        <v>46.371280733140956</v>
      </c>
      <c r="H282" s="360">
        <f t="shared" ca="1" si="128"/>
        <v>201.76723595313754</v>
      </c>
      <c r="I282" s="357">
        <f t="shared" ca="1" si="129"/>
        <v>207.02732472067751</v>
      </c>
      <c r="J282" s="359">
        <f t="shared" ca="1" si="130"/>
        <v>63.994360989409202</v>
      </c>
      <c r="K282" s="360">
        <f t="shared" ca="1" si="131"/>
        <v>296.34123117539133</v>
      </c>
      <c r="L282" s="357">
        <f t="shared" ca="1" si="116"/>
        <v>303.17223410627423</v>
      </c>
      <c r="M282" s="359">
        <f t="shared" ca="1" si="132"/>
        <v>1.3448935608886956</v>
      </c>
      <c r="N282" s="357">
        <f t="shared" ca="1" si="133"/>
        <v>77.056724933242862</v>
      </c>
      <c r="O282" s="343"/>
      <c r="P282" s="363">
        <f t="shared" ca="1" si="134"/>
        <v>9</v>
      </c>
      <c r="Q282" s="357">
        <f t="shared" ca="1" si="135"/>
        <v>774.77500000000316</v>
      </c>
      <c r="R282" s="359">
        <f t="shared" ca="1" si="136"/>
        <v>0.38810979242335442</v>
      </c>
      <c r="S282" s="360">
        <f t="shared" ca="1" si="137"/>
        <v>10.181439744508502</v>
      </c>
      <c r="T282" s="357">
        <f t="shared" ca="1" si="117"/>
        <v>99.879923893628415</v>
      </c>
      <c r="U282" s="364">
        <f t="shared" ca="1" si="118"/>
        <v>0</v>
      </c>
      <c r="V282" s="359">
        <f t="shared" ca="1" si="119"/>
        <v>1.1892282316743614</v>
      </c>
      <c r="W282" s="357">
        <f t="shared" ca="1" si="120"/>
        <v>116.39134675172986</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296.34123117539133</v>
      </c>
      <c r="AF282" s="344"/>
      <c r="AG282" s="359">
        <f t="shared" ca="1" si="143"/>
        <v>55.162647070646365</v>
      </c>
      <c r="AH282" s="357">
        <f t="shared" ca="1" si="144"/>
        <v>64.723630556556486</v>
      </c>
    </row>
    <row r="283" spans="1:34" x14ac:dyDescent="0.25">
      <c r="A283" s="402">
        <f t="shared" ca="1" si="122"/>
        <v>0.01</v>
      </c>
      <c r="B283" s="357">
        <f t="shared" ca="1" si="123"/>
        <v>2.7899999999999845</v>
      </c>
      <c r="C283" s="342"/>
      <c r="D283" s="359">
        <f t="shared" ca="1" si="124"/>
        <v>14.444484331116097</v>
      </c>
      <c r="E283" s="360">
        <f t="shared" ca="1" si="125"/>
        <v>53.039755973524336</v>
      </c>
      <c r="F283" s="357">
        <f t="shared" ca="1" si="126"/>
        <v>54.971436595043329</v>
      </c>
      <c r="G283" s="359">
        <f t="shared" ca="1" si="127"/>
        <v>46.51572557645212</v>
      </c>
      <c r="H283" s="360">
        <f t="shared" ca="1" si="128"/>
        <v>202.29763351287278</v>
      </c>
      <c r="I283" s="357">
        <f t="shared" ca="1" si="129"/>
        <v>207.57660092315894</v>
      </c>
      <c r="J283" s="359">
        <f t="shared" ca="1" si="130"/>
        <v>64.458796020957166</v>
      </c>
      <c r="K283" s="360">
        <f t="shared" ca="1" si="131"/>
        <v>298.3615555227214</v>
      </c>
      <c r="L283" s="357">
        <f t="shared" ca="1" si="116"/>
        <v>305.24507235729345</v>
      </c>
      <c r="M283" s="359">
        <f t="shared" ca="1" si="132"/>
        <v>1.3447877057286926</v>
      </c>
      <c r="N283" s="357">
        <f t="shared" ca="1" si="133"/>
        <v>77.050659879335001</v>
      </c>
      <c r="O283" s="343"/>
      <c r="P283" s="363">
        <f t="shared" ca="1" si="134"/>
        <v>9</v>
      </c>
      <c r="Q283" s="357">
        <f t="shared" ca="1" si="135"/>
        <v>772.72500000000321</v>
      </c>
      <c r="R283" s="359">
        <f t="shared" ca="1" si="136"/>
        <v>0.38708288128855028</v>
      </c>
      <c r="S283" s="360">
        <f t="shared" ca="1" si="137"/>
        <v>10.177568915695616</v>
      </c>
      <c r="T283" s="357">
        <f t="shared" ca="1" si="117"/>
        <v>99.841951062974005</v>
      </c>
      <c r="U283" s="364">
        <f t="shared" ca="1" si="118"/>
        <v>0</v>
      </c>
      <c r="V283" s="359">
        <f t="shared" ca="1" si="119"/>
        <v>1.1889879401580674</v>
      </c>
      <c r="W283" s="357">
        <f t="shared" ca="1" si="120"/>
        <v>116.98613271686075</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298.3615555227214</v>
      </c>
      <c r="AF283" s="344"/>
      <c r="AG283" s="359">
        <f t="shared" ca="1" si="143"/>
        <v>54.927503950085089</v>
      </c>
      <c r="AH283" s="357">
        <f t="shared" ca="1" si="144"/>
        <v>64.488254384216489</v>
      </c>
    </row>
    <row r="284" spans="1:34" x14ac:dyDescent="0.25">
      <c r="A284" s="402">
        <f t="shared" ca="1" si="122"/>
        <v>0.01</v>
      </c>
      <c r="B284" s="357">
        <f t="shared" ca="1" si="123"/>
        <v>2.7999999999999843</v>
      </c>
      <c r="C284" s="342"/>
      <c r="D284" s="359">
        <f t="shared" ca="1" si="124"/>
        <v>14.398365987116916</v>
      </c>
      <c r="E284" s="360">
        <f t="shared" ca="1" si="125"/>
        <v>52.808723658489569</v>
      </c>
      <c r="F284" s="357">
        <f t="shared" ca="1" si="126"/>
        <v>54.736406874562761</v>
      </c>
      <c r="G284" s="359">
        <f t="shared" ca="1" si="127"/>
        <v>46.659709236323287</v>
      </c>
      <c r="H284" s="360">
        <f t="shared" ca="1" si="128"/>
        <v>202.82572074945767</v>
      </c>
      <c r="I284" s="357">
        <f t="shared" ca="1" si="129"/>
        <v>208.12352453183956</v>
      </c>
      <c r="J284" s="359">
        <f t="shared" ca="1" si="130"/>
        <v>64.924673195021043</v>
      </c>
      <c r="K284" s="360">
        <f t="shared" ca="1" si="131"/>
        <v>300.38717229403306</v>
      </c>
      <c r="L284" s="357">
        <f t="shared" ca="1" si="116"/>
        <v>307.3233906950224</v>
      </c>
      <c r="M284" s="359">
        <f t="shared" ca="1" si="132"/>
        <v>1.3446820801163191</v>
      </c>
      <c r="N284" s="357">
        <f t="shared" ca="1" si="133"/>
        <v>77.04460797753751</v>
      </c>
      <c r="O284" s="343"/>
      <c r="P284" s="363">
        <f t="shared" ca="1" si="134"/>
        <v>9</v>
      </c>
      <c r="Q284" s="357">
        <f t="shared" ca="1" si="135"/>
        <v>770.67500000000325</v>
      </c>
      <c r="R284" s="359">
        <f t="shared" ca="1" si="136"/>
        <v>0.38605597015374615</v>
      </c>
      <c r="S284" s="360">
        <f t="shared" ca="1" si="137"/>
        <v>10.173708355994078</v>
      </c>
      <c r="T284" s="357">
        <f t="shared" ca="1" si="117"/>
        <v>99.804078972301909</v>
      </c>
      <c r="U284" s="364">
        <f t="shared" ca="1" si="118"/>
        <v>0</v>
      </c>
      <c r="V284" s="359">
        <f t="shared" ca="1" si="119"/>
        <v>1.188747067192649</v>
      </c>
      <c r="W284" s="357">
        <f t="shared" ca="1" si="120"/>
        <v>117.57959099136254</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300.38717229403306</v>
      </c>
      <c r="AF284" s="344"/>
      <c r="AG284" s="359">
        <f t="shared" ca="1" si="143"/>
        <v>54.692244768746164</v>
      </c>
      <c r="AH284" s="357">
        <f t="shared" ca="1" si="144"/>
        <v>64.252762553194913</v>
      </c>
    </row>
    <row r="285" spans="1:34" x14ac:dyDescent="0.25">
      <c r="A285" s="402">
        <f t="shared" ca="1" si="122"/>
        <v>0.01</v>
      </c>
      <c r="B285" s="357">
        <f t="shared" ca="1" si="123"/>
        <v>2.8099999999999841</v>
      </c>
      <c r="C285" s="342"/>
      <c r="D285" s="359">
        <f t="shared" ca="1" si="124"/>
        <v>14.352159265923099</v>
      </c>
      <c r="E285" s="360">
        <f t="shared" ca="1" si="125"/>
        <v>52.577595102194415</v>
      </c>
      <c r="F285" s="357">
        <f t="shared" ca="1" si="126"/>
        <v>54.50126587818599</v>
      </c>
      <c r="G285" s="359">
        <f t="shared" ca="1" si="127"/>
        <v>46.803230828982521</v>
      </c>
      <c r="H285" s="360">
        <f t="shared" ca="1" si="128"/>
        <v>203.35149670047963</v>
      </c>
      <c r="I285" s="357">
        <f t="shared" ca="1" si="129"/>
        <v>208.66809441396688</v>
      </c>
      <c r="J285" s="359">
        <f t="shared" ca="1" si="130"/>
        <v>65.391987895347569</v>
      </c>
      <c r="K285" s="360">
        <f t="shared" ca="1" si="131"/>
        <v>302.41805838128278</v>
      </c>
      <c r="L285" s="357">
        <f t="shared" ca="1" si="116"/>
        <v>309.40716558607727</v>
      </c>
      <c r="M285" s="359">
        <f t="shared" ca="1" si="132"/>
        <v>1.3445766817657836</v>
      </c>
      <c r="N285" s="357">
        <f t="shared" ca="1" si="133"/>
        <v>77.038569096884189</v>
      </c>
      <c r="O285" s="343"/>
      <c r="P285" s="363">
        <f t="shared" ca="1" si="134"/>
        <v>9</v>
      </c>
      <c r="Q285" s="357">
        <f t="shared" ca="1" si="135"/>
        <v>768.6250000000033</v>
      </c>
      <c r="R285" s="359">
        <f t="shared" ca="1" si="136"/>
        <v>0.38502905901894208</v>
      </c>
      <c r="S285" s="360">
        <f t="shared" ca="1" si="137"/>
        <v>10.169858065403888</v>
      </c>
      <c r="T285" s="357">
        <f t="shared" ca="1" si="117"/>
        <v>99.766307621612142</v>
      </c>
      <c r="U285" s="364">
        <f t="shared" ca="1" si="118"/>
        <v>0</v>
      </c>
      <c r="V285" s="359">
        <f t="shared" ca="1" si="119"/>
        <v>1.1885056158875487</v>
      </c>
      <c r="W285" s="357">
        <f t="shared" ca="1" si="120"/>
        <v>118.17169936397215</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302.41805838128278</v>
      </c>
      <c r="AF285" s="344"/>
      <c r="AG285" s="359">
        <f t="shared" ca="1" si="143"/>
        <v>54.456872309997962</v>
      </c>
      <c r="AH285" s="357">
        <f t="shared" ca="1" si="144"/>
        <v>64.017157842486071</v>
      </c>
    </row>
    <row r="286" spans="1:34" x14ac:dyDescent="0.25">
      <c r="A286" s="402">
        <f t="shared" ca="1" si="122"/>
        <v>0.01</v>
      </c>
      <c r="B286" s="357">
        <f t="shared" ca="1" si="123"/>
        <v>2.8199999999999839</v>
      </c>
      <c r="C286" s="342"/>
      <c r="D286" s="359">
        <f t="shared" ca="1" si="124"/>
        <v>14.305865057038492</v>
      </c>
      <c r="E286" s="360">
        <f t="shared" ca="1" si="125"/>
        <v>52.346372955826403</v>
      </c>
      <c r="F286" s="357">
        <f t="shared" ca="1" si="126"/>
        <v>54.266016406777723</v>
      </c>
      <c r="G286" s="359">
        <f t="shared" ca="1" si="127"/>
        <v>46.946289479552902</v>
      </c>
      <c r="H286" s="360">
        <f t="shared" ca="1" si="128"/>
        <v>203.8749604300379</v>
      </c>
      <c r="I286" s="357">
        <f t="shared" ca="1" si="129"/>
        <v>209.21030946453737</v>
      </c>
      <c r="J286" s="359">
        <f t="shared" ca="1" si="130"/>
        <v>65.860735496890243</v>
      </c>
      <c r="K286" s="360">
        <f t="shared" ca="1" si="131"/>
        <v>304.45419066693535</v>
      </c>
      <c r="L286" s="357">
        <f t="shared" ca="1" si="116"/>
        <v>311.4963734858722</v>
      </c>
      <c r="M286" s="359">
        <f t="shared" ca="1" si="132"/>
        <v>1.344471508415207</v>
      </c>
      <c r="N286" s="357">
        <f t="shared" ca="1" si="133"/>
        <v>77.032543107778906</v>
      </c>
      <c r="O286" s="343"/>
      <c r="P286" s="363">
        <f t="shared" ca="1" si="134"/>
        <v>9</v>
      </c>
      <c r="Q286" s="357">
        <f t="shared" ca="1" si="135"/>
        <v>766.57500000000334</v>
      </c>
      <c r="R286" s="359">
        <f t="shared" ca="1" si="136"/>
        <v>0.38400214788413795</v>
      </c>
      <c r="S286" s="360">
        <f t="shared" ca="1" si="137"/>
        <v>10.166018043925046</v>
      </c>
      <c r="T286" s="357">
        <f t="shared" ca="1" si="117"/>
        <v>99.728637010904706</v>
      </c>
      <c r="U286" s="364">
        <f t="shared" ca="1" si="118"/>
        <v>0</v>
      </c>
      <c r="V286" s="359">
        <f t="shared" ca="1" si="119"/>
        <v>1.1882635893518942</v>
      </c>
      <c r="W286" s="357">
        <f t="shared" ca="1" si="120"/>
        <v>118.76243575921598</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304.45419066693535</v>
      </c>
      <c r="AF286" s="344"/>
      <c r="AG286" s="359">
        <f t="shared" ca="1" si="143"/>
        <v>54.221389348751117</v>
      </c>
      <c r="AH286" s="357">
        <f t="shared" ca="1" si="144"/>
        <v>63.781443022669087</v>
      </c>
    </row>
    <row r="287" spans="1:34" x14ac:dyDescent="0.25">
      <c r="A287" s="402">
        <f t="shared" ca="1" si="122"/>
        <v>0.01</v>
      </c>
      <c r="B287" s="357">
        <f t="shared" ca="1" si="123"/>
        <v>2.8299999999999836</v>
      </c>
      <c r="C287" s="342"/>
      <c r="D287" s="359">
        <f t="shared" ca="1" si="124"/>
        <v>14.259484245736951</v>
      </c>
      <c r="E287" s="360">
        <f t="shared" ca="1" si="125"/>
        <v>52.115059862687509</v>
      </c>
      <c r="F287" s="357">
        <f t="shared" ca="1" si="126"/>
        <v>54.0306612530878</v>
      </c>
      <c r="G287" s="359">
        <f t="shared" ca="1" si="127"/>
        <v>47.088884322010273</v>
      </c>
      <c r="H287" s="360">
        <f t="shared" ca="1" si="128"/>
        <v>204.39611102866479</v>
      </c>
      <c r="I287" s="357">
        <f t="shared" ca="1" si="129"/>
        <v>209.75016860621096</v>
      </c>
      <c r="J287" s="359">
        <f t="shared" ca="1" si="130"/>
        <v>66.330911365898061</v>
      </c>
      <c r="K287" s="360">
        <f t="shared" ca="1" si="131"/>
        <v>306.49554602422887</v>
      </c>
      <c r="L287" s="357">
        <f t="shared" ca="1" si="116"/>
        <v>313.5909908388964</v>
      </c>
      <c r="M287" s="359">
        <f t="shared" ca="1" si="132"/>
        <v>1.3443665578262529</v>
      </c>
      <c r="N287" s="357">
        <f t="shared" ca="1" si="133"/>
        <v>77.026529881974426</v>
      </c>
      <c r="O287" s="343"/>
      <c r="P287" s="363">
        <f t="shared" ca="1" si="134"/>
        <v>9</v>
      </c>
      <c r="Q287" s="357">
        <f t="shared" ca="1" si="135"/>
        <v>764.52500000000339</v>
      </c>
      <c r="R287" s="359">
        <f t="shared" ca="1" si="136"/>
        <v>0.38297523674933381</v>
      </c>
      <c r="S287" s="360">
        <f t="shared" ca="1" si="137"/>
        <v>10.162188291557552</v>
      </c>
      <c r="T287" s="357">
        <f t="shared" ca="1" si="117"/>
        <v>99.691067140179584</v>
      </c>
      <c r="U287" s="364">
        <f t="shared" ca="1" si="118"/>
        <v>0</v>
      </c>
      <c r="V287" s="359">
        <f t="shared" ca="1" si="119"/>
        <v>1.1880209906944592</v>
      </c>
      <c r="W287" s="357">
        <f t="shared" ca="1" si="120"/>
        <v>119.35177823782846</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306.49554602422887</v>
      </c>
      <c r="AF287" s="344"/>
      <c r="AG287" s="359">
        <f t="shared" ca="1" si="143"/>
        <v>53.985798651373067</v>
      </c>
      <c r="AH287" s="357">
        <f t="shared" ca="1" si="144"/>
        <v>63.545620855821781</v>
      </c>
    </row>
    <row r="288" spans="1:34" x14ac:dyDescent="0.25">
      <c r="A288" s="402">
        <f t="shared" ca="1" si="122"/>
        <v>0.01</v>
      </c>
      <c r="B288" s="357">
        <f t="shared" ca="1" si="123"/>
        <v>2.8399999999999834</v>
      </c>
      <c r="C288" s="342"/>
      <c r="D288" s="359">
        <f t="shared" ca="1" si="124"/>
        <v>14.220834118096255</v>
      </c>
      <c r="E288" s="360">
        <f t="shared" ca="1" si="125"/>
        <v>51.917586694254858</v>
      </c>
      <c r="F288" s="357">
        <f t="shared" ca="1" si="126"/>
        <v>53.82999100101987</v>
      </c>
      <c r="G288" s="359">
        <f t="shared" ca="1" si="127"/>
        <v>47.231092663191234</v>
      </c>
      <c r="H288" s="360">
        <f t="shared" ca="1" si="128"/>
        <v>204.91528689560735</v>
      </c>
      <c r="I288" s="357">
        <f t="shared" ca="1" si="129"/>
        <v>210.28801895892221</v>
      </c>
      <c r="J288" s="359">
        <f t="shared" ca="1" si="130"/>
        <v>66.802511250824068</v>
      </c>
      <c r="K288" s="360">
        <f t="shared" ca="1" si="131"/>
        <v>308.54210301385024</v>
      </c>
      <c r="L288" s="357">
        <f t="shared" ca="1" si="116"/>
        <v>315.69099581968737</v>
      </c>
      <c r="M288" s="359">
        <f t="shared" ca="1" si="132"/>
        <v>1.3442618279571628</v>
      </c>
      <c r="N288" s="357">
        <f t="shared" ca="1" si="133"/>
        <v>77.020529302486594</v>
      </c>
      <c r="O288" s="343"/>
      <c r="P288" s="363">
        <f t="shared" ca="1" si="134"/>
        <v>10</v>
      </c>
      <c r="Q288" s="357">
        <f t="shared" ca="1" si="135"/>
        <v>762.8285714285737</v>
      </c>
      <c r="R288" s="359">
        <f t="shared" ca="1" si="136"/>
        <v>0.38212544094962603</v>
      </c>
      <c r="S288" s="360">
        <f t="shared" ca="1" si="137"/>
        <v>10.158367037148055</v>
      </c>
      <c r="T288" s="357">
        <f t="shared" ca="1" si="117"/>
        <v>99.653580634422426</v>
      </c>
      <c r="U288" s="364">
        <f t="shared" ca="1" si="118"/>
        <v>0</v>
      </c>
      <c r="V288" s="359">
        <f t="shared" ca="1" si="119"/>
        <v>1.1877778228220652</v>
      </c>
      <c r="W288" s="357">
        <f t="shared" ca="1" si="120"/>
        <v>119.94010214137018</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308.54210301385024</v>
      </c>
      <c r="AF288" s="344"/>
      <c r="AG288" s="359">
        <f t="shared" ca="1" si="143"/>
        <v>53.78491994554097</v>
      </c>
      <c r="AH288" s="357">
        <f t="shared" ca="1" si="144"/>
        <v>63.344511065372984</v>
      </c>
    </row>
    <row r="289" spans="1:34" x14ac:dyDescent="0.25">
      <c r="A289" s="402">
        <f t="shared" ca="1" si="122"/>
        <v>0.01</v>
      </c>
      <c r="B289" s="357">
        <f t="shared" ca="1" si="123"/>
        <v>2.8499999999999832</v>
      </c>
      <c r="C289" s="342"/>
      <c r="D289" s="359">
        <f t="shared" ca="1" si="124"/>
        <v>14.189928671728696</v>
      </c>
      <c r="E289" s="360">
        <f t="shared" ca="1" si="125"/>
        <v>51.753964347189083</v>
      </c>
      <c r="F289" s="357">
        <f t="shared" ca="1" si="126"/>
        <v>53.664018684392865</v>
      </c>
      <c r="G289" s="359">
        <f t="shared" ca="1" si="127"/>
        <v>47.372991949908524</v>
      </c>
      <c r="H289" s="360">
        <f t="shared" ca="1" si="128"/>
        <v>205.43282653907923</v>
      </c>
      <c r="I289" s="357">
        <f t="shared" ca="1" si="129"/>
        <v>210.82420778013494</v>
      </c>
      <c r="J289" s="359">
        <f t="shared" ca="1" si="130"/>
        <v>67.27553167388956</v>
      </c>
      <c r="K289" s="360">
        <f t="shared" ca="1" si="131"/>
        <v>310.59384358102369</v>
      </c>
      <c r="L289" s="357">
        <f t="shared" ca="1" si="116"/>
        <v>317.79637007435741</v>
      </c>
      <c r="M289" s="359">
        <f t="shared" ca="1" si="132"/>
        <v>1.3441573169593268</v>
      </c>
      <c r="N289" s="357">
        <f t="shared" ca="1" si="133"/>
        <v>77.014541263397902</v>
      </c>
      <c r="O289" s="343"/>
      <c r="P289" s="363">
        <f t="shared" ca="1" si="134"/>
        <v>10</v>
      </c>
      <c r="Q289" s="357">
        <f t="shared" ca="1" si="135"/>
        <v>761.48571428571654</v>
      </c>
      <c r="R289" s="359">
        <f t="shared" ca="1" si="136"/>
        <v>0.38145276048501564</v>
      </c>
      <c r="S289" s="360">
        <f t="shared" ca="1" si="137"/>
        <v>10.154552509543205</v>
      </c>
      <c r="T289" s="357">
        <f t="shared" ca="1" si="117"/>
        <v>99.616160118618851</v>
      </c>
      <c r="U289" s="364">
        <f t="shared" ca="1" si="118"/>
        <v>0</v>
      </c>
      <c r="V289" s="359">
        <f t="shared" ca="1" si="119"/>
        <v>1.1875340882381931</v>
      </c>
      <c r="W289" s="357">
        <f t="shared" ca="1" si="120"/>
        <v>120.52778675289237</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310.59384358102369</v>
      </c>
      <c r="AF289" s="344"/>
      <c r="AG289" s="359">
        <f t="shared" ca="1" si="143"/>
        <v>53.61876698439162</v>
      </c>
      <c r="AH289" s="357">
        <f t="shared" ca="1" si="144"/>
        <v>63.178127400633812</v>
      </c>
    </row>
    <row r="290" spans="1:34" x14ac:dyDescent="0.25">
      <c r="A290" s="402">
        <f t="shared" ca="1" si="122"/>
        <v>0.01</v>
      </c>
      <c r="B290" s="357">
        <f t="shared" ca="1" si="123"/>
        <v>2.859999999999983</v>
      </c>
      <c r="C290" s="342"/>
      <c r="D290" s="359">
        <f t="shared" ca="1" si="124"/>
        <v>14.158952340268364</v>
      </c>
      <c r="E290" s="360">
        <f t="shared" ca="1" si="125"/>
        <v>51.590251079118445</v>
      </c>
      <c r="F290" s="357">
        <f t="shared" ca="1" si="126"/>
        <v>53.497943304210054</v>
      </c>
      <c r="G290" s="359">
        <f t="shared" ca="1" si="127"/>
        <v>47.51458147331121</v>
      </c>
      <c r="H290" s="360">
        <f t="shared" ca="1" si="128"/>
        <v>205.94872904987042</v>
      </c>
      <c r="I290" s="357">
        <f t="shared" ca="1" si="129"/>
        <v>211.35873402781553</v>
      </c>
      <c r="J290" s="359">
        <f t="shared" ca="1" si="130"/>
        <v>67.749969541005655</v>
      </c>
      <c r="K290" s="360">
        <f t="shared" ca="1" si="131"/>
        <v>312.65075135896842</v>
      </c>
      <c r="L290" s="357">
        <f t="shared" ca="1" si="116"/>
        <v>319.90709697994305</v>
      </c>
      <c r="M290" s="359">
        <f t="shared" ca="1" si="132"/>
        <v>1.3440530230020087</v>
      </c>
      <c r="N290" s="357">
        <f t="shared" ca="1" si="133"/>
        <v>77.008565659814849</v>
      </c>
      <c r="O290" s="343"/>
      <c r="P290" s="363">
        <f t="shared" ca="1" si="134"/>
        <v>10</v>
      </c>
      <c r="Q290" s="357">
        <f t="shared" ca="1" si="135"/>
        <v>760.14285714285938</v>
      </c>
      <c r="R290" s="359">
        <f t="shared" ca="1" si="136"/>
        <v>0.38078008002040525</v>
      </c>
      <c r="S290" s="360">
        <f t="shared" ca="1" si="137"/>
        <v>10.150744708743</v>
      </c>
      <c r="T290" s="357">
        <f t="shared" ca="1" si="117"/>
        <v>99.57880559276883</v>
      </c>
      <c r="U290" s="364">
        <f t="shared" ca="1" si="118"/>
        <v>0</v>
      </c>
      <c r="V290" s="359">
        <f t="shared" ca="1" si="119"/>
        <v>1.1872897892448517</v>
      </c>
      <c r="W290" s="357">
        <f t="shared" ca="1" si="120"/>
        <v>121.11481594792474</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312.65075135896842</v>
      </c>
      <c r="AF290" s="344"/>
      <c r="AG290" s="359">
        <f t="shared" ca="1" si="143"/>
        <v>53.452509818185085</v>
      </c>
      <c r="AH290" s="357">
        <f t="shared" ca="1" si="144"/>
        <v>63.011639908454825</v>
      </c>
    </row>
    <row r="291" spans="1:34" x14ac:dyDescent="0.25">
      <c r="A291" s="402">
        <f t="shared" ca="1" si="122"/>
        <v>0.01</v>
      </c>
      <c r="B291" s="357">
        <f t="shared" ca="1" si="123"/>
        <v>2.8699999999999828</v>
      </c>
      <c r="C291" s="342"/>
      <c r="D291" s="359">
        <f t="shared" ca="1" si="124"/>
        <v>14.127905718149817</v>
      </c>
      <c r="E291" s="360">
        <f t="shared" ca="1" si="125"/>
        <v>51.426448613646727</v>
      </c>
      <c r="F291" s="357">
        <f t="shared" ca="1" si="126"/>
        <v>53.331766677965746</v>
      </c>
      <c r="G291" s="359">
        <f t="shared" ca="1" si="127"/>
        <v>47.65586053049271</v>
      </c>
      <c r="H291" s="360">
        <f t="shared" ca="1" si="128"/>
        <v>206.46299353600688</v>
      </c>
      <c r="I291" s="357">
        <f t="shared" ca="1" si="129"/>
        <v>211.89159667799709</v>
      </c>
      <c r="J291" s="359">
        <f t="shared" ca="1" si="130"/>
        <v>68.225821751024668</v>
      </c>
      <c r="K291" s="360">
        <f t="shared" ca="1" si="131"/>
        <v>314.7128099718978</v>
      </c>
      <c r="L291" s="357">
        <f t="shared" ca="1" si="116"/>
        <v>322.02315990315117</v>
      </c>
      <c r="M291" s="359">
        <f t="shared" ca="1" si="132"/>
        <v>1.3439489442721</v>
      </c>
      <c r="N291" s="357">
        <f t="shared" ca="1" si="133"/>
        <v>77.002602387853997</v>
      </c>
      <c r="O291" s="343"/>
      <c r="P291" s="363">
        <f t="shared" ca="1" si="134"/>
        <v>10</v>
      </c>
      <c r="Q291" s="357">
        <f t="shared" ca="1" si="135"/>
        <v>758.80000000000234</v>
      </c>
      <c r="R291" s="359">
        <f t="shared" ca="1" si="136"/>
        <v>0.38010739955579492</v>
      </c>
      <c r="S291" s="360">
        <f t="shared" ca="1" si="137"/>
        <v>10.146943634747442</v>
      </c>
      <c r="T291" s="357">
        <f t="shared" ca="1" si="117"/>
        <v>99.541517056872422</v>
      </c>
      <c r="U291" s="364">
        <f t="shared" ca="1" si="118"/>
        <v>0</v>
      </c>
      <c r="V291" s="359">
        <f t="shared" ca="1" si="119"/>
        <v>1.1870449281442628</v>
      </c>
      <c r="W291" s="357">
        <f t="shared" ca="1" si="120"/>
        <v>121.70117367426073</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314.7128099718978</v>
      </c>
      <c r="AF291" s="344"/>
      <c r="AG291" s="359">
        <f t="shared" ca="1" si="143"/>
        <v>53.286150253621031</v>
      </c>
      <c r="AH291" s="357">
        <f t="shared" ca="1" si="144"/>
        <v>62.845050392156793</v>
      </c>
    </row>
    <row r="292" spans="1:34" x14ac:dyDescent="0.25">
      <c r="A292" s="402">
        <f t="shared" ca="1" si="122"/>
        <v>0.01</v>
      </c>
      <c r="B292" s="357">
        <f t="shared" ca="1" si="123"/>
        <v>2.8799999999999826</v>
      </c>
      <c r="C292" s="342"/>
      <c r="D292" s="359">
        <f t="shared" ca="1" si="124"/>
        <v>14.096789397483528</v>
      </c>
      <c r="E292" s="360">
        <f t="shared" ca="1" si="125"/>
        <v>51.262558670697466</v>
      </c>
      <c r="F292" s="357">
        <f t="shared" ca="1" si="126"/>
        <v>53.165490619232543</v>
      </c>
      <c r="G292" s="359">
        <f t="shared" ca="1" si="127"/>
        <v>47.796828424467542</v>
      </c>
      <c r="H292" s="360">
        <f t="shared" ca="1" si="128"/>
        <v>206.97561912271385</v>
      </c>
      <c r="I292" s="357">
        <f t="shared" ca="1" si="129"/>
        <v>212.42279472473922</v>
      </c>
      <c r="J292" s="359">
        <f t="shared" ca="1" si="130"/>
        <v>68.703085195799474</v>
      </c>
      <c r="K292" s="360">
        <f t="shared" ca="1" si="131"/>
        <v>316.78000303519138</v>
      </c>
      <c r="L292" s="357">
        <f t="shared" ca="1" si="116"/>
        <v>324.14454220053921</v>
      </c>
      <c r="M292" s="359">
        <f t="shared" ca="1" si="132"/>
        <v>1.3438450789738801</v>
      </c>
      <c r="N292" s="357">
        <f t="shared" ca="1" si="133"/>
        <v>76.996651344628134</v>
      </c>
      <c r="O292" s="343"/>
      <c r="P292" s="363">
        <f t="shared" ca="1" si="134"/>
        <v>10</v>
      </c>
      <c r="Q292" s="357">
        <f t="shared" ca="1" si="135"/>
        <v>757.45714285714519</v>
      </c>
      <c r="R292" s="359">
        <f t="shared" ca="1" si="136"/>
        <v>0.37943471909118454</v>
      </c>
      <c r="S292" s="360">
        <f t="shared" ca="1" si="137"/>
        <v>10.143149287556531</v>
      </c>
      <c r="T292" s="357">
        <f t="shared" ca="1" si="117"/>
        <v>99.504294510929569</v>
      </c>
      <c r="U292" s="364">
        <f t="shared" ca="1" si="118"/>
        <v>0</v>
      </c>
      <c r="V292" s="359">
        <f t="shared" ca="1" si="119"/>
        <v>1.1867995072388307</v>
      </c>
      <c r="W292" s="357">
        <f t="shared" ca="1" si="120"/>
        <v>122.28684395227482</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316.78000303519138</v>
      </c>
      <c r="AF292" s="344"/>
      <c r="AG292" s="359">
        <f t="shared" ca="1" si="143"/>
        <v>53.119690093355999</v>
      </c>
      <c r="AH292" s="357">
        <f t="shared" ca="1" si="144"/>
        <v>62.678360651047569</v>
      </c>
    </row>
    <row r="293" spans="1:34" x14ac:dyDescent="0.25">
      <c r="A293" s="402">
        <f t="shared" ca="1" si="122"/>
        <v>0.01</v>
      </c>
      <c r="B293" s="357">
        <f t="shared" ca="1" si="123"/>
        <v>2.8899999999999824</v>
      </c>
      <c r="C293" s="342"/>
      <c r="D293" s="359">
        <f t="shared" ca="1" si="124"/>
        <v>14.06560396806608</v>
      </c>
      <c r="E293" s="360">
        <f t="shared" ca="1" si="125"/>
        <v>51.098582966460881</v>
      </c>
      <c r="F293" s="357">
        <f t="shared" ca="1" si="126"/>
        <v>52.999116937612861</v>
      </c>
      <c r="G293" s="359">
        <f t="shared" ca="1" si="127"/>
        <v>47.937484464148206</v>
      </c>
      <c r="H293" s="360">
        <f t="shared" ca="1" si="128"/>
        <v>207.48660495237846</v>
      </c>
      <c r="I293" s="357">
        <f t="shared" ca="1" si="129"/>
        <v>212.95232718008697</v>
      </c>
      <c r="J293" s="359">
        <f t="shared" ca="1" si="130"/>
        <v>69.18175676024255</v>
      </c>
      <c r="K293" s="360">
        <f t="shared" ca="1" si="131"/>
        <v>318.85231415556683</v>
      </c>
      <c r="L293" s="357">
        <f t="shared" ca="1" si="116"/>
        <v>326.27122721869551</v>
      </c>
      <c r="M293" s="359">
        <f t="shared" ca="1" si="132"/>
        <v>1.3437414253287774</v>
      </c>
      <c r="N293" s="357">
        <f t="shared" ca="1" si="133"/>
        <v>76.990712428232598</v>
      </c>
      <c r="O293" s="343"/>
      <c r="P293" s="363">
        <f t="shared" ca="1" si="134"/>
        <v>10</v>
      </c>
      <c r="Q293" s="357">
        <f t="shared" ca="1" si="135"/>
        <v>756.11428571428803</v>
      </c>
      <c r="R293" s="359">
        <f t="shared" ca="1" si="136"/>
        <v>0.37876203862657415</v>
      </c>
      <c r="S293" s="360">
        <f t="shared" ca="1" si="137"/>
        <v>10.139361667170265</v>
      </c>
      <c r="T293" s="357">
        <f t="shared" ca="1" si="117"/>
        <v>99.467137954940299</v>
      </c>
      <c r="U293" s="364">
        <f t="shared" ca="1" si="118"/>
        <v>0</v>
      </c>
      <c r="V293" s="359">
        <f t="shared" ca="1" si="119"/>
        <v>1.1865535288311091</v>
      </c>
      <c r="W293" s="357">
        <f t="shared" ca="1" si="120"/>
        <v>122.87181087523388</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318.85231415556683</v>
      </c>
      <c r="AF293" s="344"/>
      <c r="AG293" s="359">
        <f t="shared" ca="1" si="143"/>
        <v>52.953131135953114</v>
      </c>
      <c r="AH293" s="357">
        <f t="shared" ca="1" si="144"/>
        <v>62.511572480371385</v>
      </c>
    </row>
    <row r="294" spans="1:34" x14ac:dyDescent="0.25">
      <c r="A294" s="402">
        <f t="shared" ca="1" si="122"/>
        <v>0.01</v>
      </c>
      <c r="B294" s="357">
        <f t="shared" ca="1" si="123"/>
        <v>2.8999999999999821</v>
      </c>
      <c r="C294" s="342"/>
      <c r="D294" s="359">
        <f t="shared" ca="1" si="124"/>
        <v>14.034350017390164</v>
      </c>
      <c r="E294" s="360">
        <f t="shared" ca="1" si="125"/>
        <v>50.934523213341272</v>
      </c>
      <c r="F294" s="357">
        <f t="shared" ca="1" si="126"/>
        <v>52.832647438690977</v>
      </c>
      <c r="G294" s="359">
        <f t="shared" ca="1" si="127"/>
        <v>48.077827964322104</v>
      </c>
      <c r="H294" s="360">
        <f t="shared" ca="1" si="128"/>
        <v>207.99595018451188</v>
      </c>
      <c r="I294" s="357">
        <f t="shared" ca="1" si="129"/>
        <v>213.48019307402947</v>
      </c>
      <c r="J294" s="359">
        <f t="shared" ca="1" si="130"/>
        <v>69.661833322384908</v>
      </c>
      <c r="K294" s="360">
        <f t="shared" ca="1" si="131"/>
        <v>320.92972693125131</v>
      </c>
      <c r="L294" s="357">
        <f t="shared" ca="1" si="116"/>
        <v>328.40319829441864</v>
      </c>
      <c r="M294" s="359">
        <f t="shared" ca="1" si="132"/>
        <v>1.3436379815751371</v>
      </c>
      <c r="N294" s="357">
        <f t="shared" ca="1" si="133"/>
        <v>76.984785537732023</v>
      </c>
      <c r="O294" s="343"/>
      <c r="P294" s="363">
        <f t="shared" ca="1" si="134"/>
        <v>10</v>
      </c>
      <c r="Q294" s="357">
        <f t="shared" ca="1" si="135"/>
        <v>754.77142857143099</v>
      </c>
      <c r="R294" s="359">
        <f t="shared" ca="1" si="136"/>
        <v>0.37808935816196387</v>
      </c>
      <c r="S294" s="360">
        <f t="shared" ca="1" si="137"/>
        <v>10.135580773588645</v>
      </c>
      <c r="T294" s="357">
        <f t="shared" ca="1" si="117"/>
        <v>99.430047388904612</v>
      </c>
      <c r="U294" s="364">
        <f t="shared" ca="1" si="118"/>
        <v>0</v>
      </c>
      <c r="V294" s="359">
        <f t="shared" ca="1" si="119"/>
        <v>1.186306995223771</v>
      </c>
      <c r="W294" s="357">
        <f t="shared" ca="1" si="120"/>
        <v>123.45605860960414</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320.92972693125131</v>
      </c>
      <c r="AF294" s="344"/>
      <c r="AG294" s="359">
        <f t="shared" ca="1" si="143"/>
        <v>52.786475175832166</v>
      </c>
      <c r="AH294" s="357">
        <f t="shared" ca="1" si="144"/>
        <v>62.344687671258541</v>
      </c>
    </row>
    <row r="295" spans="1:34" x14ac:dyDescent="0.25">
      <c r="A295" s="402">
        <f t="shared" ca="1" si="122"/>
        <v>0.01</v>
      </c>
      <c r="B295" s="357">
        <f t="shared" ca="1" si="123"/>
        <v>2.9099999999999819</v>
      </c>
      <c r="C295" s="342"/>
      <c r="D295" s="359">
        <f t="shared" ca="1" si="124"/>
        <v>14.003028130654148</v>
      </c>
      <c r="E295" s="360">
        <f t="shared" ca="1" si="125"/>
        <v>50.770381119904968</v>
      </c>
      <c r="F295" s="357">
        <f t="shared" ca="1" si="126"/>
        <v>52.666083923985596</v>
      </c>
      <c r="G295" s="359">
        <f t="shared" ca="1" si="127"/>
        <v>48.217858245628648</v>
      </c>
      <c r="H295" s="360">
        <f t="shared" ca="1" si="128"/>
        <v>208.50365399571092</v>
      </c>
      <c r="I295" s="357">
        <f t="shared" ca="1" si="129"/>
        <v>214.00639145445791</v>
      </c>
      <c r="J295" s="359">
        <f t="shared" ca="1" si="130"/>
        <v>70.143311753434659</v>
      </c>
      <c r="K295" s="360">
        <f t="shared" ca="1" si="131"/>
        <v>323.01222495215245</v>
      </c>
      <c r="L295" s="357">
        <f t="shared" ca="1" si="116"/>
        <v>330.54043875489646</v>
      </c>
      <c r="M295" s="359">
        <f t="shared" ca="1" si="132"/>
        <v>1.3435347459679912</v>
      </c>
      <c r="N295" s="357">
        <f t="shared" ca="1" si="133"/>
        <v>76.978870573147091</v>
      </c>
      <c r="O295" s="343"/>
      <c r="P295" s="363">
        <f t="shared" ca="1" si="134"/>
        <v>10</v>
      </c>
      <c r="Q295" s="357">
        <f t="shared" ca="1" si="135"/>
        <v>753.42857142857383</v>
      </c>
      <c r="R295" s="359">
        <f t="shared" ca="1" si="136"/>
        <v>0.37741667769735349</v>
      </c>
      <c r="S295" s="360">
        <f t="shared" ca="1" si="137"/>
        <v>10.13180660681167</v>
      </c>
      <c r="T295" s="357">
        <f t="shared" ca="1" si="117"/>
        <v>99.393022812822494</v>
      </c>
      <c r="U295" s="364">
        <f t="shared" ca="1" si="118"/>
        <v>0</v>
      </c>
      <c r="V295" s="359">
        <f t="shared" ca="1" si="119"/>
        <v>1.186059908719578</v>
      </c>
      <c r="W295" s="357">
        <f t="shared" ca="1" si="120"/>
        <v>124.03957139535262</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323.01222495215245</v>
      </c>
      <c r="AF295" s="344"/>
      <c r="AG295" s="359">
        <f t="shared" ca="1" si="143"/>
        <v>52.619724003220185</v>
      </c>
      <c r="AH295" s="357">
        <f t="shared" ca="1" si="144"/>
        <v>62.177708010675573</v>
      </c>
    </row>
    <row r="296" spans="1:34" x14ac:dyDescent="0.25">
      <c r="A296" s="402">
        <f t="shared" ca="1" si="122"/>
        <v>0.01</v>
      </c>
      <c r="B296" s="357">
        <f t="shared" ca="1" si="123"/>
        <v>2.9199999999999817</v>
      </c>
      <c r="C296" s="342"/>
      <c r="D296" s="359">
        <f t="shared" ca="1" si="124"/>
        <v>13.971638890771438</v>
      </c>
      <c r="E296" s="360">
        <f t="shared" ca="1" si="125"/>
        <v>50.606158390828661</v>
      </c>
      <c r="F296" s="357">
        <f t="shared" ca="1" si="126"/>
        <v>52.499428190902755</v>
      </c>
      <c r="G296" s="359">
        <f t="shared" ca="1" si="127"/>
        <v>48.357574634536363</v>
      </c>
      <c r="H296" s="360">
        <f t="shared" ca="1" si="128"/>
        <v>209.00971557961921</v>
      </c>
      <c r="I296" s="357">
        <f t="shared" ca="1" si="129"/>
        <v>214.5309213871233</v>
      </c>
      <c r="J296" s="359">
        <f t="shared" ca="1" si="130"/>
        <v>70.626188917835478</v>
      </c>
      <c r="K296" s="360">
        <f t="shared" ca="1" si="131"/>
        <v>325.0997918000291</v>
      </c>
      <c r="L296" s="357">
        <f t="shared" ca="1" si="116"/>
        <v>332.6829319178849</v>
      </c>
      <c r="M296" s="359">
        <f t="shared" ca="1" si="132"/>
        <v>1.3434317167788332</v>
      </c>
      <c r="N296" s="357">
        <f t="shared" ca="1" si="133"/>
        <v>76.972967435441689</v>
      </c>
      <c r="O296" s="343"/>
      <c r="P296" s="363">
        <f t="shared" ca="1" si="134"/>
        <v>10</v>
      </c>
      <c r="Q296" s="357">
        <f t="shared" ca="1" si="135"/>
        <v>752.08571428571679</v>
      </c>
      <c r="R296" s="359">
        <f t="shared" ca="1" si="136"/>
        <v>0.37674399723274316</v>
      </c>
      <c r="S296" s="360">
        <f t="shared" ca="1" si="137"/>
        <v>10.128039166839343</v>
      </c>
      <c r="T296" s="357">
        <f t="shared" ca="1" si="117"/>
        <v>99.35606422669396</v>
      </c>
      <c r="U296" s="364">
        <f t="shared" ca="1" si="118"/>
        <v>0</v>
      </c>
      <c r="V296" s="359">
        <f t="shared" ca="1" si="119"/>
        <v>1.1858122716213475</v>
      </c>
      <c r="W296" s="357">
        <f t="shared" ca="1" si="120"/>
        <v>124.62233354624368</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325.0997918000291</v>
      </c>
      <c r="AF296" s="344"/>
      <c r="AG296" s="359">
        <f t="shared" ca="1" si="143"/>
        <v>52.452879404102404</v>
      </c>
      <c r="AH296" s="357">
        <f t="shared" ca="1" si="144"/>
        <v>62.010635281375841</v>
      </c>
    </row>
    <row r="297" spans="1:34" x14ac:dyDescent="0.25">
      <c r="A297" s="402">
        <f t="shared" ca="1" si="122"/>
        <v>0.01</v>
      </c>
      <c r="B297" s="357">
        <f t="shared" ca="1" si="123"/>
        <v>2.9299999999999815</v>
      </c>
      <c r="C297" s="342"/>
      <c r="D297" s="359">
        <f t="shared" ca="1" si="124"/>
        <v>13.94018287837944</v>
      </c>
      <c r="E297" s="360">
        <f t="shared" ca="1" si="125"/>
        <v>50.441856726848414</v>
      </c>
      <c r="F297" s="357">
        <f t="shared" ca="1" si="126"/>
        <v>52.332682032689341</v>
      </c>
      <c r="G297" s="359">
        <f t="shared" ca="1" si="127"/>
        <v>48.496976463320159</v>
      </c>
      <c r="H297" s="360">
        <f t="shared" ca="1" si="128"/>
        <v>209.5141341468877</v>
      </c>
      <c r="I297" s="357">
        <f t="shared" ca="1" si="129"/>
        <v>215.05378195559334</v>
      </c>
      <c r="J297" s="359">
        <f t="shared" ca="1" si="130"/>
        <v>71.110461673324764</v>
      </c>
      <c r="K297" s="360">
        <f t="shared" ca="1" si="131"/>
        <v>327.19241104866165</v>
      </c>
      <c r="L297" s="357">
        <f t="shared" ca="1" si="116"/>
        <v>334.8306610918865</v>
      </c>
      <c r="M297" s="359">
        <f t="shared" ca="1" si="132"/>
        <v>1.3433288922953963</v>
      </c>
      <c r="N297" s="357">
        <f t="shared" ca="1" si="133"/>
        <v>76.967076026510142</v>
      </c>
      <c r="O297" s="343"/>
      <c r="P297" s="363">
        <f t="shared" ca="1" si="134"/>
        <v>10</v>
      </c>
      <c r="Q297" s="357">
        <f t="shared" ca="1" si="135"/>
        <v>750.74285714285963</v>
      </c>
      <c r="R297" s="359">
        <f t="shared" ca="1" si="136"/>
        <v>0.37607131676813277</v>
      </c>
      <c r="S297" s="360">
        <f t="shared" ca="1" si="137"/>
        <v>10.124278453671662</v>
      </c>
      <c r="T297" s="357">
        <f t="shared" ca="1" si="117"/>
        <v>99.319171630519008</v>
      </c>
      <c r="U297" s="364">
        <f t="shared" ca="1" si="118"/>
        <v>0</v>
      </c>
      <c r="V297" s="359">
        <f t="shared" ca="1" si="119"/>
        <v>1.1855640862319232</v>
      </c>
      <c r="W297" s="357">
        <f t="shared" ca="1" si="120"/>
        <v>125.2043294501301</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327.19241104866165</v>
      </c>
      <c r="AF297" s="344"/>
      <c r="AG297" s="359">
        <f t="shared" ca="1" si="143"/>
        <v>52.285943160173652</v>
      </c>
      <c r="AH297" s="357">
        <f t="shared" ca="1" si="144"/>
        <v>61.843471261850532</v>
      </c>
    </row>
    <row r="298" spans="1:34" x14ac:dyDescent="0.25">
      <c r="A298" s="402">
        <f t="shared" ca="1" si="122"/>
        <v>0.01</v>
      </c>
      <c r="B298" s="357">
        <f t="shared" ca="1" si="123"/>
        <v>2.9399999999999813</v>
      </c>
      <c r="C298" s="342"/>
      <c r="D298" s="359">
        <f t="shared" ca="1" si="124"/>
        <v>13.908660671848377</v>
      </c>
      <c r="E298" s="360">
        <f t="shared" ca="1" si="125"/>
        <v>50.277477824708974</v>
      </c>
      <c r="F298" s="357">
        <f t="shared" ca="1" si="126"/>
        <v>52.165847238386959</v>
      </c>
      <c r="G298" s="359">
        <f t="shared" ca="1" si="127"/>
        <v>48.636063070038645</v>
      </c>
      <c r="H298" s="360">
        <f t="shared" ca="1" si="128"/>
        <v>210.0169089251348</v>
      </c>
      <c r="I298" s="357">
        <f t="shared" ca="1" si="129"/>
        <v>215.57497226120924</v>
      </c>
      <c r="J298" s="359">
        <f t="shared" ca="1" si="130"/>
        <v>71.596126870991554</v>
      </c>
      <c r="K298" s="360">
        <f t="shared" ca="1" si="131"/>
        <v>329.29006626402179</v>
      </c>
      <c r="L298" s="357">
        <f t="shared" ca="1" si="116"/>
        <v>336.98360957632786</v>
      </c>
      <c r="M298" s="359">
        <f t="shared" ca="1" si="132"/>
        <v>1.3432262708214349</v>
      </c>
      <c r="N298" s="357">
        <f t="shared" ca="1" si="133"/>
        <v>76.961196249164729</v>
      </c>
      <c r="O298" s="343"/>
      <c r="P298" s="363">
        <f t="shared" ca="1" si="134"/>
        <v>10</v>
      </c>
      <c r="Q298" s="357">
        <f t="shared" ca="1" si="135"/>
        <v>749.40000000000248</v>
      </c>
      <c r="R298" s="359">
        <f t="shared" ca="1" si="136"/>
        <v>0.37539863630352238</v>
      </c>
      <c r="S298" s="360">
        <f t="shared" ca="1" si="137"/>
        <v>10.120524467308627</v>
      </c>
      <c r="T298" s="357">
        <f t="shared" ca="1" si="117"/>
        <v>99.282345024297641</v>
      </c>
      <c r="U298" s="364">
        <f t="shared" ca="1" si="118"/>
        <v>0</v>
      </c>
      <c r="V298" s="359">
        <f t="shared" ca="1" si="119"/>
        <v>1.1853153548541449</v>
      </c>
      <c r="W298" s="357">
        <f t="shared" ca="1" si="120"/>
        <v>125.78554356923991</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329.29006626402179</v>
      </c>
      <c r="AF298" s="344"/>
      <c r="AG298" s="359">
        <f t="shared" ca="1" si="143"/>
        <v>52.118917048790209</v>
      </c>
      <c r="AH298" s="357">
        <f t="shared" ca="1" si="144"/>
        <v>61.676217726280157</v>
      </c>
    </row>
    <row r="299" spans="1:34" x14ac:dyDescent="0.25">
      <c r="A299" s="402">
        <f t="shared" ca="1" si="122"/>
        <v>0.01</v>
      </c>
      <c r="B299" s="357">
        <f t="shared" ca="1" si="123"/>
        <v>2.9499999999999811</v>
      </c>
      <c r="C299" s="342"/>
      <c r="D299" s="359">
        <f t="shared" ca="1" si="124"/>
        <v>13.877072847289694</v>
      </c>
      <c r="E299" s="360">
        <f t="shared" ca="1" si="125"/>
        <v>50.113023377113642</v>
      </c>
      <c r="F299" s="357">
        <f t="shared" ca="1" si="126"/>
        <v>51.998925592786271</v>
      </c>
      <c r="G299" s="359">
        <f t="shared" ca="1" si="127"/>
        <v>48.774833798511544</v>
      </c>
      <c r="H299" s="360">
        <f t="shared" ca="1" si="128"/>
        <v>210.51803915890594</v>
      </c>
      <c r="I299" s="357">
        <f t="shared" ca="1" si="129"/>
        <v>216.09449142304177</v>
      </c>
      <c r="J299" s="359">
        <f t="shared" ca="1" si="130"/>
        <v>72.083181355334304</v>
      </c>
      <c r="K299" s="360">
        <f t="shared" ca="1" si="131"/>
        <v>331.39274100444197</v>
      </c>
      <c r="L299" s="357">
        <f t="shared" ca="1" si="116"/>
        <v>339.14176066173741</v>
      </c>
      <c r="M299" s="359">
        <f t="shared" ca="1" si="132"/>
        <v>1.3431238506765111</v>
      </c>
      <c r="N299" s="357">
        <f t="shared" ca="1" si="133"/>
        <v>76.955328007123484</v>
      </c>
      <c r="O299" s="343"/>
      <c r="P299" s="363">
        <f t="shared" ca="1" si="134"/>
        <v>10</v>
      </c>
      <c r="Q299" s="357">
        <f t="shared" ca="1" si="135"/>
        <v>748.05714285714544</v>
      </c>
      <c r="R299" s="359">
        <f t="shared" ca="1" si="136"/>
        <v>0.37472595583891205</v>
      </c>
      <c r="S299" s="360">
        <f t="shared" ca="1" si="137"/>
        <v>10.116777207750237</v>
      </c>
      <c r="T299" s="357">
        <f t="shared" ca="1" si="117"/>
        <v>99.245584408029828</v>
      </c>
      <c r="U299" s="364">
        <f t="shared" ca="1" si="118"/>
        <v>0</v>
      </c>
      <c r="V299" s="359">
        <f t="shared" ca="1" si="119"/>
        <v>1.1850660797908148</v>
      </c>
      <c r="W299" s="357">
        <f t="shared" ca="1" si="120"/>
        <v>126.36596044045696</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331.39274100444197</v>
      </c>
      <c r="AF299" s="344"/>
      <c r="AG299" s="359">
        <f t="shared" ca="1" si="143"/>
        <v>51.951802842922035</v>
      </c>
      <c r="AH299" s="357">
        <f t="shared" ca="1" si="144"/>
        <v>61.508876444486397</v>
      </c>
    </row>
    <row r="300" spans="1:34" x14ac:dyDescent="0.25">
      <c r="A300" s="402">
        <f t="shared" ca="1" si="122"/>
        <v>0.01</v>
      </c>
      <c r="B300" s="357">
        <f t="shared" ca="1" si="123"/>
        <v>2.9599999999999809</v>
      </c>
      <c r="C300" s="342"/>
      <c r="D300" s="359">
        <f t="shared" ca="1" si="124"/>
        <v>13.845419978564221</v>
      </c>
      <c r="E300" s="360">
        <f t="shared" ca="1" si="125"/>
        <v>49.948495072674724</v>
      </c>
      <c r="F300" s="357">
        <f t="shared" ca="1" si="126"/>
        <v>51.83191887638192</v>
      </c>
      <c r="G300" s="359">
        <f t="shared" ca="1" si="127"/>
        <v>48.913287998297186</v>
      </c>
      <c r="H300" s="360">
        <f t="shared" ca="1" si="128"/>
        <v>211.01752410963269</v>
      </c>
      <c r="I300" s="357">
        <f t="shared" ca="1" si="129"/>
        <v>216.61233857784688</v>
      </c>
      <c r="J300" s="359">
        <f t="shared" ca="1" si="130"/>
        <v>72.571621964318354</v>
      </c>
      <c r="K300" s="360">
        <f t="shared" ca="1" si="131"/>
        <v>333.50041882078466</v>
      </c>
      <c r="L300" s="357">
        <f t="shared" ca="1" si="116"/>
        <v>341.30509762992216</v>
      </c>
      <c r="M300" s="359">
        <f t="shared" ca="1" si="132"/>
        <v>1.3430216301957825</v>
      </c>
      <c r="N300" s="357">
        <f t="shared" ca="1" si="133"/>
        <v>76.949471204997934</v>
      </c>
      <c r="O300" s="343"/>
      <c r="P300" s="363">
        <f t="shared" ca="1" si="134"/>
        <v>10</v>
      </c>
      <c r="Q300" s="357">
        <f t="shared" ca="1" si="135"/>
        <v>746.71428571428828</v>
      </c>
      <c r="R300" s="359">
        <f t="shared" ca="1" si="136"/>
        <v>0.37405327537430166</v>
      </c>
      <c r="S300" s="360">
        <f t="shared" ca="1" si="137"/>
        <v>10.113036674996494</v>
      </c>
      <c r="T300" s="357">
        <f t="shared" ca="1" si="117"/>
        <v>99.208889781715612</v>
      </c>
      <c r="U300" s="364">
        <f t="shared" ca="1" si="118"/>
        <v>0</v>
      </c>
      <c r="V300" s="359">
        <f t="shared" ca="1" si="119"/>
        <v>1.1848162633446706</v>
      </c>
      <c r="W300" s="357">
        <f t="shared" ca="1" si="120"/>
        <v>126.9455646755975</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333.50041882078466</v>
      </c>
      <c r="AF300" s="344"/>
      <c r="AG300" s="359">
        <f t="shared" ca="1" si="143"/>
        <v>51.784602311105516</v>
      </c>
      <c r="AH300" s="357">
        <f t="shared" ca="1" si="144"/>
        <v>61.341449181884471</v>
      </c>
    </row>
    <row r="301" spans="1:34" x14ac:dyDescent="0.25">
      <c r="A301" s="402">
        <f t="shared" ca="1" si="122"/>
        <v>0.01</v>
      </c>
      <c r="B301" s="357">
        <f t="shared" ca="1" si="123"/>
        <v>2.9699999999999807</v>
      </c>
      <c r="C301" s="342"/>
      <c r="D301" s="359">
        <f t="shared" ca="1" si="124"/>
        <v>13.813702637290172</v>
      </c>
      <c r="E301" s="360">
        <f t="shared" ca="1" si="125"/>
        <v>49.783894595864275</v>
      </c>
      <c r="F301" s="357">
        <f t="shared" ca="1" si="126"/>
        <v>51.664828865327728</v>
      </c>
      <c r="G301" s="359">
        <f t="shared" ca="1" si="127"/>
        <v>49.051425024670088</v>
      </c>
      <c r="H301" s="360">
        <f t="shared" ca="1" si="128"/>
        <v>211.51536305559134</v>
      </c>
      <c r="I301" s="357">
        <f t="shared" ca="1" si="129"/>
        <v>217.12851288002099</v>
      </c>
      <c r="J301" s="359">
        <f t="shared" ca="1" si="130"/>
        <v>73.061445529433186</v>
      </c>
      <c r="K301" s="360">
        <f t="shared" ca="1" si="131"/>
        <v>335.61308325661076</v>
      </c>
      <c r="L301" s="357">
        <f t="shared" ca="1" si="116"/>
        <v>343.47360375414451</v>
      </c>
      <c r="M301" s="359">
        <f t="shared" ca="1" si="132"/>
        <v>1.3429196077297951</v>
      </c>
      <c r="N301" s="357">
        <f t="shared" ca="1" si="133"/>
        <v>76.943625748281349</v>
      </c>
      <c r="O301" s="343"/>
      <c r="P301" s="363">
        <f t="shared" ca="1" si="134"/>
        <v>10</v>
      </c>
      <c r="Q301" s="357">
        <f t="shared" ca="1" si="135"/>
        <v>745.37142857143112</v>
      </c>
      <c r="R301" s="359">
        <f t="shared" ca="1" si="136"/>
        <v>0.37338059490969128</v>
      </c>
      <c r="S301" s="360">
        <f t="shared" ca="1" si="137"/>
        <v>10.109302869047397</v>
      </c>
      <c r="T301" s="357">
        <f t="shared" ca="1" si="117"/>
        <v>99.172261145354966</v>
      </c>
      <c r="U301" s="364">
        <f t="shared" ca="1" si="118"/>
        <v>0</v>
      </c>
      <c r="V301" s="359">
        <f t="shared" ca="1" si="119"/>
        <v>1.1845659078183532</v>
      </c>
      <c r="W301" s="357">
        <f t="shared" ca="1" si="120"/>
        <v>127.52434096168102</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335.61308325661076</v>
      </c>
      <c r="AF301" s="344"/>
      <c r="AG301" s="359">
        <f t="shared" ca="1" si="143"/>
        <v>51.61731721739649</v>
      </c>
      <c r="AH301" s="357">
        <f t="shared" ca="1" si="144"/>
        <v>61.173937699435854</v>
      </c>
    </row>
    <row r="302" spans="1:34" x14ac:dyDescent="0.25">
      <c r="A302" s="402">
        <f t="shared" ca="1" si="122"/>
        <v>0.01</v>
      </c>
      <c r="B302" s="357">
        <f t="shared" ca="1" si="123"/>
        <v>2.9799999999999804</v>
      </c>
      <c r="C302" s="342"/>
      <c r="D302" s="359">
        <f t="shared" ca="1" si="124"/>
        <v>13.781921392850787</v>
      </c>
      <c r="E302" s="360">
        <f t="shared" ca="1" si="125"/>
        <v>49.619223626965592</v>
      </c>
      <c r="F302" s="357">
        <f t="shared" ca="1" si="126"/>
        <v>51.497657331392638</v>
      </c>
      <c r="G302" s="359">
        <f t="shared" ca="1" si="127"/>
        <v>49.189244238598597</v>
      </c>
      <c r="H302" s="360">
        <f t="shared" ca="1" si="128"/>
        <v>212.01155529186099</v>
      </c>
      <c r="I302" s="357">
        <f t="shared" ca="1" si="129"/>
        <v>217.64301350155563</v>
      </c>
      <c r="J302" s="359">
        <f t="shared" ca="1" si="130"/>
        <v>73.552648875749526</v>
      </c>
      <c r="K302" s="360">
        <f t="shared" ca="1" si="131"/>
        <v>337.73071784834804</v>
      </c>
      <c r="L302" s="357">
        <f t="shared" ca="1" si="116"/>
        <v>345.64726229929806</v>
      </c>
      <c r="M302" s="359">
        <f t="shared" ca="1" si="132"/>
        <v>1.3428177816442799</v>
      </c>
      <c r="N302" s="357">
        <f t="shared" ca="1" si="133"/>
        <v>76.937791543336985</v>
      </c>
      <c r="O302" s="343"/>
      <c r="P302" s="363">
        <f t="shared" ca="1" si="134"/>
        <v>10</v>
      </c>
      <c r="Q302" s="357">
        <f t="shared" ca="1" si="135"/>
        <v>744.02857142857408</v>
      </c>
      <c r="R302" s="359">
        <f t="shared" ca="1" si="136"/>
        <v>0.372707914445081</v>
      </c>
      <c r="S302" s="360">
        <f t="shared" ca="1" si="137"/>
        <v>10.105575789902947</v>
      </c>
      <c r="T302" s="357">
        <f t="shared" ca="1" si="117"/>
        <v>99.135698498947917</v>
      </c>
      <c r="U302" s="364">
        <f t="shared" ca="1" si="118"/>
        <v>0</v>
      </c>
      <c r="V302" s="359">
        <f t="shared" ca="1" si="119"/>
        <v>1.184315015514376</v>
      </c>
      <c r="W302" s="357">
        <f t="shared" ca="1" si="120"/>
        <v>128.10227406119631</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337.73071784834804</v>
      </c>
      <c r="AF302" s="344"/>
      <c r="AG302" s="359">
        <f t="shared" ca="1" si="143"/>
        <v>51.449949321323977</v>
      </c>
      <c r="AH302" s="357">
        <f t="shared" ca="1" si="144"/>
        <v>61.006343753601591</v>
      </c>
    </row>
    <row r="303" spans="1:34" x14ac:dyDescent="0.25">
      <c r="A303" s="402">
        <f t="shared" ca="1" si="122"/>
        <v>0.01</v>
      </c>
      <c r="B303" s="357">
        <f t="shared" ca="1" si="123"/>
        <v>2.9899999999999802</v>
      </c>
      <c r="C303" s="342"/>
      <c r="D303" s="359">
        <f t="shared" ca="1" si="124"/>
        <v>13.750076812401719</v>
      </c>
      <c r="E303" s="360">
        <f t="shared" ca="1" si="125"/>
        <v>49.454483842024914</v>
      </c>
      <c r="F303" s="357">
        <f t="shared" ca="1" si="126"/>
        <v>51.330406041916817</v>
      </c>
      <c r="G303" s="359">
        <f t="shared" ca="1" si="127"/>
        <v>49.326745006722618</v>
      </c>
      <c r="H303" s="360">
        <f t="shared" ca="1" si="128"/>
        <v>212.50610013028123</v>
      </c>
      <c r="I303" s="357">
        <f t="shared" ca="1" si="129"/>
        <v>218.15583963199185</v>
      </c>
      <c r="J303" s="359">
        <f t="shared" ca="1" si="130"/>
        <v>74.045228821976139</v>
      </c>
      <c r="K303" s="360">
        <f t="shared" ca="1" si="131"/>
        <v>339.85330612545874</v>
      </c>
      <c r="L303" s="357">
        <f t="shared" ca="1" si="116"/>
        <v>347.82605652208343</v>
      </c>
      <c r="M303" s="359">
        <f t="shared" ca="1" si="132"/>
        <v>1.3427161503199505</v>
      </c>
      <c r="N303" s="357">
        <f t="shared" ca="1" si="133"/>
        <v>76.931968497386592</v>
      </c>
      <c r="O303" s="343"/>
      <c r="P303" s="363">
        <f t="shared" ca="1" si="134"/>
        <v>10</v>
      </c>
      <c r="Q303" s="357">
        <f t="shared" ca="1" si="135"/>
        <v>742.68571428571693</v>
      </c>
      <c r="R303" s="359">
        <f t="shared" ca="1" si="136"/>
        <v>0.37203523398047061</v>
      </c>
      <c r="S303" s="360">
        <f t="shared" ca="1" si="137"/>
        <v>10.101855437563142</v>
      </c>
      <c r="T303" s="357">
        <f t="shared" ca="1" si="117"/>
        <v>99.099201842494423</v>
      </c>
      <c r="U303" s="364">
        <f t="shared" ca="1" si="118"/>
        <v>0</v>
      </c>
      <c r="V303" s="359">
        <f t="shared" ca="1" si="119"/>
        <v>1.1840635887350957</v>
      </c>
      <c r="W303" s="357">
        <f t="shared" ca="1" si="120"/>
        <v>128.6793488123626</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339.85330612545874</v>
      </c>
      <c r="AF303" s="344"/>
      <c r="AG303" s="359">
        <f t="shared" ca="1" si="143"/>
        <v>51.282500377843981</v>
      </c>
      <c r="AH303" s="357">
        <f t="shared" ca="1" si="144"/>
        <v>60.838669096295817</v>
      </c>
    </row>
    <row r="304" spans="1:34" x14ac:dyDescent="0.25">
      <c r="A304" s="402">
        <f t="shared" ca="1" si="122"/>
        <v>0.01</v>
      </c>
      <c r="B304" s="357">
        <f t="shared" ca="1" si="123"/>
        <v>2.99999999999998</v>
      </c>
      <c r="C304" s="342"/>
      <c r="D304" s="359">
        <f t="shared" ca="1" si="124"/>
        <v>13.718169460878302</v>
      </c>
      <c r="E304" s="360">
        <f t="shared" ca="1" si="125"/>
        <v>49.289676912803884</v>
      </c>
      <c r="F304" s="357">
        <f t="shared" ca="1" si="126"/>
        <v>51.163076759768529</v>
      </c>
      <c r="G304" s="359">
        <f t="shared" ca="1" si="127"/>
        <v>49.463926701331403</v>
      </c>
      <c r="H304" s="360">
        <f t="shared" ca="1" si="128"/>
        <v>212.99899689940926</v>
      </c>
      <c r="I304" s="357">
        <f t="shared" ca="1" si="129"/>
        <v>218.66699047837386</v>
      </c>
      <c r="J304" s="359">
        <f t="shared" ca="1" si="130"/>
        <v>74.539182180516406</v>
      </c>
      <c r="K304" s="360">
        <f t="shared" ca="1" si="131"/>
        <v>341.9808316106072</v>
      </c>
      <c r="L304" s="357">
        <f t="shared" ca="1" si="116"/>
        <v>350.00996967118334</v>
      </c>
      <c r="M304" s="359">
        <f t="shared" ca="1" si="132"/>
        <v>1.3426147121523078</v>
      </c>
      <c r="N304" s="357">
        <f t="shared" ca="1" si="133"/>
        <v>76.926156518499113</v>
      </c>
      <c r="O304" s="343"/>
      <c r="P304" s="363">
        <f t="shared" ca="1" si="134"/>
        <v>10</v>
      </c>
      <c r="Q304" s="357">
        <f t="shared" ca="1" si="135"/>
        <v>741.34285714285988</v>
      </c>
      <c r="R304" s="359">
        <f t="shared" ca="1" si="136"/>
        <v>0.37136255351586028</v>
      </c>
      <c r="S304" s="360">
        <f t="shared" ca="1" si="137"/>
        <v>10.098141812027983</v>
      </c>
      <c r="T304" s="357">
        <f t="shared" ca="1" si="117"/>
        <v>99.062771175994513</v>
      </c>
      <c r="U304" s="364">
        <f t="shared" ca="1" si="118"/>
        <v>0</v>
      </c>
      <c r="V304" s="359">
        <f t="shared" ca="1" si="119"/>
        <v>1.1838116297826811</v>
      </c>
      <c r="W304" s="357">
        <f t="shared" ca="1" si="120"/>
        <v>129.25555012938511</v>
      </c>
      <c r="X304" s="343"/>
      <c r="Y304" s="367" t="str">
        <f t="shared" ca="1" si="138"/>
        <v/>
      </c>
      <c r="Z304" s="368" t="str">
        <f t="shared" ca="1" si="139"/>
        <v/>
      </c>
      <c r="AA304" s="369" t="str">
        <f t="shared" ca="1" si="140"/>
        <v/>
      </c>
      <c r="AB304" s="344"/>
      <c r="AC304" s="363">
        <f t="shared" ca="1" si="141"/>
        <v>2.99999999999998</v>
      </c>
      <c r="AD304" s="376">
        <f t="shared" ca="1" si="142"/>
        <v>74.539182180516406</v>
      </c>
      <c r="AE304" s="377">
        <f t="shared" ca="1" si="121"/>
        <v>341.9808316106072</v>
      </c>
      <c r="AF304" s="344"/>
      <c r="AG304" s="359">
        <f t="shared" ca="1" si="143"/>
        <v>51.114972137294117</v>
      </c>
      <c r="AH304" s="357">
        <f t="shared" ca="1" si="144"/>
        <v>60.670915474839994</v>
      </c>
    </row>
    <row r="305" spans="1:34" x14ac:dyDescent="0.25">
      <c r="A305" s="402">
        <f t="shared" ca="1" si="122"/>
        <v>0.01</v>
      </c>
      <c r="B305" s="357">
        <f t="shared" ca="1" si="123"/>
        <v>3.0099999999999798</v>
      </c>
      <c r="C305" s="342"/>
      <c r="D305" s="359">
        <f t="shared" ca="1" si="124"/>
        <v>13.68619990100237</v>
      </c>
      <c r="E305" s="360">
        <f t="shared" ca="1" si="125"/>
        <v>49.124804506732268</v>
      </c>
      <c r="F305" s="357">
        <f t="shared" ca="1" si="126"/>
        <v>50.995671243301231</v>
      </c>
      <c r="G305" s="359">
        <f t="shared" ca="1" si="127"/>
        <v>49.600788700341425</v>
      </c>
      <c r="H305" s="360">
        <f t="shared" ca="1" si="128"/>
        <v>213.49024494447659</v>
      </c>
      <c r="I305" s="357">
        <f t="shared" ca="1" si="129"/>
        <v>219.17646526520252</v>
      </c>
      <c r="J305" s="359">
        <f t="shared" ca="1" si="130"/>
        <v>75.034505757524769</v>
      </c>
      <c r="K305" s="360">
        <f t="shared" ca="1" si="131"/>
        <v>344.11327781982664</v>
      </c>
      <c r="L305" s="357">
        <f t="shared" ca="1" si="116"/>
        <v>352.19898498743748</v>
      </c>
      <c r="M305" s="359">
        <f t="shared" ca="1" si="132"/>
        <v>1.3425134655514428</v>
      </c>
      <c r="N305" s="357">
        <f t="shared" ca="1" si="133"/>
        <v>76.920355515579502</v>
      </c>
      <c r="O305" s="343"/>
      <c r="P305" s="363">
        <f t="shared" ca="1" si="134"/>
        <v>10</v>
      </c>
      <c r="Q305" s="357">
        <f t="shared" ca="1" si="135"/>
        <v>740.00000000000273</v>
      </c>
      <c r="R305" s="359">
        <f t="shared" ca="1" si="136"/>
        <v>0.3706898730512499</v>
      </c>
      <c r="S305" s="360">
        <f t="shared" ca="1" si="137"/>
        <v>10.094434913297469</v>
      </c>
      <c r="T305" s="357">
        <f t="shared" ca="1" si="117"/>
        <v>99.026406499448186</v>
      </c>
      <c r="U305" s="364">
        <f t="shared" ca="1" si="118"/>
        <v>0</v>
      </c>
      <c r="V305" s="359">
        <f t="shared" ca="1" si="119"/>
        <v>1.1835591409590833</v>
      </c>
      <c r="W305" s="357">
        <f t="shared" ca="1" si="120"/>
        <v>129.83086300270617</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344.11327781982664</v>
      </c>
      <c r="AF305" s="344"/>
      <c r="AG305" s="359">
        <f t="shared" ca="1" si="143"/>
        <v>50.947366345348314</v>
      </c>
      <c r="AH305" s="357">
        <f t="shared" ca="1" si="144"/>
        <v>60.503084631917304</v>
      </c>
    </row>
    <row r="306" spans="1:34" x14ac:dyDescent="0.25">
      <c r="A306" s="402">
        <f t="shared" ca="1" si="122"/>
        <v>0.01</v>
      </c>
      <c r="B306" s="357">
        <f t="shared" ca="1" si="123"/>
        <v>3.0199999999999796</v>
      </c>
      <c r="C306" s="342"/>
      <c r="D306" s="359">
        <f t="shared" ca="1" si="124"/>
        <v>13.65416869328916</v>
      </c>
      <c r="E306" s="360">
        <f t="shared" ca="1" si="125"/>
        <v>48.959868286861358</v>
      </c>
      <c r="F306" s="357">
        <f t="shared" ca="1" si="126"/>
        <v>50.828191246311434</v>
      </c>
      <c r="G306" s="359">
        <f t="shared" ca="1" si="127"/>
        <v>49.737330387274319</v>
      </c>
      <c r="H306" s="360">
        <f t="shared" ca="1" si="128"/>
        <v>213.97984362734519</v>
      </c>
      <c r="I306" s="357">
        <f t="shared" ca="1" si="129"/>
        <v>219.68426323438823</v>
      </c>
      <c r="J306" s="359">
        <f t="shared" ca="1" si="130"/>
        <v>75.531196352962851</v>
      </c>
      <c r="K306" s="360">
        <f t="shared" ca="1" si="131"/>
        <v>346.25062826268572</v>
      </c>
      <c r="L306" s="357">
        <f t="shared" ca="1" si="116"/>
        <v>354.39308570401653</v>
      </c>
      <c r="M306" s="359">
        <f t="shared" ca="1" si="132"/>
        <v>1.3424124089418481</v>
      </c>
      <c r="N306" s="357">
        <f t="shared" ca="1" si="133"/>
        <v>76.914565398357823</v>
      </c>
      <c r="O306" s="343"/>
      <c r="P306" s="363">
        <f t="shared" ca="1" si="134"/>
        <v>10</v>
      </c>
      <c r="Q306" s="357">
        <f t="shared" ca="1" si="135"/>
        <v>738.65714285714557</v>
      </c>
      <c r="R306" s="359">
        <f t="shared" ca="1" si="136"/>
        <v>0.37001719258663951</v>
      </c>
      <c r="S306" s="360">
        <f t="shared" ca="1" si="137"/>
        <v>10.090734741371604</v>
      </c>
      <c r="T306" s="357">
        <f t="shared" ca="1" si="117"/>
        <v>98.990107812855442</v>
      </c>
      <c r="U306" s="364">
        <f t="shared" ca="1" si="118"/>
        <v>0</v>
      </c>
      <c r="V306" s="359">
        <f t="shared" ca="1" si="119"/>
        <v>1.1833061245660075</v>
      </c>
      <c r="W306" s="357">
        <f t="shared" ca="1" si="120"/>
        <v>130.40527249925131</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346.25062826268572</v>
      </c>
      <c r="AF306" s="344"/>
      <c r="AG306" s="359">
        <f t="shared" ca="1" si="143"/>
        <v>50.779684742972265</v>
      </c>
      <c r="AH306" s="357">
        <f t="shared" ca="1" si="144"/>
        <v>60.335178305527783</v>
      </c>
    </row>
    <row r="307" spans="1:34" x14ac:dyDescent="0.25">
      <c r="A307" s="402">
        <f t="shared" ca="1" si="122"/>
        <v>0.01</v>
      </c>
      <c r="B307" s="357">
        <f t="shared" ca="1" si="123"/>
        <v>3.0299999999999794</v>
      </c>
      <c r="C307" s="342"/>
      <c r="D307" s="359">
        <f t="shared" ca="1" si="124"/>
        <v>13.622076396053645</v>
      </c>
      <c r="E307" s="360">
        <f t="shared" ca="1" si="125"/>
        <v>48.794869911817692</v>
      </c>
      <c r="F307" s="357">
        <f t="shared" ca="1" si="126"/>
        <v>50.660638517996723</v>
      </c>
      <c r="G307" s="359">
        <f t="shared" ca="1" si="127"/>
        <v>49.873551151234857</v>
      </c>
      <c r="H307" s="360">
        <f t="shared" ca="1" si="128"/>
        <v>214.46779232646335</v>
      </c>
      <c r="I307" s="357">
        <f t="shared" ca="1" si="129"/>
        <v>220.19038364520338</v>
      </c>
      <c r="J307" s="359">
        <f t="shared" ca="1" si="130"/>
        <v>76.029250760655401</v>
      </c>
      <c r="K307" s="360">
        <f t="shared" ca="1" si="131"/>
        <v>348.39286644245476</v>
      </c>
      <c r="L307" s="357">
        <f t="shared" ca="1" si="116"/>
        <v>356.59225504659622</v>
      </c>
      <c r="M307" s="359">
        <f t="shared" ca="1" si="132"/>
        <v>1.3423115407622284</v>
      </c>
      <c r="N307" s="357">
        <f t="shared" ca="1" si="133"/>
        <v>76.908786077378451</v>
      </c>
      <c r="O307" s="343"/>
      <c r="P307" s="363">
        <f t="shared" ca="1" si="134"/>
        <v>10</v>
      </c>
      <c r="Q307" s="357">
        <f t="shared" ca="1" si="135"/>
        <v>737.31428571428853</v>
      </c>
      <c r="R307" s="359">
        <f t="shared" ca="1" si="136"/>
        <v>0.36934451212202918</v>
      </c>
      <c r="S307" s="360">
        <f t="shared" ca="1" si="137"/>
        <v>10.087041296250383</v>
      </c>
      <c r="T307" s="357">
        <f t="shared" ca="1" si="117"/>
        <v>98.953875116216267</v>
      </c>
      <c r="U307" s="364">
        <f t="shared" ca="1" si="118"/>
        <v>0</v>
      </c>
      <c r="V307" s="359">
        <f t="shared" ca="1" si="119"/>
        <v>1.1830525829048808</v>
      </c>
      <c r="W307" s="357">
        <f t="shared" ca="1" si="120"/>
        <v>130.97876376266984</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348.39286644245476</v>
      </c>
      <c r="AF307" s="344"/>
      <c r="AG307" s="359">
        <f t="shared" ca="1" si="143"/>
        <v>50.611929066379098</v>
      </c>
      <c r="AH307" s="357">
        <f t="shared" ca="1" si="144"/>
        <v>60.167198228943619</v>
      </c>
    </row>
    <row r="308" spans="1:34" x14ac:dyDescent="0.25">
      <c r="A308" s="402">
        <f t="shared" ca="1" si="122"/>
        <v>0.01</v>
      </c>
      <c r="B308" s="357">
        <f t="shared" ca="1" si="123"/>
        <v>3.0399999999999792</v>
      </c>
      <c r="C308" s="342"/>
      <c r="D308" s="359">
        <f t="shared" ca="1" si="124"/>
        <v>13.589923565416914</v>
      </c>
      <c r="E308" s="360">
        <f t="shared" ca="1" si="125"/>
        <v>48.629811035757385</v>
      </c>
      <c r="F308" s="357">
        <f t="shared" ca="1" si="126"/>
        <v>50.493014802914523</v>
      </c>
      <c r="G308" s="359">
        <f t="shared" ca="1" si="127"/>
        <v>50.009450386889029</v>
      </c>
      <c r="H308" s="360">
        <f t="shared" ca="1" si="128"/>
        <v>214.95409043682093</v>
      </c>
      <c r="I308" s="357">
        <f t="shared" ca="1" si="129"/>
        <v>220.69482577423446</v>
      </c>
      <c r="J308" s="359">
        <f t="shared" ca="1" si="130"/>
        <v>76.528665768346016</v>
      </c>
      <c r="K308" s="360">
        <f t="shared" ca="1" si="131"/>
        <v>350.53997585627116</v>
      </c>
      <c r="L308" s="357">
        <f t="shared" ca="1" si="116"/>
        <v>358.79647623353043</v>
      </c>
      <c r="M308" s="359">
        <f t="shared" ca="1" si="132"/>
        <v>1.342210859465315</v>
      </c>
      <c r="N308" s="357">
        <f t="shared" ca="1" si="133"/>
        <v>76.903017463989414</v>
      </c>
      <c r="O308" s="343"/>
      <c r="P308" s="363">
        <f t="shared" ca="1" si="134"/>
        <v>10</v>
      </c>
      <c r="Q308" s="357">
        <f t="shared" ca="1" si="135"/>
        <v>735.97142857143137</v>
      </c>
      <c r="R308" s="359">
        <f t="shared" ca="1" si="136"/>
        <v>0.36867183165741879</v>
      </c>
      <c r="S308" s="360">
        <f t="shared" ca="1" si="137"/>
        <v>10.083354577933809</v>
      </c>
      <c r="T308" s="357">
        <f t="shared" ca="1" si="117"/>
        <v>98.917708409530675</v>
      </c>
      <c r="U308" s="364">
        <f t="shared" ca="1" si="118"/>
        <v>0</v>
      </c>
      <c r="V308" s="359">
        <f t="shared" ca="1" si="119"/>
        <v>1.1827985182768239</v>
      </c>
      <c r="W308" s="357">
        <f t="shared" ca="1" si="120"/>
        <v>131.55132201357083</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350.53997585627116</v>
      </c>
      <c r="AF308" s="344"/>
      <c r="AG308" s="359">
        <f t="shared" ca="1" si="143"/>
        <v>50.444101046985594</v>
      </c>
      <c r="AH308" s="357">
        <f t="shared" ca="1" si="144"/>
        <v>59.999146130665103</v>
      </c>
    </row>
    <row r="309" spans="1:34" x14ac:dyDescent="0.25">
      <c r="A309" s="402">
        <f t="shared" ca="1" si="122"/>
        <v>0.01</v>
      </c>
      <c r="B309" s="357">
        <f t="shared" ca="1" si="123"/>
        <v>3.049999999999979</v>
      </c>
      <c r="C309" s="342"/>
      <c r="D309" s="359">
        <f t="shared" ca="1" si="124"/>
        <v>13.557710755312248</v>
      </c>
      <c r="E309" s="360">
        <f t="shared" ca="1" si="125"/>
        <v>48.464693308320939</v>
      </c>
      <c r="F309" s="357">
        <f t="shared" ca="1" si="126"/>
        <v>50.325321840941243</v>
      </c>
      <c r="G309" s="359">
        <f t="shared" ca="1" si="127"/>
        <v>50.145027494442154</v>
      </c>
      <c r="H309" s="360">
        <f t="shared" ca="1" si="128"/>
        <v>215.43873736990415</v>
      </c>
      <c r="I309" s="357">
        <f t="shared" ca="1" si="129"/>
        <v>221.19758891533354</v>
      </c>
      <c r="J309" s="359">
        <f t="shared" ca="1" si="130"/>
        <v>77.029438157752679</v>
      </c>
      <c r="K309" s="360">
        <f t="shared" ca="1" si="131"/>
        <v>352.69193999530478</v>
      </c>
      <c r="L309" s="357">
        <f t="shared" ca="1" si="116"/>
        <v>361.00573247602415</v>
      </c>
      <c r="M309" s="359">
        <f t="shared" ca="1" si="132"/>
        <v>1.3421103635176848</v>
      </c>
      <c r="N309" s="357">
        <f t="shared" ca="1" si="133"/>
        <v>76.897259470332031</v>
      </c>
      <c r="O309" s="343"/>
      <c r="P309" s="363">
        <f t="shared" ca="1" si="134"/>
        <v>10</v>
      </c>
      <c r="Q309" s="357">
        <f t="shared" ca="1" si="135"/>
        <v>734.62857142857422</v>
      </c>
      <c r="R309" s="359">
        <f t="shared" ca="1" si="136"/>
        <v>0.3679991511928084</v>
      </c>
      <c r="S309" s="360">
        <f t="shared" ca="1" si="137"/>
        <v>10.079674586421881</v>
      </c>
      <c r="T309" s="357">
        <f t="shared" ca="1" si="117"/>
        <v>98.881607692798653</v>
      </c>
      <c r="U309" s="364">
        <f t="shared" ca="1" si="118"/>
        <v>0</v>
      </c>
      <c r="V309" s="359">
        <f t="shared" ca="1" si="119"/>
        <v>1.1825439329826219</v>
      </c>
      <c r="W309" s="357">
        <f t="shared" ca="1" si="120"/>
        <v>132.12293254975418</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352.69193999530478</v>
      </c>
      <c r="AF309" s="344"/>
      <c r="AG309" s="359">
        <f t="shared" ca="1" si="143"/>
        <v>50.276202411368814</v>
      </c>
      <c r="AH309" s="357">
        <f t="shared" ca="1" si="144"/>
        <v>59.83102373437692</v>
      </c>
    </row>
    <row r="310" spans="1:34" x14ac:dyDescent="0.25">
      <c r="A310" s="402">
        <f t="shared" ca="1" si="122"/>
        <v>0.01</v>
      </c>
      <c r="B310" s="357">
        <f t="shared" ca="1" si="123"/>
        <v>3.0599999999999787</v>
      </c>
      <c r="C310" s="342"/>
      <c r="D310" s="359">
        <f t="shared" ca="1" si="124"/>
        <v>13.525438517490992</v>
      </c>
      <c r="E310" s="360">
        <f t="shared" ca="1" si="125"/>
        <v>48.299518374588416</v>
      </c>
      <c r="F310" s="357">
        <f t="shared" ca="1" si="126"/>
        <v>50.157561367231885</v>
      </c>
      <c r="G310" s="359">
        <f t="shared" ca="1" si="127"/>
        <v>50.280281879617064</v>
      </c>
      <c r="H310" s="360">
        <f t="shared" ca="1" si="128"/>
        <v>215.92173255365003</v>
      </c>
      <c r="I310" s="357">
        <f t="shared" ca="1" si="129"/>
        <v>221.69867237956956</v>
      </c>
      <c r="J310" s="359">
        <f t="shared" ca="1" si="130"/>
        <v>77.53156470462298</v>
      </c>
      <c r="K310" s="360">
        <f t="shared" ca="1" si="131"/>
        <v>354.84874234492253</v>
      </c>
      <c r="L310" s="357">
        <f t="shared" ca="1" si="116"/>
        <v>363.22000697830561</v>
      </c>
      <c r="M310" s="359">
        <f t="shared" ca="1" si="132"/>
        <v>1.3420100513995799</v>
      </c>
      <c r="N310" s="357">
        <f t="shared" ca="1" si="133"/>
        <v>76.891512009330597</v>
      </c>
      <c r="O310" s="343"/>
      <c r="P310" s="363">
        <f t="shared" ca="1" si="134"/>
        <v>10</v>
      </c>
      <c r="Q310" s="357">
        <f t="shared" ca="1" si="135"/>
        <v>733.28571428571718</v>
      </c>
      <c r="R310" s="359">
        <f t="shared" ca="1" si="136"/>
        <v>0.36732647072819813</v>
      </c>
      <c r="S310" s="360">
        <f t="shared" ca="1" si="137"/>
        <v>10.076001321714598</v>
      </c>
      <c r="T310" s="357">
        <f t="shared" ca="1" si="117"/>
        <v>98.845572966020214</v>
      </c>
      <c r="U310" s="364">
        <f t="shared" ca="1" si="118"/>
        <v>0</v>
      </c>
      <c r="V310" s="359">
        <f t="shared" ca="1" si="119"/>
        <v>1.1822888293226932</v>
      </c>
      <c r="W310" s="357">
        <f t="shared" ca="1" si="120"/>
        <v>132.69358074643625</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354.84874234492253</v>
      </c>
      <c r="AF310" s="344"/>
      <c r="AG310" s="359">
        <f t="shared" ca="1" si="143"/>
        <v>50.108234881223197</v>
      </c>
      <c r="AH310" s="357">
        <f t="shared" ca="1" si="144"/>
        <v>59.662832758904919</v>
      </c>
    </row>
    <row r="311" spans="1:34" x14ac:dyDescent="0.25">
      <c r="A311" s="402">
        <f t="shared" ca="1" si="122"/>
        <v>0.01</v>
      </c>
      <c r="B311" s="357">
        <f t="shared" ca="1" si="123"/>
        <v>3.0699999999999785</v>
      </c>
      <c r="C311" s="342"/>
      <c r="D311" s="359">
        <f t="shared" ca="1" si="124"/>
        <v>13.493107401528222</v>
      </c>
      <c r="E311" s="360">
        <f t="shared" ca="1" si="125"/>
        <v>48.134287875035277</v>
      </c>
      <c r="F311" s="357">
        <f t="shared" ca="1" si="126"/>
        <v>49.989735112180213</v>
      </c>
      <c r="G311" s="359">
        <f t="shared" ca="1" si="127"/>
        <v>50.415212953632349</v>
      </c>
      <c r="H311" s="360">
        <f t="shared" ca="1" si="128"/>
        <v>216.40307543240039</v>
      </c>
      <c r="I311" s="357">
        <f t="shared" ca="1" si="129"/>
        <v>222.19807549517901</v>
      </c>
      <c r="J311" s="359">
        <f t="shared" ca="1" si="130"/>
        <v>78.035042178789226</v>
      </c>
      <c r="K311" s="360">
        <f t="shared" ca="1" si="131"/>
        <v>357.01036638485277</v>
      </c>
      <c r="L311" s="357">
        <f t="shared" ca="1" si="116"/>
        <v>365.43928293779834</v>
      </c>
      <c r="M311" s="359">
        <f t="shared" ca="1" si="132"/>
        <v>1.3419099216047323</v>
      </c>
      <c r="N311" s="357">
        <f t="shared" ca="1" si="133"/>
        <v>76.885774994682322</v>
      </c>
      <c r="O311" s="343"/>
      <c r="P311" s="363">
        <f t="shared" ca="1" si="134"/>
        <v>10</v>
      </c>
      <c r="Q311" s="357">
        <f t="shared" ca="1" si="135"/>
        <v>731.94285714286002</v>
      </c>
      <c r="R311" s="359">
        <f t="shared" ca="1" si="136"/>
        <v>0.36665379026358774</v>
      </c>
      <c r="S311" s="360">
        <f t="shared" ca="1" si="137"/>
        <v>10.072334783811963</v>
      </c>
      <c r="T311" s="357">
        <f t="shared" ca="1" si="117"/>
        <v>98.809604229195358</v>
      </c>
      <c r="U311" s="364">
        <f t="shared" ca="1" si="118"/>
        <v>0</v>
      </c>
      <c r="V311" s="359">
        <f t="shared" ca="1" si="119"/>
        <v>1.1820332095970623</v>
      </c>
      <c r="W311" s="357">
        <f t="shared" ca="1" si="120"/>
        <v>133.26325205647123</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357.01036638485277</v>
      </c>
      <c r="AF311" s="344"/>
      <c r="AG311" s="359">
        <f t="shared" ca="1" si="143"/>
        <v>49.940200173318019</v>
      </c>
      <c r="AH311" s="357">
        <f t="shared" ca="1" si="144"/>
        <v>59.494574918173306</v>
      </c>
    </row>
    <row r="312" spans="1:34" x14ac:dyDescent="0.25">
      <c r="A312" s="402">
        <f t="shared" ca="1" si="122"/>
        <v>0.01</v>
      </c>
      <c r="B312" s="357">
        <f t="shared" ca="1" si="123"/>
        <v>3.0799999999999783</v>
      </c>
      <c r="C312" s="342"/>
      <c r="D312" s="359">
        <f t="shared" ca="1" si="124"/>
        <v>13.460717954828249</v>
      </c>
      <c r="E312" s="360">
        <f t="shared" ca="1" si="125"/>
        <v>47.96900344548861</v>
      </c>
      <c r="F312" s="357">
        <f t="shared" ca="1" si="126"/>
        <v>49.821844801379385</v>
      </c>
      <c r="G312" s="359">
        <f t="shared" ca="1" si="127"/>
        <v>50.549820133180631</v>
      </c>
      <c r="H312" s="360">
        <f t="shared" ca="1" si="128"/>
        <v>216.88276546685526</v>
      </c>
      <c r="I312" s="357">
        <f t="shared" ca="1" si="129"/>
        <v>222.69579760751631</v>
      </c>
      <c r="J312" s="359">
        <f t="shared" ca="1" si="130"/>
        <v>78.539867344223296</v>
      </c>
      <c r="K312" s="360">
        <f t="shared" ca="1" si="131"/>
        <v>359.17679558934907</v>
      </c>
      <c r="L312" s="357">
        <f t="shared" ca="1" si="116"/>
        <v>367.66354354529255</v>
      </c>
      <c r="M312" s="359">
        <f t="shared" ca="1" si="132"/>
        <v>1.3418099726401886</v>
      </c>
      <c r="N312" s="357">
        <f t="shared" ca="1" si="133"/>
        <v>76.880048340847267</v>
      </c>
      <c r="O312" s="343"/>
      <c r="P312" s="363">
        <f t="shared" ca="1" si="134"/>
        <v>10</v>
      </c>
      <c r="Q312" s="357">
        <f t="shared" ca="1" si="135"/>
        <v>730.60000000000286</v>
      </c>
      <c r="R312" s="359">
        <f t="shared" ca="1" si="136"/>
        <v>0.36598110979897736</v>
      </c>
      <c r="S312" s="360">
        <f t="shared" ca="1" si="137"/>
        <v>10.068674972713973</v>
      </c>
      <c r="T312" s="357">
        <f t="shared" ca="1" si="117"/>
        <v>98.773701482324086</v>
      </c>
      <c r="U312" s="364">
        <f t="shared" ca="1" si="118"/>
        <v>0</v>
      </c>
      <c r="V312" s="359">
        <f t="shared" ca="1" si="119"/>
        <v>1.1817770761053294</v>
      </c>
      <c r="W312" s="357">
        <f t="shared" ca="1" si="120"/>
        <v>133.83193201056693</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359.17679558934907</v>
      </c>
      <c r="AF312" s="344"/>
      <c r="AG312" s="359">
        <f t="shared" ca="1" si="143"/>
        <v>49.772099999455421</v>
      </c>
      <c r="AH312" s="357">
        <f t="shared" ca="1" si="144"/>
        <v>59.32625192116236</v>
      </c>
    </row>
    <row r="313" spans="1:34" x14ac:dyDescent="0.25">
      <c r="A313" s="402">
        <f t="shared" ca="1" si="122"/>
        <v>0.01</v>
      </c>
      <c r="B313" s="357">
        <f t="shared" ca="1" si="123"/>
        <v>3.0899999999999781</v>
      </c>
      <c r="C313" s="342"/>
      <c r="D313" s="359">
        <f t="shared" ca="1" si="124"/>
        <v>13.428270722630002</v>
      </c>
      <c r="E313" s="360">
        <f t="shared" ca="1" si="125"/>
        <v>47.803666717083793</v>
      </c>
      <c r="F313" s="357">
        <f t="shared" ca="1" si="126"/>
        <v>49.653892155583002</v>
      </c>
      <c r="G313" s="359">
        <f t="shared" ca="1" si="127"/>
        <v>50.684102840406929</v>
      </c>
      <c r="H313" s="360">
        <f t="shared" ca="1" si="128"/>
        <v>217.3608021340261</v>
      </c>
      <c r="I313" s="357">
        <f t="shared" ca="1" si="129"/>
        <v>223.19183807900367</v>
      </c>
      <c r="J313" s="359">
        <f t="shared" ca="1" si="130"/>
        <v>79.046036959091239</v>
      </c>
      <c r="K313" s="360">
        <f t="shared" ca="1" si="131"/>
        <v>361.34801342735346</v>
      </c>
      <c r="L313" s="357">
        <f t="shared" ca="1" si="116"/>
        <v>369.89277198511576</v>
      </c>
      <c r="M313" s="359">
        <f t="shared" ca="1" si="132"/>
        <v>1.3417102030261414</v>
      </c>
      <c r="N313" s="357">
        <f t="shared" ca="1" si="133"/>
        <v>76.874331963038713</v>
      </c>
      <c r="O313" s="343"/>
      <c r="P313" s="363">
        <f t="shared" ca="1" si="134"/>
        <v>10</v>
      </c>
      <c r="Q313" s="357">
        <f t="shared" ca="1" si="135"/>
        <v>729.25714285714582</v>
      </c>
      <c r="R313" s="359">
        <f t="shared" ca="1" si="136"/>
        <v>0.36530842933436702</v>
      </c>
      <c r="S313" s="360">
        <f t="shared" ca="1" si="137"/>
        <v>10.065021888420629</v>
      </c>
      <c r="T313" s="357">
        <f t="shared" ca="1" si="117"/>
        <v>98.737864725406382</v>
      </c>
      <c r="U313" s="364">
        <f t="shared" ca="1" si="118"/>
        <v>0</v>
      </c>
      <c r="V313" s="359">
        <f t="shared" ca="1" si="119"/>
        <v>1.1815204311466414</v>
      </c>
      <c r="W313" s="357">
        <f t="shared" ca="1" si="120"/>
        <v>134.39960621749583</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361.34801342735346</v>
      </c>
      <c r="AF313" s="344"/>
      <c r="AG313" s="359">
        <f t="shared" ca="1" si="143"/>
        <v>49.603936066428773</v>
      </c>
      <c r="AH313" s="357">
        <f t="shared" ca="1" si="144"/>
        <v>59.157865471866465</v>
      </c>
    </row>
    <row r="314" spans="1:34" x14ac:dyDescent="0.25">
      <c r="A314" s="402">
        <f t="shared" ca="1" si="122"/>
        <v>0.01</v>
      </c>
      <c r="B314" s="357">
        <f t="shared" ca="1" si="123"/>
        <v>3.0999999999999779</v>
      </c>
      <c r="C314" s="342"/>
      <c r="D314" s="359">
        <f t="shared" ca="1" si="124"/>
        <v>13.395766248012018</v>
      </c>
      <c r="E314" s="360">
        <f t="shared" ca="1" si="125"/>
        <v>47.638279316221762</v>
      </c>
      <c r="F314" s="357">
        <f t="shared" ca="1" si="126"/>
        <v>49.485878890666783</v>
      </c>
      <c r="G314" s="359">
        <f t="shared" ca="1" si="127"/>
        <v>50.81806050288705</v>
      </c>
      <c r="H314" s="360">
        <f t="shared" ca="1" si="128"/>
        <v>217.83718492718833</v>
      </c>
      <c r="I314" s="357">
        <f t="shared" ca="1" si="129"/>
        <v>223.68619628908067</v>
      </c>
      <c r="J314" s="359">
        <f t="shared" ca="1" si="130"/>
        <v>79.553547775807715</v>
      </c>
      <c r="K314" s="360">
        <f t="shared" ca="1" si="131"/>
        <v>363.52400336265953</v>
      </c>
      <c r="L314" s="357">
        <f t="shared" ca="1" si="116"/>
        <v>372.12695143530334</v>
      </c>
      <c r="M314" s="359">
        <f t="shared" ca="1" si="132"/>
        <v>1.3416106112957584</v>
      </c>
      <c r="N314" s="357">
        <f t="shared" ca="1" si="133"/>
        <v>76.868625777213367</v>
      </c>
      <c r="O314" s="343"/>
      <c r="P314" s="363">
        <f t="shared" ca="1" si="134"/>
        <v>10</v>
      </c>
      <c r="Q314" s="357">
        <f t="shared" ca="1" si="135"/>
        <v>727.91428571428867</v>
      </c>
      <c r="R314" s="359">
        <f t="shared" ca="1" si="136"/>
        <v>0.36463574886975664</v>
      </c>
      <c r="S314" s="360">
        <f t="shared" ca="1" si="137"/>
        <v>10.061375530931931</v>
      </c>
      <c r="T314" s="357">
        <f t="shared" ca="1" si="117"/>
        <v>98.702093958442248</v>
      </c>
      <c r="U314" s="364">
        <f t="shared" ca="1" si="118"/>
        <v>0</v>
      </c>
      <c r="V314" s="359">
        <f t="shared" ca="1" si="119"/>
        <v>1.1812632770196634</v>
      </c>
      <c r="W314" s="357">
        <f t="shared" ca="1" si="120"/>
        <v>134.9662603643016</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363.52400336265953</v>
      </c>
      <c r="AF314" s="344"/>
      <c r="AG314" s="359">
        <f t="shared" ca="1" si="143"/>
        <v>49.435710075981532</v>
      </c>
      <c r="AH314" s="357">
        <f t="shared" ca="1" si="144"/>
        <v>58.989417269252719</v>
      </c>
    </row>
    <row r="315" spans="1:34" x14ac:dyDescent="0.25">
      <c r="A315" s="402">
        <f t="shared" ca="1" si="122"/>
        <v>0.01</v>
      </c>
      <c r="B315" s="357">
        <f t="shared" ca="1" si="123"/>
        <v>3.1099999999999777</v>
      </c>
      <c r="C315" s="342"/>
      <c r="D315" s="359">
        <f t="shared" ca="1" si="124"/>
        <v>13.363205071897568</v>
      </c>
      <c r="E315" s="360">
        <f t="shared" ca="1" si="125"/>
        <v>47.472842864526726</v>
      </c>
      <c r="F315" s="357">
        <f t="shared" ca="1" si="126"/>
        <v>49.317806717590706</v>
      </c>
      <c r="G315" s="359">
        <f t="shared" ca="1" si="127"/>
        <v>50.951692553606023</v>
      </c>
      <c r="H315" s="360">
        <f t="shared" ca="1" si="128"/>
        <v>218.31191335583361</v>
      </c>
      <c r="I315" s="357">
        <f t="shared" ca="1" si="129"/>
        <v>224.17887163415332</v>
      </c>
      <c r="J315" s="359">
        <f t="shared" ca="1" si="130"/>
        <v>80.06239654109018</v>
      </c>
      <c r="K315" s="360">
        <f t="shared" ca="1" si="131"/>
        <v>365.70474885407464</v>
      </c>
      <c r="L315" s="357">
        <f t="shared" ca="1" si="116"/>
        <v>374.36606506776832</v>
      </c>
      <c r="M315" s="359">
        <f t="shared" ca="1" si="132"/>
        <v>1.3415111959950192</v>
      </c>
      <c r="N315" s="357">
        <f t="shared" ca="1" si="133"/>
        <v>76.862929700061983</v>
      </c>
      <c r="O315" s="343"/>
      <c r="P315" s="363">
        <f t="shared" ca="1" si="134"/>
        <v>10</v>
      </c>
      <c r="Q315" s="357">
        <f t="shared" ca="1" si="135"/>
        <v>726.57142857143162</v>
      </c>
      <c r="R315" s="359">
        <f t="shared" ca="1" si="136"/>
        <v>0.36396306840514631</v>
      </c>
      <c r="S315" s="360">
        <f t="shared" ca="1" si="137"/>
        <v>10.057735900247879</v>
      </c>
      <c r="T315" s="357">
        <f t="shared" ca="1" si="117"/>
        <v>98.666389181431697</v>
      </c>
      <c r="U315" s="364">
        <f t="shared" ca="1" si="118"/>
        <v>0</v>
      </c>
      <c r="V315" s="359">
        <f t="shared" ca="1" si="119"/>
        <v>1.1810056160225491</v>
      </c>
      <c r="W315" s="357">
        <f t="shared" ca="1" si="120"/>
        <v>135.53188021650013</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365.70474885407464</v>
      </c>
      <c r="AF315" s="344"/>
      <c r="AG315" s="359">
        <f t="shared" ca="1" si="143"/>
        <v>49.267423724766537</v>
      </c>
      <c r="AH315" s="357">
        <f t="shared" ca="1" si="144"/>
        <v>58.820909007219953</v>
      </c>
    </row>
    <row r="316" spans="1:34" x14ac:dyDescent="0.25">
      <c r="A316" s="402">
        <f t="shared" ca="1" si="122"/>
        <v>0.01</v>
      </c>
      <c r="B316" s="357">
        <f t="shared" ca="1" si="123"/>
        <v>3.1199999999999775</v>
      </c>
      <c r="C316" s="342"/>
      <c r="D316" s="359">
        <f t="shared" ca="1" si="124"/>
        <v>13.330587733059318</v>
      </c>
      <c r="E316" s="360">
        <f t="shared" ca="1" si="125"/>
        <v>47.307358978804281</v>
      </c>
      <c r="F316" s="357">
        <f t="shared" ca="1" si="126"/>
        <v>49.149677342361521</v>
      </c>
      <c r="G316" s="359">
        <f t="shared" ca="1" si="127"/>
        <v>51.084998430936615</v>
      </c>
      <c r="H316" s="360">
        <f t="shared" ca="1" si="128"/>
        <v>218.78498694562165</v>
      </c>
      <c r="I316" s="357">
        <f t="shared" ca="1" si="129"/>
        <v>224.66986352754265</v>
      </c>
      <c r="J316" s="359">
        <f t="shared" ca="1" si="130"/>
        <v>80.572579996012891</v>
      </c>
      <c r="K316" s="360">
        <f t="shared" ca="1" si="131"/>
        <v>367.89023335558193</v>
      </c>
      <c r="L316" s="357">
        <f t="shared" ca="1" si="116"/>
        <v>376.61009604847084</v>
      </c>
      <c r="M316" s="359">
        <f t="shared" ca="1" si="132"/>
        <v>1.3414119556825506</v>
      </c>
      <c r="N316" s="357">
        <f t="shared" ca="1" si="133"/>
        <v>76.857243648999969</v>
      </c>
      <c r="O316" s="343"/>
      <c r="P316" s="363">
        <f t="shared" ca="1" si="134"/>
        <v>10</v>
      </c>
      <c r="Q316" s="357">
        <f t="shared" ca="1" si="135"/>
        <v>725.22857142857447</v>
      </c>
      <c r="R316" s="359">
        <f t="shared" ca="1" si="136"/>
        <v>0.36329038794053592</v>
      </c>
      <c r="S316" s="360">
        <f t="shared" ca="1" si="137"/>
        <v>10.054102996368474</v>
      </c>
      <c r="T316" s="357">
        <f t="shared" ca="1" si="117"/>
        <v>98.630750394374743</v>
      </c>
      <c r="U316" s="364">
        <f t="shared" ca="1" si="118"/>
        <v>0</v>
      </c>
      <c r="V316" s="359">
        <f t="shared" ca="1" si="119"/>
        <v>1.1807474504529141</v>
      </c>
      <c r="W316" s="357">
        <f t="shared" ca="1" si="120"/>
        <v>136.09645161827601</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367.89023335558193</v>
      </c>
      <c r="AF316" s="344"/>
      <c r="AG316" s="359">
        <f t="shared" ca="1" si="143"/>
        <v>49.09907870430574</v>
      </c>
      <c r="AH316" s="357">
        <f t="shared" ca="1" si="144"/>
        <v>58.652342374558117</v>
      </c>
    </row>
    <row r="317" spans="1:34" x14ac:dyDescent="0.25">
      <c r="A317" s="402">
        <f t="shared" ca="1" si="122"/>
        <v>0.01</v>
      </c>
      <c r="B317" s="357">
        <f t="shared" ca="1" si="123"/>
        <v>3.1299999999999772</v>
      </c>
      <c r="C317" s="342"/>
      <c r="D317" s="359">
        <f t="shared" ca="1" si="124"/>
        <v>13.297914768124054</v>
      </c>
      <c r="E317" s="360">
        <f t="shared" ca="1" si="125"/>
        <v>47.141829271000105</v>
      </c>
      <c r="F317" s="357">
        <f t="shared" ca="1" si="126"/>
        <v>48.981492465995906</v>
      </c>
      <c r="G317" s="359">
        <f t="shared" ca="1" si="127"/>
        <v>51.217977578617855</v>
      </c>
      <c r="H317" s="360">
        <f t="shared" ca="1" si="128"/>
        <v>219.25640523833167</v>
      </c>
      <c r="I317" s="357">
        <f t="shared" ca="1" si="129"/>
        <v>225.15917139943315</v>
      </c>
      <c r="J317" s="359">
        <f t="shared" ca="1" si="130"/>
        <v>81.084094876060661</v>
      </c>
      <c r="K317" s="360">
        <f t="shared" ca="1" si="131"/>
        <v>370.08044031650172</v>
      </c>
      <c r="L317" s="357">
        <f t="shared" ca="1" si="116"/>
        <v>378.8590275375866</v>
      </c>
      <c r="M317" s="359">
        <f t="shared" ca="1" si="132"/>
        <v>1.341312888929467</v>
      </c>
      <c r="N317" s="357">
        <f t="shared" ca="1" si="133"/>
        <v>76.851567542158222</v>
      </c>
      <c r="O317" s="343"/>
      <c r="P317" s="363">
        <f t="shared" ca="1" si="134"/>
        <v>10</v>
      </c>
      <c r="Q317" s="357">
        <f t="shared" ca="1" si="135"/>
        <v>723.88571428571731</v>
      </c>
      <c r="R317" s="359">
        <f t="shared" ca="1" si="136"/>
        <v>0.36261770747592553</v>
      </c>
      <c r="S317" s="360">
        <f t="shared" ca="1" si="137"/>
        <v>10.050476819293715</v>
      </c>
      <c r="T317" s="357">
        <f t="shared" ca="1" si="117"/>
        <v>98.595177597271345</v>
      </c>
      <c r="U317" s="364">
        <f t="shared" ca="1" si="118"/>
        <v>0</v>
      </c>
      <c r="V317" s="359">
        <f t="shared" ca="1" si="119"/>
        <v>1.180488782607805</v>
      </c>
      <c r="W317" s="357">
        <f t="shared" ca="1" si="120"/>
        <v>136.65996049267406</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370.08044031650172</v>
      </c>
      <c r="AF317" s="344"/>
      <c r="AG317" s="359">
        <f t="shared" ca="1" si="143"/>
        <v>48.930676700950372</v>
      </c>
      <c r="AH317" s="357">
        <f t="shared" ca="1" si="144"/>
        <v>58.483719054908235</v>
      </c>
    </row>
    <row r="318" spans="1:34" x14ac:dyDescent="0.25">
      <c r="A318" s="402">
        <f t="shared" ca="1" si="122"/>
        <v>0.01</v>
      </c>
      <c r="B318" s="357">
        <f t="shared" ca="1" si="123"/>
        <v>3.139999999999977</v>
      </c>
      <c r="C318" s="342"/>
      <c r="D318" s="359">
        <f t="shared" ca="1" si="124"/>
        <v>13.265186711577108</v>
      </c>
      <c r="E318" s="360">
        <f t="shared" ca="1" si="125"/>
        <v>46.97625534815915</v>
      </c>
      <c r="F318" s="357">
        <f t="shared" ca="1" si="126"/>
        <v>48.813253784484118</v>
      </c>
      <c r="G318" s="359">
        <f t="shared" ca="1" si="127"/>
        <v>51.350629445733624</v>
      </c>
      <c r="H318" s="360">
        <f t="shared" ca="1" si="128"/>
        <v>219.72616779181325</v>
      </c>
      <c r="I318" s="357">
        <f t="shared" ca="1" si="129"/>
        <v>225.64679469682065</v>
      </c>
      <c r="J318" s="359">
        <f t="shared" ca="1" si="130"/>
        <v>81.596937911182422</v>
      </c>
      <c r="K318" s="360">
        <f t="shared" ca="1" si="131"/>
        <v>372.27535318165246</v>
      </c>
      <c r="L318" s="357">
        <f t="shared" ca="1" si="116"/>
        <v>381.11284268967563</v>
      </c>
      <c r="M318" s="359">
        <f t="shared" ca="1" si="132"/>
        <v>1.3412139943192118</v>
      </c>
      <c r="N318" s="357">
        <f t="shared" ca="1" si="133"/>
        <v>76.845901298374002</v>
      </c>
      <c r="O318" s="343"/>
      <c r="P318" s="363">
        <f t="shared" ca="1" si="134"/>
        <v>10</v>
      </c>
      <c r="Q318" s="357">
        <f t="shared" ca="1" si="135"/>
        <v>722.54285714286027</v>
      </c>
      <c r="R318" s="359">
        <f t="shared" ca="1" si="136"/>
        <v>0.36194502701131526</v>
      </c>
      <c r="S318" s="360">
        <f t="shared" ca="1" si="137"/>
        <v>10.046857369023602</v>
      </c>
      <c r="T318" s="357">
        <f t="shared" ca="1" si="117"/>
        <v>98.559670790121544</v>
      </c>
      <c r="U318" s="364">
        <f t="shared" ca="1" si="118"/>
        <v>0</v>
      </c>
      <c r="V318" s="359">
        <f t="shared" ca="1" si="119"/>
        <v>1.1802296147836719</v>
      </c>
      <c r="W318" s="357">
        <f t="shared" ca="1" si="120"/>
        <v>137.22239284178596</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372.27535318165246</v>
      </c>
      <c r="AF318" s="344"/>
      <c r="AG318" s="359">
        <f t="shared" ca="1" si="143"/>
        <v>48.762219395841612</v>
      </c>
      <c r="AH318" s="357">
        <f t="shared" ca="1" si="144"/>
        <v>58.315040726722778</v>
      </c>
    </row>
    <row r="319" spans="1:34" x14ac:dyDescent="0.25">
      <c r="A319" s="402">
        <f t="shared" ca="1" si="122"/>
        <v>0.01</v>
      </c>
      <c r="B319" s="357">
        <f t="shared" ca="1" si="123"/>
        <v>3.1499999999999768</v>
      </c>
      <c r="C319" s="342"/>
      <c r="D319" s="359">
        <f t="shared" ca="1" si="124"/>
        <v>13.23240409576672</v>
      </c>
      <c r="E319" s="360">
        <f t="shared" ca="1" si="125"/>
        <v>46.8106388123852</v>
      </c>
      <c r="F319" s="357">
        <f t="shared" ca="1" si="126"/>
        <v>48.64496298875401</v>
      </c>
      <c r="G319" s="359">
        <f t="shared" ca="1" si="127"/>
        <v>51.482953486691294</v>
      </c>
      <c r="H319" s="360">
        <f t="shared" ca="1" si="128"/>
        <v>220.19427417993711</v>
      </c>
      <c r="I319" s="357">
        <f t="shared" ca="1" si="129"/>
        <v>226.13273288345971</v>
      </c>
      <c r="J319" s="359">
        <f t="shared" ca="1" si="130"/>
        <v>82.111105825844547</v>
      </c>
      <c r="K319" s="360">
        <f t="shared" ca="1" si="131"/>
        <v>374.47495539151123</v>
      </c>
      <c r="L319" s="357">
        <f t="shared" ca="1" si="116"/>
        <v>383.37152465384986</v>
      </c>
      <c r="M319" s="359">
        <f t="shared" ca="1" si="132"/>
        <v>1.3411152704474028</v>
      </c>
      <c r="N319" s="357">
        <f t="shared" ca="1" si="133"/>
        <v>76.840244837182155</v>
      </c>
      <c r="O319" s="343"/>
      <c r="P319" s="363">
        <f t="shared" ca="1" si="134"/>
        <v>10</v>
      </c>
      <c r="Q319" s="357">
        <f t="shared" ca="1" si="135"/>
        <v>721.20000000000312</v>
      </c>
      <c r="R319" s="359">
        <f t="shared" ca="1" si="136"/>
        <v>0.36127234654670487</v>
      </c>
      <c r="S319" s="360">
        <f t="shared" ca="1" si="137"/>
        <v>10.043244645558135</v>
      </c>
      <c r="T319" s="357">
        <f t="shared" ca="1" si="117"/>
        <v>98.524229972925312</v>
      </c>
      <c r="U319" s="364">
        <f t="shared" ca="1" si="118"/>
        <v>0</v>
      </c>
      <c r="V319" s="359">
        <f t="shared" ca="1" si="119"/>
        <v>1.1799699492763411</v>
      </c>
      <c r="W319" s="357">
        <f t="shared" ca="1" si="120"/>
        <v>137.78373474693217</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374.47495539151123</v>
      </c>
      <c r="AF319" s="344"/>
      <c r="AG319" s="359">
        <f t="shared" ca="1" si="143"/>
        <v>48.593708464871625</v>
      </c>
      <c r="AH319" s="357">
        <f t="shared" ca="1" si="144"/>
        <v>58.146309063226411</v>
      </c>
    </row>
    <row r="320" spans="1:34" x14ac:dyDescent="0.25">
      <c r="A320" s="402">
        <f t="shared" ca="1" si="122"/>
        <v>0.01</v>
      </c>
      <c r="B320" s="357">
        <f t="shared" ca="1" si="123"/>
        <v>3.1599999999999766</v>
      </c>
      <c r="C320" s="342"/>
      <c r="D320" s="359">
        <f t="shared" ca="1" si="124"/>
        <v>13.199567450908178</v>
      </c>
      <c r="E320" s="360">
        <f t="shared" ca="1" si="125"/>
        <v>46.64498126080106</v>
      </c>
      <c r="F320" s="357">
        <f t="shared" ca="1" si="126"/>
        <v>48.476621764635752</v>
      </c>
      <c r="G320" s="359">
        <f t="shared" ca="1" si="127"/>
        <v>51.614949161200379</v>
      </c>
      <c r="H320" s="360">
        <f t="shared" ca="1" si="128"/>
        <v>220.66072399254512</v>
      </c>
      <c r="I320" s="357">
        <f t="shared" ca="1" si="129"/>
        <v>226.61698543981092</v>
      </c>
      <c r="J320" s="359">
        <f t="shared" ca="1" si="130"/>
        <v>82.626595339084005</v>
      </c>
      <c r="K320" s="360">
        <f t="shared" ca="1" si="131"/>
        <v>376.67923038237365</v>
      </c>
      <c r="L320" s="357">
        <f t="shared" ca="1" si="116"/>
        <v>385.63505657394018</v>
      </c>
      <c r="M320" s="359">
        <f t="shared" ca="1" si="132"/>
        <v>1.3410167159216775</v>
      </c>
      <c r="N320" s="357">
        <f t="shared" ca="1" si="133"/>
        <v>76.834598078806181</v>
      </c>
      <c r="O320" s="343"/>
      <c r="P320" s="363">
        <f t="shared" ca="1" si="134"/>
        <v>10</v>
      </c>
      <c r="Q320" s="357">
        <f t="shared" ca="1" si="135"/>
        <v>719.85714285714596</v>
      </c>
      <c r="R320" s="359">
        <f t="shared" ca="1" si="136"/>
        <v>0.36059966608209448</v>
      </c>
      <c r="S320" s="360">
        <f t="shared" ca="1" si="137"/>
        <v>10.039638648897313</v>
      </c>
      <c r="T320" s="357">
        <f t="shared" ca="1" si="117"/>
        <v>98.488855145682649</v>
      </c>
      <c r="U320" s="364">
        <f t="shared" ca="1" si="118"/>
        <v>0</v>
      </c>
      <c r="V320" s="359">
        <f t="shared" ca="1" si="119"/>
        <v>1.1797097883809844</v>
      </c>
      <c r="W320" s="357">
        <f t="shared" ca="1" si="120"/>
        <v>138.34397236883873</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376.67923038237365</v>
      </c>
      <c r="AF320" s="344"/>
      <c r="AG320" s="359">
        <f t="shared" ca="1" si="143"/>
        <v>48.425145578645122</v>
      </c>
      <c r="AH320" s="357">
        <f t="shared" ca="1" si="144"/>
        <v>57.977525732377316</v>
      </c>
    </row>
    <row r="321" spans="1:34" x14ac:dyDescent="0.25">
      <c r="A321" s="402">
        <f t="shared" ca="1" si="122"/>
        <v>0.01</v>
      </c>
      <c r="B321" s="357">
        <f t="shared" ca="1" si="123"/>
        <v>3.1699999999999764</v>
      </c>
      <c r="C321" s="342"/>
      <c r="D321" s="359">
        <f t="shared" ca="1" si="124"/>
        <v>13.166677305087889</v>
      </c>
      <c r="E321" s="360">
        <f t="shared" ca="1" si="125"/>
        <v>46.479284285509067</v>
      </c>
      <c r="F321" s="357">
        <f t="shared" ca="1" si="126"/>
        <v>48.308231792826845</v>
      </c>
      <c r="G321" s="359">
        <f t="shared" ca="1" si="127"/>
        <v>51.74661593425126</v>
      </c>
      <c r="H321" s="360">
        <f t="shared" ca="1" si="128"/>
        <v>221.12551683540022</v>
      </c>
      <c r="I321" s="357">
        <f t="shared" ca="1" si="129"/>
        <v>227.09955186298754</v>
      </c>
      <c r="J321" s="359">
        <f t="shared" ca="1" si="130"/>
        <v>83.143403164561263</v>
      </c>
      <c r="K321" s="360">
        <f t="shared" ca="1" si="131"/>
        <v>378.88816158651338</v>
      </c>
      <c r="L321" s="357">
        <f t="shared" ca="1" si="116"/>
        <v>387.90342158866378</v>
      </c>
      <c r="M321" s="359">
        <f t="shared" ca="1" si="132"/>
        <v>1.3409183293615441</v>
      </c>
      <c r="N321" s="357">
        <f t="shared" ca="1" si="133"/>
        <v>76.828960944149728</v>
      </c>
      <c r="O321" s="343"/>
      <c r="P321" s="363">
        <f t="shared" ca="1" si="134"/>
        <v>10</v>
      </c>
      <c r="Q321" s="357">
        <f t="shared" ca="1" si="135"/>
        <v>718.51428571428892</v>
      </c>
      <c r="R321" s="359">
        <f t="shared" ca="1" si="136"/>
        <v>0.35992698561748415</v>
      </c>
      <c r="S321" s="360">
        <f t="shared" ca="1" si="137"/>
        <v>10.036039379041139</v>
      </c>
      <c r="T321" s="357">
        <f t="shared" ca="1" si="117"/>
        <v>98.45354630839357</v>
      </c>
      <c r="U321" s="364">
        <f t="shared" ca="1" si="118"/>
        <v>0</v>
      </c>
      <c r="V321" s="359">
        <f t="shared" ca="1" si="119"/>
        <v>1.1794491343920948</v>
      </c>
      <c r="W321" s="357">
        <f t="shared" ca="1" si="120"/>
        <v>138.90309194780983</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378.88816158651338</v>
      </c>
      <c r="AF321" s="344"/>
      <c r="AG321" s="359">
        <f t="shared" ca="1" si="143"/>
        <v>48.256532402441273</v>
      </c>
      <c r="AH321" s="357">
        <f t="shared" ca="1" si="144"/>
        <v>57.808692396828825</v>
      </c>
    </row>
    <row r="322" spans="1:34" x14ac:dyDescent="0.25">
      <c r="A322" s="402">
        <f t="shared" ca="1" si="122"/>
        <v>0.01</v>
      </c>
      <c r="B322" s="357">
        <f t="shared" ca="1" si="123"/>
        <v>3.1799999999999762</v>
      </c>
      <c r="C322" s="342"/>
      <c r="D322" s="359">
        <f t="shared" ca="1" si="124"/>
        <v>13.133734184267238</v>
      </c>
      <c r="E322" s="360">
        <f t="shared" ca="1" si="125"/>
        <v>46.313549473552222</v>
      </c>
      <c r="F322" s="357">
        <f t="shared" ca="1" si="126"/>
        <v>48.139794748857824</v>
      </c>
      <c r="G322" s="359">
        <f t="shared" ca="1" si="127"/>
        <v>51.877953276093933</v>
      </c>
      <c r="H322" s="360">
        <f t="shared" ca="1" si="128"/>
        <v>221.58865233013574</v>
      </c>
      <c r="I322" s="357">
        <f t="shared" ca="1" si="129"/>
        <v>227.58043166670188</v>
      </c>
      <c r="J322" s="359">
        <f t="shared" ca="1" si="130"/>
        <v>83.661526010612988</v>
      </c>
      <c r="K322" s="360">
        <f t="shared" ca="1" si="131"/>
        <v>381.10173243234107</v>
      </c>
      <c r="L322" s="357">
        <f t="shared" ca="1" si="116"/>
        <v>390.17660283178969</v>
      </c>
      <c r="M322" s="359">
        <f t="shared" ca="1" si="132"/>
        <v>1.3408201093982313</v>
      </c>
      <c r="N322" s="357">
        <f t="shared" ca="1" si="133"/>
        <v>76.823333354787977</v>
      </c>
      <c r="O322" s="343"/>
      <c r="P322" s="363">
        <f t="shared" ca="1" si="134"/>
        <v>10</v>
      </c>
      <c r="Q322" s="357">
        <f t="shared" ca="1" si="135"/>
        <v>717.17142857143176</v>
      </c>
      <c r="R322" s="359">
        <f t="shared" ca="1" si="136"/>
        <v>0.35925430515287377</v>
      </c>
      <c r="S322" s="360">
        <f t="shared" ca="1" si="137"/>
        <v>10.03244683598961</v>
      </c>
      <c r="T322" s="357">
        <f t="shared" ca="1" si="117"/>
        <v>98.418303461058088</v>
      </c>
      <c r="U322" s="364">
        <f t="shared" ca="1" si="118"/>
        <v>0</v>
      </c>
      <c r="V322" s="359">
        <f t="shared" ca="1" si="119"/>
        <v>1.1791879896034549</v>
      </c>
      <c r="W322" s="357">
        <f t="shared" ca="1" si="120"/>
        <v>139.46107980389473</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381.10173243234107</v>
      </c>
      <c r="AF322" s="344"/>
      <c r="AG322" s="359">
        <f t="shared" ca="1" si="143"/>
        <v>48.087870596176138</v>
      </c>
      <c r="AH322" s="357">
        <f t="shared" ca="1" si="144"/>
        <v>57.639810713891613</v>
      </c>
    </row>
    <row r="323" spans="1:34" x14ac:dyDescent="0.25">
      <c r="A323" s="402">
        <f t="shared" ca="1" si="122"/>
        <v>0.01</v>
      </c>
      <c r="B323" s="357">
        <f t="shared" ca="1" si="123"/>
        <v>3.189999999999976</v>
      </c>
      <c r="C323" s="342"/>
      <c r="D323" s="359">
        <f t="shared" ca="1" si="124"/>
        <v>13.100738612286408</v>
      </c>
      <c r="E323" s="360">
        <f t="shared" ca="1" si="125"/>
        <v>46.147778406875744</v>
      </c>
      <c r="F323" s="357">
        <f t="shared" ca="1" si="126"/>
        <v>47.971312303058362</v>
      </c>
      <c r="G323" s="359">
        <f t="shared" ca="1" si="127"/>
        <v>52.008960662216801</v>
      </c>
      <c r="H323" s="360">
        <f t="shared" ca="1" si="128"/>
        <v>222.05013011420451</v>
      </c>
      <c r="I323" s="357">
        <f t="shared" ca="1" si="129"/>
        <v>228.05962438121125</v>
      </c>
      <c r="J323" s="359">
        <f t="shared" ca="1" si="130"/>
        <v>84.180960580304543</v>
      </c>
      <c r="K323" s="360">
        <f t="shared" ca="1" si="131"/>
        <v>383.31992634456276</v>
      </c>
      <c r="L323" s="357">
        <f t="shared" ca="1" si="116"/>
        <v>392.45458343230467</v>
      </c>
      <c r="M323" s="359">
        <f t="shared" ca="1" si="132"/>
        <v>1.3407220546745429</v>
      </c>
      <c r="N323" s="357">
        <f t="shared" ca="1" si="133"/>
        <v>76.817715232959316</v>
      </c>
      <c r="O323" s="343"/>
      <c r="P323" s="363">
        <f t="shared" ca="1" si="134"/>
        <v>10</v>
      </c>
      <c r="Q323" s="357">
        <f t="shared" ca="1" si="135"/>
        <v>715.82857142857461</v>
      </c>
      <c r="R323" s="359">
        <f t="shared" ca="1" si="136"/>
        <v>0.35858162468826338</v>
      </c>
      <c r="S323" s="360">
        <f t="shared" ca="1" si="137"/>
        <v>10.028861019742727</v>
      </c>
      <c r="T323" s="357">
        <f t="shared" ca="1" si="117"/>
        <v>98.38312660367616</v>
      </c>
      <c r="U323" s="364">
        <f t="shared" ca="1" si="118"/>
        <v>0</v>
      </c>
      <c r="V323" s="359">
        <f t="shared" ca="1" si="119"/>
        <v>1.1789263563081109</v>
      </c>
      <c r="W323" s="357">
        <f t="shared" ca="1" si="120"/>
        <v>140.01792233705044</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383.31992634456276</v>
      </c>
      <c r="AF323" s="344"/>
      <c r="AG323" s="359">
        <f t="shared" ca="1" si="143"/>
        <v>47.919161814365552</v>
      </c>
      <c r="AH323" s="357">
        <f t="shared" ca="1" si="144"/>
        <v>57.470882335496306</v>
      </c>
    </row>
    <row r="324" spans="1:34" x14ac:dyDescent="0.25">
      <c r="A324" s="402">
        <f t="shared" ca="1" si="122"/>
        <v>0.01</v>
      </c>
      <c r="B324" s="357">
        <f t="shared" ca="1" si="123"/>
        <v>3.1999999999999758</v>
      </c>
      <c r="C324" s="342"/>
      <c r="D324" s="359">
        <f t="shared" ca="1" si="124"/>
        <v>13.067691110867996</v>
      </c>
      <c r="E324" s="360">
        <f t="shared" ca="1" si="125"/>
        <v>45.981972662289138</v>
      </c>
      <c r="F324" s="357">
        <f t="shared" ca="1" si="126"/>
        <v>47.802786120524019</v>
      </c>
      <c r="G324" s="359">
        <f t="shared" ca="1" si="127"/>
        <v>52.13963757332548</v>
      </c>
      <c r="H324" s="360">
        <f t="shared" ca="1" si="128"/>
        <v>222.5099498408274</v>
      </c>
      <c r="I324" s="357">
        <f t="shared" ca="1" si="129"/>
        <v>228.53712955326375</v>
      </c>
      <c r="J324" s="359">
        <f t="shared" ca="1" si="130"/>
        <v>84.701703571482255</v>
      </c>
      <c r="K324" s="360">
        <f t="shared" ca="1" si="131"/>
        <v>385.54272674433793</v>
      </c>
      <c r="L324" s="357">
        <f t="shared" ref="L324:L387" ca="1" si="145">SQRT(pos_x^2+pos_z^2)</f>
        <v>394.73734651457858</v>
      </c>
      <c r="M324" s="359">
        <f t="shared" ca="1" si="132"/>
        <v>1.3406241638447141</v>
      </c>
      <c r="N324" s="357">
        <f t="shared" ca="1" si="133"/>
        <v>76.812106501557082</v>
      </c>
      <c r="O324" s="343"/>
      <c r="P324" s="363">
        <f t="shared" ca="1" si="134"/>
        <v>10</v>
      </c>
      <c r="Q324" s="357">
        <f t="shared" ca="1" si="135"/>
        <v>714.48571428571756</v>
      </c>
      <c r="R324" s="359">
        <f t="shared" ca="1" si="136"/>
        <v>0.35790894422365305</v>
      </c>
      <c r="S324" s="360">
        <f t="shared" ca="1" si="137"/>
        <v>10.025281930300491</v>
      </c>
      <c r="T324" s="357">
        <f t="shared" ref="T324:T387" ca="1" si="146">m*g</f>
        <v>98.348015736247817</v>
      </c>
      <c r="U324" s="364">
        <f t="shared" ref="U324:U387" ca="1" si="147">IF(pos_xz&lt;L_rampe,Poids*COS(Beta),0)</f>
        <v>0</v>
      </c>
      <c r="V324" s="359">
        <f t="shared" ref="V324:V387" ca="1" si="148">Rho_moyen*(20000-Alt_rampe-pos_z)/(20000+Alt_rampe+pos_z)</f>
        <v>1.178664236798346</v>
      </c>
      <c r="W324" s="357">
        <f t="shared" ref="W324:W387" ca="1" si="149">1/2*Rho*Sref*Cx*vit_xz^2</f>
        <v>140.57360602730003</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385.54272674433793</v>
      </c>
      <c r="AF324" s="344"/>
      <c r="AG324" s="359">
        <f t="shared" ca="1" si="143"/>
        <v>47.750407706088467</v>
      </c>
      <c r="AH324" s="357">
        <f t="shared" ca="1" si="144"/>
        <v>57.301908908156605</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13.034592199620471</v>
      </c>
      <c r="E325" s="360">
        <f t="shared" ref="E325:E388" ca="1" si="154">IF(AND(L324&lt;L_rampe,Poussee&lt;Poids*SIN(M324)),0,(-W324+Poussee)/m*SIN(M324)+U324/m*COS(M324)-Poids/m)</f>
        <v>45.816133811428571</v>
      </c>
      <c r="F325" s="357">
        <f t="shared" ref="F325:F388" ca="1" si="155">SQRT(acc_x^2+acc_z^2)</f>
        <v>47.634217861083172</v>
      </c>
      <c r="G325" s="359">
        <f t="shared" ref="G325:G388" ca="1" si="156">G324+acc_x*pas</f>
        <v>52.269983495321682</v>
      </c>
      <c r="H325" s="360">
        <f t="shared" ref="H325:H388" ca="1" si="157">H324+acc_z*pas</f>
        <v>222.96811117894168</v>
      </c>
      <c r="I325" s="357">
        <f t="shared" ref="I325:I388" ca="1" si="158">SQRT(vit_x^2+vit_z^2)</f>
        <v>229.01294674604338</v>
      </c>
      <c r="J325" s="359">
        <f t="shared" ref="J325:J388" ca="1" si="159">J324+0.5*(vit_x+G324)*pas*(K324&gt;=0)</f>
        <v>85.223751676825486</v>
      </c>
      <c r="K325" s="360">
        <f t="shared" ref="K325:K388" ca="1" si="160">K324+0.5*(vit_z+H324)*pas</f>
        <v>387.77011704943675</v>
      </c>
      <c r="L325" s="357">
        <f t="shared" ca="1" si="145"/>
        <v>397.02487519852843</v>
      </c>
      <c r="M325" s="359">
        <f t="shared" ref="M325:M388" ca="1" si="161">IF(AND(L324&gt;L_rampe,G325&gt;0),ATAN2(G325,H325),$M$4)</f>
        <v>1.3405264355742683</v>
      </c>
      <c r="N325" s="357">
        <f t="shared" ref="N325:N388" ca="1" si="162">DEGREES(Beta)</f>
        <v>76.806507084121435</v>
      </c>
      <c r="O325" s="343"/>
      <c r="P325" s="363">
        <f t="shared" ref="P325:P388" ca="1" si="163">MATCH(t-pas/2-T_ini,CdP_t)</f>
        <v>10</v>
      </c>
      <c r="Q325" s="357">
        <f t="shared" ref="Q325:Q388" ca="1" si="164">(INDEX(CdP,2,i_P+1)-INDEX(CdP,2,i_P+0))/(INDEX(CdP,1,i_P+1)-INDEX(CdP,1,i_P+0))*(t-pas/2-T_ini-INDEX(CdP,1,i_P+0))+INDEX(CdP,2,i_P+0)</f>
        <v>713.14285714286041</v>
      </c>
      <c r="R325" s="359">
        <f t="shared" ref="R325:R388" ca="1" si="165">Poussee/(g*ISP)</f>
        <v>0.35723626375904266</v>
      </c>
      <c r="S325" s="360">
        <f t="shared" ref="S325:S388" ca="1" si="166">S324-Débit*pas</f>
        <v>10.021709567662899</v>
      </c>
      <c r="T325" s="357">
        <f t="shared" ca="1" si="146"/>
        <v>98.312970858773042</v>
      </c>
      <c r="U325" s="364">
        <f t="shared" ca="1" si="147"/>
        <v>0</v>
      </c>
      <c r="V325" s="359">
        <f t="shared" ca="1" si="148"/>
        <v>1.1784016333656497</v>
      </c>
      <c r="W325" s="357">
        <f t="shared" ca="1" si="149"/>
        <v>141.12811743488507</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387.77011704943675</v>
      </c>
      <c r="AF325" s="344"/>
      <c r="AG325" s="359">
        <f t="shared" ref="AG325:AG388" ca="1" si="172">IF(AND(L324&lt;L_rampe,Poussee&lt;Poids*SIN(M324)),0,(-W324+Poussee)/m-Poids*SIN(M324)/m)</f>
        <v>47.581609914950555</v>
      </c>
      <c r="AH325" s="357">
        <f t="shared" ref="AH325:AH388" ca="1" si="173">IF(AND(L324&lt;L_rampe,Poussee&lt;Poids*SIN(M324)), g*SIN(M324), (-W324+Poussee)/m)</f>
        <v>57.132892072932592</v>
      </c>
    </row>
    <row r="326" spans="1:34" x14ac:dyDescent="0.25">
      <c r="A326" s="402">
        <f t="shared" ca="1" si="151"/>
        <v>0.01</v>
      </c>
      <c r="B326" s="357">
        <f t="shared" ca="1" si="152"/>
        <v>3.2199999999999753</v>
      </c>
      <c r="C326" s="342"/>
      <c r="D326" s="359">
        <f t="shared" ca="1" si="153"/>
        <v>13.001442396041682</v>
      </c>
      <c r="E326" s="360">
        <f t="shared" ca="1" si="154"/>
        <v>45.65026342072003</v>
      </c>
      <c r="F326" s="357">
        <f t="shared" ca="1" si="155"/>
        <v>47.465609179264938</v>
      </c>
      <c r="G326" s="359">
        <f t="shared" ca="1" si="156"/>
        <v>52.3999979192821</v>
      </c>
      <c r="H326" s="360">
        <f t="shared" ca="1" si="157"/>
        <v>223.42461381314888</v>
      </c>
      <c r="I326" s="357">
        <f t="shared" ca="1" si="158"/>
        <v>229.48707553911504</v>
      </c>
      <c r="J326" s="359">
        <f t="shared" ca="1" si="159"/>
        <v>85.747101583898498</v>
      </c>
      <c r="K326" s="360">
        <f t="shared" ca="1" si="160"/>
        <v>390.00208067439718</v>
      </c>
      <c r="L326" s="357">
        <f t="shared" ca="1" si="145"/>
        <v>399.31715259978301</v>
      </c>
      <c r="M326" s="359">
        <f t="shared" ca="1" si="161"/>
        <v>1.3404288685398789</v>
      </c>
      <c r="N326" s="357">
        <f t="shared" ca="1" si="162"/>
        <v>76.800916904831311</v>
      </c>
      <c r="O326" s="343"/>
      <c r="P326" s="363">
        <f t="shared" ca="1" si="163"/>
        <v>10</v>
      </c>
      <c r="Q326" s="357">
        <f t="shared" ca="1" si="164"/>
        <v>711.80000000000337</v>
      </c>
      <c r="R326" s="359">
        <f t="shared" ca="1" si="165"/>
        <v>0.35656358329443238</v>
      </c>
      <c r="S326" s="360">
        <f t="shared" ca="1" si="166"/>
        <v>10.018143931829956</v>
      </c>
      <c r="T326" s="357">
        <f t="shared" ca="1" si="146"/>
        <v>98.277991971251865</v>
      </c>
      <c r="U326" s="364">
        <f t="shared" ca="1" si="147"/>
        <v>0</v>
      </c>
      <c r="V326" s="359">
        <f t="shared" ca="1" si="148"/>
        <v>1.1781385483006941</v>
      </c>
      <c r="W326" s="357">
        <f t="shared" ca="1" si="149"/>
        <v>141.68144320041435</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390.00208067439718</v>
      </c>
      <c r="AF326" s="344"/>
      <c r="AG326" s="359">
        <f t="shared" ca="1" si="172"/>
        <v>47.412770079048585</v>
      </c>
      <c r="AH326" s="357">
        <f t="shared" ca="1" si="173"/>
        <v>56.96383346539492</v>
      </c>
    </row>
    <row r="327" spans="1:34" x14ac:dyDescent="0.25">
      <c r="A327" s="402">
        <f t="shared" ca="1" si="151"/>
        <v>0.01</v>
      </c>
      <c r="B327" s="357">
        <f t="shared" ca="1" si="152"/>
        <v>3.2299999999999751</v>
      </c>
      <c r="C327" s="342"/>
      <c r="D327" s="359">
        <f t="shared" ca="1" si="153"/>
        <v>12.968242215522041</v>
      </c>
      <c r="E327" s="360">
        <f t="shared" ca="1" si="154"/>
        <v>45.48436305134269</v>
      </c>
      <c r="F327" s="357">
        <f t="shared" ca="1" si="155"/>
        <v>47.296961724267192</v>
      </c>
      <c r="G327" s="359">
        <f t="shared" ca="1" si="156"/>
        <v>52.52968034143732</v>
      </c>
      <c r="H327" s="360">
        <f t="shared" ca="1" si="157"/>
        <v>223.87945744366232</v>
      </c>
      <c r="I327" s="357">
        <f t="shared" ca="1" si="158"/>
        <v>229.95951552836902</v>
      </c>
      <c r="J327" s="359">
        <f t="shared" ca="1" si="159"/>
        <v>86.271749975202098</v>
      </c>
      <c r="K327" s="360">
        <f t="shared" ca="1" si="160"/>
        <v>392.23860103068125</v>
      </c>
      <c r="L327" s="357">
        <f t="shared" ca="1" si="145"/>
        <v>401.61416182984601</v>
      </c>
      <c r="M327" s="359">
        <f t="shared" ca="1" si="161"/>
        <v>1.3403314614292308</v>
      </c>
      <c r="N327" s="357">
        <f t="shared" ca="1" si="162"/>
        <v>76.795335888496609</v>
      </c>
      <c r="O327" s="343"/>
      <c r="P327" s="363">
        <f t="shared" ca="1" si="163"/>
        <v>10</v>
      </c>
      <c r="Q327" s="357">
        <f t="shared" ca="1" si="164"/>
        <v>710.45714285714621</v>
      </c>
      <c r="R327" s="359">
        <f t="shared" ca="1" si="165"/>
        <v>0.355890902829822</v>
      </c>
      <c r="S327" s="360">
        <f t="shared" ca="1" si="166"/>
        <v>10.014585022801658</v>
      </c>
      <c r="T327" s="357">
        <f t="shared" ca="1" si="146"/>
        <v>98.243079073684271</v>
      </c>
      <c r="U327" s="364">
        <f t="shared" ca="1" si="147"/>
        <v>0</v>
      </c>
      <c r="V327" s="359">
        <f t="shared" ca="1" si="148"/>
        <v>1.1778749838933036</v>
      </c>
      <c r="W327" s="357">
        <f t="shared" ca="1" si="149"/>
        <v>142.23357004500741</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392.23860103068125</v>
      </c>
      <c r="AF327" s="344"/>
      <c r="AG327" s="359">
        <f t="shared" ca="1" si="172"/>
        <v>47.243889830934961</v>
      </c>
      <c r="AH327" s="357">
        <f t="shared" ca="1" si="173"/>
        <v>56.794734715589087</v>
      </c>
    </row>
    <row r="328" spans="1:34" x14ac:dyDescent="0.25">
      <c r="A328" s="402">
        <f t="shared" ca="1" si="151"/>
        <v>0.01</v>
      </c>
      <c r="B328" s="357">
        <f t="shared" ca="1" si="152"/>
        <v>3.2399999999999749</v>
      </c>
      <c r="C328" s="342"/>
      <c r="D328" s="359">
        <f t="shared" ca="1" si="153"/>
        <v>12.934992171347719</v>
      </c>
      <c r="E328" s="360">
        <f t="shared" ca="1" si="154"/>
        <v>45.318434259192934</v>
      </c>
      <c r="F328" s="357">
        <f t="shared" ca="1" si="155"/>
        <v>47.128277139925437</v>
      </c>
      <c r="G328" s="359">
        <f t="shared" ca="1" si="156"/>
        <v>52.659030263150797</v>
      </c>
      <c r="H328" s="360">
        <f t="shared" ca="1" si="157"/>
        <v>224.33264178625424</v>
      </c>
      <c r="I328" s="357">
        <f t="shared" ca="1" si="158"/>
        <v>230.43026632596531</v>
      </c>
      <c r="J328" s="359">
        <f t="shared" ca="1" si="159"/>
        <v>86.797693528225039</v>
      </c>
      <c r="K328" s="360">
        <f t="shared" ca="1" si="160"/>
        <v>394.47966152683085</v>
      </c>
      <c r="L328" s="357">
        <f t="shared" ca="1" si="145"/>
        <v>403.91588599625874</v>
      </c>
      <c r="M328" s="359">
        <f t="shared" ca="1" si="161"/>
        <v>1.3402342129408851</v>
      </c>
      <c r="N328" s="357">
        <f t="shared" ca="1" si="162"/>
        <v>76.789763960550374</v>
      </c>
      <c r="O328" s="343"/>
      <c r="P328" s="363">
        <f t="shared" ca="1" si="163"/>
        <v>10</v>
      </c>
      <c r="Q328" s="357">
        <f t="shared" ca="1" si="164"/>
        <v>709.11428571428905</v>
      </c>
      <c r="R328" s="359">
        <f t="shared" ca="1" si="165"/>
        <v>0.35521822236521161</v>
      </c>
      <c r="S328" s="360">
        <f t="shared" ca="1" si="166"/>
        <v>10.011032840578006</v>
      </c>
      <c r="T328" s="357">
        <f t="shared" ca="1" si="146"/>
        <v>98.208232166070246</v>
      </c>
      <c r="U328" s="364">
        <f t="shared" ca="1" si="147"/>
        <v>0</v>
      </c>
      <c r="V328" s="359">
        <f t="shared" ca="1" si="148"/>
        <v>1.1776109424324297</v>
      </c>
      <c r="W328" s="357">
        <f t="shared" ca="1" si="149"/>
        <v>142.78448477043358</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394.47966152683085</v>
      </c>
      <c r="AF328" s="344"/>
      <c r="AG328" s="359">
        <f t="shared" ca="1" si="172"/>
        <v>47.0749707975829</v>
      </c>
      <c r="AH328" s="357">
        <f t="shared" ca="1" si="173"/>
        <v>56.625597448000356</v>
      </c>
    </row>
    <row r="329" spans="1:34" x14ac:dyDescent="0.25">
      <c r="A329" s="402">
        <f t="shared" ca="1" si="151"/>
        <v>0.01</v>
      </c>
      <c r="B329" s="357">
        <f t="shared" ca="1" si="152"/>
        <v>3.2499999999999747</v>
      </c>
      <c r="C329" s="342"/>
      <c r="D329" s="359">
        <f t="shared" ca="1" si="153"/>
        <v>12.90169277470372</v>
      </c>
      <c r="E329" s="360">
        <f t="shared" ca="1" si="154"/>
        <v>45.152478594848695</v>
      </c>
      <c r="F329" s="357">
        <f t="shared" ca="1" si="155"/>
        <v>46.959557064681853</v>
      </c>
      <c r="G329" s="359">
        <f t="shared" ca="1" si="156"/>
        <v>52.788047190897835</v>
      </c>
      <c r="H329" s="360">
        <f t="shared" ca="1" si="157"/>
        <v>224.78416657220274</v>
      </c>
      <c r="I329" s="357">
        <f t="shared" ca="1" si="158"/>
        <v>230.89932756027733</v>
      </c>
      <c r="J329" s="359">
        <f t="shared" ca="1" si="159"/>
        <v>87.324928915495278</v>
      </c>
      <c r="K329" s="360">
        <f t="shared" ca="1" si="160"/>
        <v>396.72524556862317</v>
      </c>
      <c r="L329" s="357">
        <f t="shared" ca="1" si="145"/>
        <v>406.22230820276314</v>
      </c>
      <c r="M329" s="359">
        <f t="shared" ca="1" si="161"/>
        <v>1.3401371217841451</v>
      </c>
      <c r="N329" s="357">
        <f t="shared" ca="1" si="162"/>
        <v>76.784201047041137</v>
      </c>
      <c r="O329" s="343"/>
      <c r="P329" s="363">
        <f t="shared" ca="1" si="163"/>
        <v>10</v>
      </c>
      <c r="Q329" s="357">
        <f t="shared" ca="1" si="164"/>
        <v>707.77142857143201</v>
      </c>
      <c r="R329" s="359">
        <f t="shared" ca="1" si="165"/>
        <v>0.35454554190060128</v>
      </c>
      <c r="S329" s="360">
        <f t="shared" ca="1" si="166"/>
        <v>10.007487385158999</v>
      </c>
      <c r="T329" s="357">
        <f t="shared" ca="1" si="146"/>
        <v>98.173451248409791</v>
      </c>
      <c r="U329" s="364">
        <f t="shared" ca="1" si="147"/>
        <v>0</v>
      </c>
      <c r="V329" s="359">
        <f t="shared" ca="1" si="148"/>
        <v>1.1773464262061235</v>
      </c>
      <c r="W329" s="357">
        <f t="shared" ca="1" si="149"/>
        <v>143.33417425924614</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396.72524556862317</v>
      </c>
      <c r="AF329" s="344"/>
      <c r="AG329" s="359">
        <f t="shared" ca="1" si="172"/>
        <v>46.906014600351881</v>
      </c>
      <c r="AH329" s="357">
        <f t="shared" ca="1" si="173"/>
        <v>56.456423281519022</v>
      </c>
    </row>
    <row r="330" spans="1:34" x14ac:dyDescent="0.25">
      <c r="A330" s="402">
        <f t="shared" ca="1" si="151"/>
        <v>0.01</v>
      </c>
      <c r="B330" s="357">
        <f t="shared" ca="1" si="152"/>
        <v>3.2599999999999745</v>
      </c>
      <c r="C330" s="342"/>
      <c r="D330" s="359">
        <f t="shared" ca="1" si="153"/>
        <v>12.868834377934261</v>
      </c>
      <c r="E330" s="360">
        <f t="shared" ca="1" si="154"/>
        <v>44.98858347361729</v>
      </c>
      <c r="F330" s="357">
        <f t="shared" ca="1" si="155"/>
        <v>46.792943284317275</v>
      </c>
      <c r="G330" s="359">
        <f t="shared" ca="1" si="156"/>
        <v>52.91673553467718</v>
      </c>
      <c r="H330" s="360">
        <f t="shared" ca="1" si="157"/>
        <v>225.2340524069389</v>
      </c>
      <c r="I330" s="357">
        <f t="shared" ca="1" si="158"/>
        <v>231.36672030198869</v>
      </c>
      <c r="J330" s="359">
        <f t="shared" ca="1" si="159"/>
        <v>87.853452829123157</v>
      </c>
      <c r="K330" s="360">
        <f t="shared" ca="1" si="160"/>
        <v>398.97533666351887</v>
      </c>
      <c r="L330" s="357">
        <f t="shared" ca="1" si="145"/>
        <v>408.5334116565831</v>
      </c>
      <c r="M330" s="359">
        <f t="shared" ca="1" si="161"/>
        <v>1.3400401866879026</v>
      </c>
      <c r="N330" s="357">
        <f t="shared" ca="1" si="162"/>
        <v>76.778647075139745</v>
      </c>
      <c r="O330" s="343"/>
      <c r="P330" s="363">
        <f t="shared" ca="1" si="163"/>
        <v>11</v>
      </c>
      <c r="Q330" s="357">
        <f t="shared" ca="1" si="164"/>
        <v>706.45000000000334</v>
      </c>
      <c r="R330" s="359">
        <f t="shared" ca="1" si="165"/>
        <v>0.35388359569872402</v>
      </c>
      <c r="S330" s="360">
        <f t="shared" ca="1" si="166"/>
        <v>10.003948549202011</v>
      </c>
      <c r="T330" s="357">
        <f t="shared" ca="1" si="146"/>
        <v>98.138735267671734</v>
      </c>
      <c r="U330" s="364">
        <f t="shared" ca="1" si="147"/>
        <v>0</v>
      </c>
      <c r="V330" s="359">
        <f t="shared" ca="1" si="148"/>
        <v>1.1770814374892273</v>
      </c>
      <c r="W330" s="357">
        <f t="shared" ca="1" si="149"/>
        <v>143.88265212246034</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398.97533666351887</v>
      </c>
      <c r="AF330" s="344"/>
      <c r="AG330" s="359">
        <f t="shared" ca="1" si="172"/>
        <v>46.739165470276077</v>
      </c>
      <c r="AH330" s="357">
        <f t="shared" ca="1" si="173"/>
        <v>56.289356444728561</v>
      </c>
    </row>
    <row r="331" spans="1:34" x14ac:dyDescent="0.25">
      <c r="A331" s="402">
        <f t="shared" ca="1" si="151"/>
        <v>0.01</v>
      </c>
      <c r="B331" s="357">
        <f t="shared" ca="1" si="152"/>
        <v>3.2699999999999743</v>
      </c>
      <c r="C331" s="342"/>
      <c r="D331" s="359">
        <f t="shared" ca="1" si="153"/>
        <v>12.83641814047462</v>
      </c>
      <c r="E331" s="360">
        <f t="shared" ca="1" si="154"/>
        <v>44.826750490294167</v>
      </c>
      <c r="F331" s="357">
        <f t="shared" ca="1" si="155"/>
        <v>46.628437569751298</v>
      </c>
      <c r="G331" s="359">
        <f t="shared" ca="1" si="156"/>
        <v>53.045099716081928</v>
      </c>
      <c r="H331" s="360">
        <f t="shared" ca="1" si="157"/>
        <v>225.68231991184183</v>
      </c>
      <c r="I331" s="357">
        <f t="shared" ca="1" si="158"/>
        <v>231.83246563990988</v>
      </c>
      <c r="J331" s="359">
        <f t="shared" ca="1" si="159"/>
        <v>88.383262005376949</v>
      </c>
      <c r="K331" s="360">
        <f t="shared" ca="1" si="160"/>
        <v>401.22991852511279</v>
      </c>
      <c r="L331" s="357">
        <f t="shared" ca="1" si="145"/>
        <v>410.8491797757174</v>
      </c>
      <c r="M331" s="359">
        <f t="shared" ca="1" si="161"/>
        <v>1.3399434064003828</v>
      </c>
      <c r="N331" s="357">
        <f t="shared" ca="1" si="162"/>
        <v>76.773101973124795</v>
      </c>
      <c r="O331" s="343"/>
      <c r="P331" s="363">
        <f t="shared" ca="1" si="163"/>
        <v>11</v>
      </c>
      <c r="Q331" s="357">
        <f t="shared" ca="1" si="164"/>
        <v>705.15000000000339</v>
      </c>
      <c r="R331" s="359">
        <f t="shared" ca="1" si="165"/>
        <v>0.35323238375957994</v>
      </c>
      <c r="S331" s="360">
        <f t="shared" ca="1" si="166"/>
        <v>10.000416225364415</v>
      </c>
      <c r="T331" s="357">
        <f t="shared" ca="1" si="146"/>
        <v>98.104083170824907</v>
      </c>
      <c r="U331" s="364">
        <f t="shared" ca="1" si="147"/>
        <v>0</v>
      </c>
      <c r="V331" s="359">
        <f t="shared" ca="1" si="148"/>
        <v>1.176815978531083</v>
      </c>
      <c r="W331" s="357">
        <f t="shared" ca="1" si="149"/>
        <v>144.42993224209533</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401.22991852511279</v>
      </c>
      <c r="AF331" s="344"/>
      <c r="AG331" s="359">
        <f t="shared" ca="1" si="172"/>
        <v>46.574425220060903</v>
      </c>
      <c r="AH331" s="357">
        <f t="shared" ca="1" si="173"/>
        <v>56.124398747922157</v>
      </c>
    </row>
    <row r="332" spans="1:34" x14ac:dyDescent="0.25">
      <c r="A332" s="402">
        <f t="shared" ca="1" si="151"/>
        <v>0.01</v>
      </c>
      <c r="B332" s="357">
        <f t="shared" ca="1" si="152"/>
        <v>3.279999999999974</v>
      </c>
      <c r="C332" s="342"/>
      <c r="D332" s="359">
        <f t="shared" ca="1" si="153"/>
        <v>12.803954616827555</v>
      </c>
      <c r="E332" s="360">
        <f t="shared" ca="1" si="154"/>
        <v>44.664893956991094</v>
      </c>
      <c r="F332" s="357">
        <f t="shared" ca="1" si="155"/>
        <v>46.463900030228189</v>
      </c>
      <c r="G332" s="359">
        <f t="shared" ca="1" si="156"/>
        <v>53.173139262250203</v>
      </c>
      <c r="H332" s="360">
        <f t="shared" ca="1" si="157"/>
        <v>226.12896885141174</v>
      </c>
      <c r="I332" s="357">
        <f t="shared" ca="1" si="158"/>
        <v>232.29656323933293</v>
      </c>
      <c r="J332" s="359">
        <f t="shared" ca="1" si="159"/>
        <v>88.914353200268607</v>
      </c>
      <c r="K332" s="360">
        <f t="shared" ca="1" si="160"/>
        <v>403.48897496892909</v>
      </c>
      <c r="L332" s="357">
        <f t="shared" ca="1" si="145"/>
        <v>413.16959608192275</v>
      </c>
      <c r="M332" s="359">
        <f t="shared" ca="1" si="161"/>
        <v>1.3398467796799751</v>
      </c>
      <c r="N332" s="357">
        <f t="shared" ca="1" si="162"/>
        <v>76.767565669857248</v>
      </c>
      <c r="O332" s="343"/>
      <c r="P332" s="363">
        <f t="shared" ca="1" si="163"/>
        <v>11</v>
      </c>
      <c r="Q332" s="357">
        <f t="shared" ca="1" si="164"/>
        <v>703.85000000000343</v>
      </c>
      <c r="R332" s="359">
        <f t="shared" ca="1" si="165"/>
        <v>0.35258117182043586</v>
      </c>
      <c r="S332" s="360">
        <f t="shared" ca="1" si="166"/>
        <v>9.9968904136462111</v>
      </c>
      <c r="T332" s="357">
        <f t="shared" ca="1" si="146"/>
        <v>98.069494957869338</v>
      </c>
      <c r="U332" s="364">
        <f t="shared" ca="1" si="147"/>
        <v>0</v>
      </c>
      <c r="V332" s="359">
        <f t="shared" ca="1" si="148"/>
        <v>1.1765500515678164</v>
      </c>
      <c r="W332" s="357">
        <f t="shared" ca="1" si="149"/>
        <v>144.97600200717673</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403.48897496892909</v>
      </c>
      <c r="AF332" s="344"/>
      <c r="AG332" s="359">
        <f t="shared" ca="1" si="172"/>
        <v>46.409651497869234</v>
      </c>
      <c r="AH332" s="357">
        <f t="shared" ca="1" si="173"/>
        <v>55.959407836888381</v>
      </c>
    </row>
    <row r="333" spans="1:34" x14ac:dyDescent="0.25">
      <c r="A333" s="402">
        <f t="shared" ca="1" si="151"/>
        <v>0.01</v>
      </c>
      <c r="B333" s="357">
        <f t="shared" ca="1" si="152"/>
        <v>3.2899999999999738</v>
      </c>
      <c r="C333" s="342"/>
      <c r="D333" s="359">
        <f t="shared" ca="1" si="153"/>
        <v>12.77144429586588</v>
      </c>
      <c r="E333" s="360">
        <f t="shared" ca="1" si="154"/>
        <v>44.503015357693947</v>
      </c>
      <c r="F333" s="357">
        <f t="shared" ca="1" si="155"/>
        <v>46.299332234164545</v>
      </c>
      <c r="G333" s="359">
        <f t="shared" ca="1" si="156"/>
        <v>53.300853705208858</v>
      </c>
      <c r="H333" s="360">
        <f t="shared" ca="1" si="157"/>
        <v>226.57399900498868</v>
      </c>
      <c r="I333" s="357">
        <f t="shared" ca="1" si="158"/>
        <v>232.75901278106653</v>
      </c>
      <c r="J333" s="359">
        <f t="shared" ca="1" si="159"/>
        <v>89.446723165105908</v>
      </c>
      <c r="K333" s="360">
        <f t="shared" ca="1" si="160"/>
        <v>405.75248980821107</v>
      </c>
      <c r="L333" s="357">
        <f t="shared" ca="1" si="145"/>
        <v>415.49464409368443</v>
      </c>
      <c r="M333" s="359">
        <f t="shared" ca="1" si="161"/>
        <v>1.339750305295113</v>
      </c>
      <c r="N333" s="357">
        <f t="shared" ca="1" si="162"/>
        <v>76.762038094773516</v>
      </c>
      <c r="O333" s="343"/>
      <c r="P333" s="363">
        <f t="shared" ca="1" si="163"/>
        <v>11</v>
      </c>
      <c r="Q333" s="357">
        <f t="shared" ca="1" si="164"/>
        <v>702.55000000000337</v>
      </c>
      <c r="R333" s="359">
        <f t="shared" ca="1" si="165"/>
        <v>0.35192995988129178</v>
      </c>
      <c r="S333" s="360">
        <f t="shared" ca="1" si="166"/>
        <v>9.9933711140473989</v>
      </c>
      <c r="T333" s="357">
        <f t="shared" ca="1" si="146"/>
        <v>98.034970628804984</v>
      </c>
      <c r="U333" s="364">
        <f t="shared" ca="1" si="147"/>
        <v>0</v>
      </c>
      <c r="V333" s="359">
        <f t="shared" ca="1" si="148"/>
        <v>1.1762836588346044</v>
      </c>
      <c r="W333" s="357">
        <f t="shared" ca="1" si="149"/>
        <v>145.52084888450656</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405.75248980821107</v>
      </c>
      <c r="AF333" s="344"/>
      <c r="AG333" s="359">
        <f t="shared" ca="1" si="172"/>
        <v>46.244845855382323</v>
      </c>
      <c r="AH333" s="357">
        <f t="shared" ca="1" si="173"/>
        <v>55.794385260951699</v>
      </c>
    </row>
    <row r="334" spans="1:34" x14ac:dyDescent="0.25">
      <c r="A334" s="402">
        <f t="shared" ca="1" si="151"/>
        <v>0.01</v>
      </c>
      <c r="B334" s="357">
        <f t="shared" ca="1" si="152"/>
        <v>3.2999999999999736</v>
      </c>
      <c r="C334" s="342"/>
      <c r="D334" s="359">
        <f t="shared" ca="1" si="153"/>
        <v>12.738887664466173</v>
      </c>
      <c r="E334" s="360">
        <f t="shared" ca="1" si="154"/>
        <v>44.341116171172253</v>
      </c>
      <c r="F334" s="357">
        <f t="shared" ca="1" si="155"/>
        <v>46.13473574469981</v>
      </c>
      <c r="G334" s="359">
        <f t="shared" ca="1" si="156"/>
        <v>53.428242581853517</v>
      </c>
      <c r="H334" s="360">
        <f t="shared" ca="1" si="157"/>
        <v>227.01741016670042</v>
      </c>
      <c r="I334" s="357">
        <f t="shared" ca="1" si="158"/>
        <v>233.21981396138122</v>
      </c>
      <c r="J334" s="359">
        <f t="shared" ca="1" si="159"/>
        <v>89.980368646541223</v>
      </c>
      <c r="K334" s="360">
        <f t="shared" ca="1" si="160"/>
        <v>408.02044685406952</v>
      </c>
      <c r="L334" s="357">
        <f t="shared" ca="1" si="145"/>
        <v>417.82430732637135</v>
      </c>
      <c r="M334" s="359">
        <f t="shared" ca="1" si="161"/>
        <v>1.3396539820241506</v>
      </c>
      <c r="N334" s="357">
        <f t="shared" ca="1" si="162"/>
        <v>76.756519177878488</v>
      </c>
      <c r="O334" s="343"/>
      <c r="P334" s="363">
        <f t="shared" ca="1" si="163"/>
        <v>11</v>
      </c>
      <c r="Q334" s="357">
        <f t="shared" ca="1" si="164"/>
        <v>701.25000000000341</v>
      </c>
      <c r="R334" s="359">
        <f t="shared" ca="1" si="165"/>
        <v>0.3512787479421477</v>
      </c>
      <c r="S334" s="360">
        <f t="shared" ca="1" si="166"/>
        <v>9.9898583265679779</v>
      </c>
      <c r="T334" s="357">
        <f t="shared" ca="1" si="146"/>
        <v>98.000510183631874</v>
      </c>
      <c r="U334" s="364">
        <f t="shared" ca="1" si="147"/>
        <v>0</v>
      </c>
      <c r="V334" s="359">
        <f t="shared" ca="1" si="148"/>
        <v>1.1760168025656519</v>
      </c>
      <c r="W334" s="357">
        <f t="shared" ca="1" si="149"/>
        <v>146.0644604187766</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408.02044685406952</v>
      </c>
      <c r="AF334" s="344"/>
      <c r="AG334" s="359">
        <f t="shared" ca="1" si="172"/>
        <v>46.08000983878776</v>
      </c>
      <c r="AH334" s="357">
        <f t="shared" ca="1" si="173"/>
        <v>55.62933256396019</v>
      </c>
    </row>
    <row r="335" spans="1:34" x14ac:dyDescent="0.25">
      <c r="A335" s="402">
        <f t="shared" ca="1" si="151"/>
        <v>0.01</v>
      </c>
      <c r="B335" s="357">
        <f t="shared" ca="1" si="152"/>
        <v>3.3099999999999734</v>
      </c>
      <c r="C335" s="342"/>
      <c r="D335" s="359">
        <f t="shared" ca="1" si="153"/>
        <v>12.706285207511243</v>
      </c>
      <c r="E335" s="360">
        <f t="shared" ca="1" si="154"/>
        <v>44.179197870947242</v>
      </c>
      <c r="F335" s="357">
        <f t="shared" ca="1" si="155"/>
        <v>45.97011211966889</v>
      </c>
      <c r="G335" s="359">
        <f t="shared" ca="1" si="156"/>
        <v>53.555305433928631</v>
      </c>
      <c r="H335" s="360">
        <f t="shared" ca="1" si="157"/>
        <v>227.45920214540988</v>
      </c>
      <c r="I335" s="357">
        <f t="shared" ca="1" si="158"/>
        <v>233.67896649195413</v>
      </c>
      <c r="J335" s="359">
        <f t="shared" ca="1" si="159"/>
        <v>90.515286386620133</v>
      </c>
      <c r="K335" s="360">
        <f t="shared" ca="1" si="160"/>
        <v>410.29282991563008</v>
      </c>
      <c r="L335" s="357">
        <f t="shared" ca="1" si="145"/>
        <v>420.15856929238993</v>
      </c>
      <c r="M335" s="359">
        <f t="shared" ca="1" si="161"/>
        <v>1.339557808655246</v>
      </c>
      <c r="N335" s="357">
        <f t="shared" ca="1" si="162"/>
        <v>76.751008849738696</v>
      </c>
      <c r="O335" s="343"/>
      <c r="P335" s="363">
        <f t="shared" ca="1" si="163"/>
        <v>11</v>
      </c>
      <c r="Q335" s="357">
        <f t="shared" ca="1" si="164"/>
        <v>699.95000000000346</v>
      </c>
      <c r="R335" s="359">
        <f t="shared" ca="1" si="165"/>
        <v>0.35062753600300361</v>
      </c>
      <c r="S335" s="360">
        <f t="shared" ca="1" si="166"/>
        <v>9.9863520512079482</v>
      </c>
      <c r="T335" s="357">
        <f t="shared" ca="1" si="146"/>
        <v>97.96611362234998</v>
      </c>
      <c r="U335" s="364">
        <f t="shared" ca="1" si="147"/>
        <v>0</v>
      </c>
      <c r="V335" s="359">
        <f t="shared" ca="1" si="148"/>
        <v>1.1757494849941628</v>
      </c>
      <c r="W335" s="357">
        <f t="shared" ca="1" si="149"/>
        <v>146.60682423267721</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410.29282991563008</v>
      </c>
      <c r="AF335" s="344"/>
      <c r="AG335" s="359">
        <f t="shared" ca="1" si="172"/>
        <v>45.915144988748523</v>
      </c>
      <c r="AH335" s="357">
        <f t="shared" ca="1" si="173"/>
        <v>55.464251284254381</v>
      </c>
    </row>
    <row r="336" spans="1:34" x14ac:dyDescent="0.25">
      <c r="A336" s="402">
        <f t="shared" ca="1" si="151"/>
        <v>0.01</v>
      </c>
      <c r="B336" s="357">
        <f t="shared" ca="1" si="152"/>
        <v>3.3199999999999732</v>
      </c>
      <c r="C336" s="342"/>
      <c r="D336" s="359">
        <f t="shared" ca="1" si="153"/>
        <v>12.673637407892338</v>
      </c>
      <c r="E336" s="360">
        <f t="shared" ca="1" si="154"/>
        <v>44.017261925260669</v>
      </c>
      <c r="F336" s="357">
        <f t="shared" ca="1" si="155"/>
        <v>45.805462911575631</v>
      </c>
      <c r="G336" s="359">
        <f t="shared" ca="1" si="156"/>
        <v>53.682041808007554</v>
      </c>
      <c r="H336" s="360">
        <f t="shared" ca="1" si="157"/>
        <v>227.89937476466247</v>
      </c>
      <c r="I336" s="357">
        <f t="shared" ca="1" si="158"/>
        <v>234.13647009981327</v>
      </c>
      <c r="J336" s="359">
        <f t="shared" ca="1" si="159"/>
        <v>91.051473122829819</v>
      </c>
      <c r="K336" s="360">
        <f t="shared" ca="1" si="160"/>
        <v>412.56962280018047</v>
      </c>
      <c r="L336" s="357">
        <f t="shared" ca="1" si="145"/>
        <v>422.49741350133797</v>
      </c>
      <c r="M336" s="359">
        <f t="shared" ca="1" si="161"/>
        <v>1.3394617839862428</v>
      </c>
      <c r="N336" s="357">
        <f t="shared" ca="1" si="162"/>
        <v>76.745507041475676</v>
      </c>
      <c r="O336" s="343"/>
      <c r="P336" s="363">
        <f t="shared" ca="1" si="163"/>
        <v>11</v>
      </c>
      <c r="Q336" s="357">
        <f t="shared" ca="1" si="164"/>
        <v>698.6500000000035</v>
      </c>
      <c r="R336" s="359">
        <f t="shared" ca="1" si="165"/>
        <v>0.34997632406385959</v>
      </c>
      <c r="S336" s="360">
        <f t="shared" ca="1" si="166"/>
        <v>9.9828522879673098</v>
      </c>
      <c r="T336" s="357">
        <f t="shared" ca="1" si="146"/>
        <v>97.931780944959314</v>
      </c>
      <c r="U336" s="364">
        <f t="shared" ca="1" si="147"/>
        <v>0</v>
      </c>
      <c r="V336" s="359">
        <f t="shared" ca="1" si="148"/>
        <v>1.1754817083523177</v>
      </c>
      <c r="W336" s="357">
        <f t="shared" ca="1" si="149"/>
        <v>147.14792802700146</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412.56962280018047</v>
      </c>
      <c r="AF336" s="344"/>
      <c r="AG336" s="359">
        <f t="shared" ca="1" si="172"/>
        <v>45.750252840372596</v>
      </c>
      <c r="AH336" s="357">
        <f t="shared" ca="1" si="173"/>
        <v>55.299142954636693</v>
      </c>
    </row>
    <row r="337" spans="1:34" x14ac:dyDescent="0.25">
      <c r="A337" s="402">
        <f t="shared" ca="1" si="151"/>
        <v>0.01</v>
      </c>
      <c r="B337" s="357">
        <f t="shared" ca="1" si="152"/>
        <v>3.329999999999973</v>
      </c>
      <c r="C337" s="342"/>
      <c r="D337" s="359">
        <f t="shared" ca="1" si="153"/>
        <v>12.640944746511378</v>
      </c>
      <c r="E337" s="360">
        <f t="shared" ca="1" si="154"/>
        <v>43.855309797043873</v>
      </c>
      <c r="F337" s="357">
        <f t="shared" ca="1" si="155"/>
        <v>45.640789667566509</v>
      </c>
      <c r="G337" s="359">
        <f t="shared" ca="1" si="156"/>
        <v>53.808451255472669</v>
      </c>
      <c r="H337" s="360">
        <f t="shared" ca="1" si="157"/>
        <v>228.33792786263291</v>
      </c>
      <c r="I337" s="357">
        <f t="shared" ca="1" si="158"/>
        <v>234.59232452728185</v>
      </c>
      <c r="J337" s="359">
        <f t="shared" ca="1" si="159"/>
        <v>91.58892558814722</v>
      </c>
      <c r="K337" s="360">
        <f t="shared" ca="1" si="160"/>
        <v>414.85080931331697</v>
      </c>
      <c r="L337" s="357">
        <f t="shared" ca="1" si="145"/>
        <v>424.84082346015811</v>
      </c>
      <c r="M337" s="359">
        <f t="shared" ca="1" si="161"/>
        <v>1.3393659068245558</v>
      </c>
      <c r="N337" s="357">
        <f t="shared" ca="1" si="162"/>
        <v>76.740013684759319</v>
      </c>
      <c r="O337" s="343"/>
      <c r="P337" s="363">
        <f t="shared" ca="1" si="163"/>
        <v>11</v>
      </c>
      <c r="Q337" s="357">
        <f t="shared" ca="1" si="164"/>
        <v>697.35000000000355</v>
      </c>
      <c r="R337" s="359">
        <f t="shared" ca="1" si="165"/>
        <v>0.34932511212471551</v>
      </c>
      <c r="S337" s="360">
        <f t="shared" ca="1" si="166"/>
        <v>9.9793590368460627</v>
      </c>
      <c r="T337" s="357">
        <f t="shared" ca="1" si="146"/>
        <v>97.897512151459878</v>
      </c>
      <c r="U337" s="364">
        <f t="shared" ca="1" si="147"/>
        <v>0</v>
      </c>
      <c r="V337" s="359">
        <f t="shared" ca="1" si="148"/>
        <v>1.1752134748712468</v>
      </c>
      <c r="W337" s="357">
        <f t="shared" ca="1" si="149"/>
        <v>147.68775958074568</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414.85080931331697</v>
      </c>
      <c r="AF337" s="344"/>
      <c r="AG337" s="359">
        <f t="shared" ca="1" si="172"/>
        <v>45.585334923183012</v>
      </c>
      <c r="AH337" s="357">
        <f t="shared" ca="1" si="173"/>
        <v>55.134009102341238</v>
      </c>
    </row>
    <row r="338" spans="1:34" x14ac:dyDescent="0.25">
      <c r="A338" s="402">
        <f t="shared" ca="1" si="151"/>
        <v>0.01</v>
      </c>
      <c r="B338" s="357">
        <f t="shared" ca="1" si="152"/>
        <v>3.3399999999999728</v>
      </c>
      <c r="C338" s="342"/>
      <c r="D338" s="359">
        <f t="shared" ca="1" si="153"/>
        <v>12.608207702283053</v>
      </c>
      <c r="E338" s="360">
        <f t="shared" ca="1" si="154"/>
        <v>43.69334294388733</v>
      </c>
      <c r="F338" s="357">
        <f t="shared" ca="1" si="155"/>
        <v>45.476093929404911</v>
      </c>
      <c r="G338" s="359">
        <f t="shared" ca="1" si="156"/>
        <v>53.934533332495498</v>
      </c>
      <c r="H338" s="360">
        <f t="shared" ca="1" si="157"/>
        <v>228.77486129207179</v>
      </c>
      <c r="I338" s="357">
        <f t="shared" ca="1" si="158"/>
        <v>235.04652953192215</v>
      </c>
      <c r="J338" s="359">
        <f t="shared" ca="1" si="159"/>
        <v>92.127640511087066</v>
      </c>
      <c r="K338" s="360">
        <f t="shared" ca="1" si="160"/>
        <v>417.13637325909048</v>
      </c>
      <c r="L338" s="357">
        <f t="shared" ca="1" si="145"/>
        <v>427.18878267328995</v>
      </c>
      <c r="M338" s="359">
        <f t="shared" ca="1" si="161"/>
        <v>1.339270175987056</v>
      </c>
      <c r="N338" s="357">
        <f t="shared" ca="1" si="162"/>
        <v>76.734528711801318</v>
      </c>
      <c r="O338" s="343"/>
      <c r="P338" s="363">
        <f t="shared" ca="1" si="163"/>
        <v>11</v>
      </c>
      <c r="Q338" s="357">
        <f t="shared" ca="1" si="164"/>
        <v>696.05000000000359</v>
      </c>
      <c r="R338" s="359">
        <f t="shared" ca="1" si="165"/>
        <v>0.34867390018557143</v>
      </c>
      <c r="S338" s="360">
        <f t="shared" ca="1" si="166"/>
        <v>9.9758722978442069</v>
      </c>
      <c r="T338" s="357">
        <f t="shared" ca="1" si="146"/>
        <v>97.863307241851672</v>
      </c>
      <c r="U338" s="364">
        <f t="shared" ca="1" si="147"/>
        <v>0</v>
      </c>
      <c r="V338" s="359">
        <f t="shared" ca="1" si="148"/>
        <v>1.1749447867810057</v>
      </c>
      <c r="W338" s="357">
        <f t="shared" ca="1" si="149"/>
        <v>148.22630675120513</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417.13637325909048</v>
      </c>
      <c r="AF338" s="344"/>
      <c r="AG338" s="359">
        <f t="shared" ca="1" si="172"/>
        <v>45.420392761088166</v>
      </c>
      <c r="AH338" s="357">
        <f t="shared" ca="1" si="173"/>
        <v>54.968851249003997</v>
      </c>
    </row>
    <row r="339" spans="1:34" x14ac:dyDescent="0.25">
      <c r="A339" s="402">
        <f t="shared" ca="1" si="151"/>
        <v>0.01</v>
      </c>
      <c r="B339" s="357">
        <f t="shared" ca="1" si="152"/>
        <v>3.3499999999999726</v>
      </c>
      <c r="C339" s="342"/>
      <c r="D339" s="359">
        <f t="shared" ca="1" si="153"/>
        <v>12.575426752136936</v>
      </c>
      <c r="E339" s="360">
        <f t="shared" ca="1" si="154"/>
        <v>43.531362818010727</v>
      </c>
      <c r="F339" s="357">
        <f t="shared" ca="1" si="155"/>
        <v>45.311377233445995</v>
      </c>
      <c r="G339" s="359">
        <f t="shared" ca="1" si="156"/>
        <v>54.060287600016871</v>
      </c>
      <c r="H339" s="360">
        <f t="shared" ca="1" si="157"/>
        <v>229.21017492025189</v>
      </c>
      <c r="I339" s="357">
        <f t="shared" ca="1" si="158"/>
        <v>235.49908488647893</v>
      </c>
      <c r="J339" s="359">
        <f t="shared" ca="1" si="159"/>
        <v>92.667614615749628</v>
      </c>
      <c r="K339" s="360">
        <f t="shared" ca="1" si="160"/>
        <v>419.4262984401521</v>
      </c>
      <c r="L339" s="357">
        <f t="shared" ca="1" si="145"/>
        <v>429.54127464282249</v>
      </c>
      <c r="M339" s="359">
        <f t="shared" ca="1" si="161"/>
        <v>1.339174590299959</v>
      </c>
      <c r="N339" s="357">
        <f t="shared" ca="1" si="162"/>
        <v>76.729052055348802</v>
      </c>
      <c r="O339" s="343"/>
      <c r="P339" s="363">
        <f t="shared" ca="1" si="163"/>
        <v>11</v>
      </c>
      <c r="Q339" s="357">
        <f t="shared" ca="1" si="164"/>
        <v>694.75000000000352</v>
      </c>
      <c r="R339" s="359">
        <f t="shared" ca="1" si="165"/>
        <v>0.34802268824642735</v>
      </c>
      <c r="S339" s="360">
        <f t="shared" ca="1" si="166"/>
        <v>9.9723920709617424</v>
      </c>
      <c r="T339" s="357">
        <f t="shared" ca="1" si="146"/>
        <v>97.829166216134695</v>
      </c>
      <c r="U339" s="364">
        <f t="shared" ca="1" si="147"/>
        <v>0</v>
      </c>
      <c r="V339" s="359">
        <f t="shared" ca="1" si="148"/>
        <v>1.1746756463105497</v>
      </c>
      <c r="W339" s="357">
        <f t="shared" ca="1" si="149"/>
        <v>148.76355747406555</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419.4262984401521</v>
      </c>
      <c r="AF339" s="344"/>
      <c r="AG339" s="359">
        <f t="shared" ca="1" si="172"/>
        <v>45.255427872352783</v>
      </c>
      <c r="AH339" s="357">
        <f t="shared" ca="1" si="173"/>
        <v>54.803670910633521</v>
      </c>
    </row>
    <row r="340" spans="1:34" x14ac:dyDescent="0.25">
      <c r="A340" s="402">
        <f t="shared" ca="1" si="151"/>
        <v>0.01</v>
      </c>
      <c r="B340" s="357">
        <f t="shared" ca="1" si="152"/>
        <v>3.3599999999999723</v>
      </c>
      <c r="C340" s="342"/>
      <c r="D340" s="359">
        <f t="shared" ca="1" si="153"/>
        <v>12.542602371019447</v>
      </c>
      <c r="E340" s="360">
        <f t="shared" ca="1" si="154"/>
        <v>43.369370866233353</v>
      </c>
      <c r="F340" s="357">
        <f t="shared" ca="1" si="155"/>
        <v>45.146641110611903</v>
      </c>
      <c r="G340" s="359">
        <f t="shared" ca="1" si="156"/>
        <v>54.185713623727068</v>
      </c>
      <c r="H340" s="360">
        <f t="shared" ca="1" si="157"/>
        <v>229.64386862891422</v>
      </c>
      <c r="I340" s="357">
        <f t="shared" ca="1" si="158"/>
        <v>235.9499903788228</v>
      </c>
      <c r="J340" s="359">
        <f t="shared" ca="1" si="159"/>
        <v>93.208844621868352</v>
      </c>
      <c r="K340" s="360">
        <f t="shared" ca="1" si="160"/>
        <v>421.7205686578979</v>
      </c>
      <c r="L340" s="357">
        <f t="shared" ca="1" si="145"/>
        <v>431.89828286864531</v>
      </c>
      <c r="M340" s="359">
        <f t="shared" ca="1" si="161"/>
        <v>1.3390791485987146</v>
      </c>
      <c r="N340" s="357">
        <f t="shared" ca="1" si="162"/>
        <v>76.723583648677945</v>
      </c>
      <c r="O340" s="343"/>
      <c r="P340" s="363">
        <f t="shared" ca="1" si="163"/>
        <v>11</v>
      </c>
      <c r="Q340" s="357">
        <f t="shared" ca="1" si="164"/>
        <v>693.45000000000357</v>
      </c>
      <c r="R340" s="359">
        <f t="shared" ca="1" si="165"/>
        <v>0.34737147630728327</v>
      </c>
      <c r="S340" s="360">
        <f t="shared" ca="1" si="166"/>
        <v>9.9689183561986692</v>
      </c>
      <c r="T340" s="357">
        <f t="shared" ca="1" si="146"/>
        <v>97.795089074308947</v>
      </c>
      <c r="U340" s="364">
        <f t="shared" ca="1" si="147"/>
        <v>0</v>
      </c>
      <c r="V340" s="359">
        <f t="shared" ca="1" si="148"/>
        <v>1.1744060556877089</v>
      </c>
      <c r="W340" s="357">
        <f t="shared" ca="1" si="149"/>
        <v>149.29949976349059</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421.7205686578979</v>
      </c>
      <c r="AF340" s="344"/>
      <c r="AG340" s="359">
        <f t="shared" ca="1" si="172"/>
        <v>45.090441769569097</v>
      </c>
      <c r="AH340" s="357">
        <f t="shared" ca="1" si="173"/>
        <v>54.638469597581988</v>
      </c>
    </row>
    <row r="341" spans="1:34" x14ac:dyDescent="0.25">
      <c r="A341" s="402">
        <f t="shared" ca="1" si="151"/>
        <v>0.01</v>
      </c>
      <c r="B341" s="357">
        <f t="shared" ca="1" si="152"/>
        <v>3.3699999999999721</v>
      </c>
      <c r="C341" s="342"/>
      <c r="D341" s="359">
        <f t="shared" ca="1" si="153"/>
        <v>12.509735031895769</v>
      </c>
      <c r="E341" s="360">
        <f t="shared" ca="1" si="154"/>
        <v>43.207368529944986</v>
      </c>
      <c r="F341" s="357">
        <f t="shared" ca="1" si="155"/>
        <v>44.981887086367557</v>
      </c>
      <c r="G341" s="359">
        <f t="shared" ca="1" si="156"/>
        <v>54.310810974046028</v>
      </c>
      <c r="H341" s="360">
        <f t="shared" ca="1" si="157"/>
        <v>230.07594231421368</v>
      </c>
      <c r="I341" s="357">
        <f t="shared" ca="1" si="158"/>
        <v>236.39924581189328</v>
      </c>
      <c r="J341" s="359">
        <f t="shared" ca="1" si="159"/>
        <v>93.751327244857222</v>
      </c>
      <c r="K341" s="360">
        <f t="shared" ca="1" si="160"/>
        <v>424.01916771261352</v>
      </c>
      <c r="L341" s="357">
        <f t="shared" ca="1" si="145"/>
        <v>434.25979084859995</v>
      </c>
      <c r="M341" s="359">
        <f t="shared" ca="1" si="161"/>
        <v>1.3389838497278974</v>
      </c>
      <c r="N341" s="357">
        <f t="shared" ca="1" si="162"/>
        <v>76.718123425587763</v>
      </c>
      <c r="O341" s="343"/>
      <c r="P341" s="363">
        <f t="shared" ca="1" si="163"/>
        <v>11</v>
      </c>
      <c r="Q341" s="357">
        <f t="shared" ca="1" si="164"/>
        <v>692.15000000000362</v>
      </c>
      <c r="R341" s="359">
        <f t="shared" ca="1" si="165"/>
        <v>0.34672026436813919</v>
      </c>
      <c r="S341" s="360">
        <f t="shared" ca="1" si="166"/>
        <v>9.9654511535549872</v>
      </c>
      <c r="T341" s="357">
        <f t="shared" ca="1" si="146"/>
        <v>97.761075816374429</v>
      </c>
      <c r="U341" s="364">
        <f t="shared" ca="1" si="147"/>
        <v>0</v>
      </c>
      <c r="V341" s="359">
        <f t="shared" ca="1" si="148"/>
        <v>1.174136017139165</v>
      </c>
      <c r="W341" s="357">
        <f t="shared" ca="1" si="149"/>
        <v>149.8341217122049</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424.01916771261352</v>
      </c>
      <c r="AF341" s="344"/>
      <c r="AG341" s="359">
        <f t="shared" ca="1" si="172"/>
        <v>44.925435959628558</v>
      </c>
      <c r="AH341" s="357">
        <f t="shared" ca="1" si="173"/>
        <v>54.473248814516666</v>
      </c>
    </row>
    <row r="342" spans="1:34" x14ac:dyDescent="0.25">
      <c r="A342" s="402">
        <f t="shared" ca="1" si="151"/>
        <v>0.01</v>
      </c>
      <c r="B342" s="357">
        <f t="shared" ca="1" si="152"/>
        <v>3.3799999999999719</v>
      </c>
      <c r="C342" s="342"/>
      <c r="D342" s="359">
        <f t="shared" ca="1" si="153"/>
        <v>12.476825205751737</v>
      </c>
      <c r="E342" s="360">
        <f t="shared" ca="1" si="154"/>
        <v>43.045357245077255</v>
      </c>
      <c r="F342" s="357">
        <f t="shared" ca="1" si="155"/>
        <v>44.817116680696977</v>
      </c>
      <c r="G342" s="359">
        <f t="shared" ca="1" si="156"/>
        <v>54.435579226103542</v>
      </c>
      <c r="H342" s="360">
        <f t="shared" ca="1" si="157"/>
        <v>230.50639588666445</v>
      </c>
      <c r="I342" s="357">
        <f t="shared" ca="1" si="158"/>
        <v>236.84685100364135</v>
      </c>
      <c r="J342" s="359">
        <f t="shared" ca="1" si="159"/>
        <v>94.295059195857974</v>
      </c>
      <c r="K342" s="360">
        <f t="shared" ca="1" si="160"/>
        <v>426.32207940361792</v>
      </c>
      <c r="L342" s="357">
        <f t="shared" ca="1" si="145"/>
        <v>436.6257820786297</v>
      </c>
      <c r="M342" s="359">
        <f t="shared" ca="1" si="161"/>
        <v>1.3388886925410999</v>
      </c>
      <c r="N342" s="357">
        <f t="shared" ca="1" si="162"/>
        <v>76.712671320393923</v>
      </c>
      <c r="O342" s="343"/>
      <c r="P342" s="363">
        <f t="shared" ca="1" si="163"/>
        <v>11</v>
      </c>
      <c r="Q342" s="357">
        <f t="shared" ca="1" si="164"/>
        <v>690.85000000000366</v>
      </c>
      <c r="R342" s="359">
        <f t="shared" ca="1" si="165"/>
        <v>0.34606905242899516</v>
      </c>
      <c r="S342" s="360">
        <f t="shared" ca="1" si="166"/>
        <v>9.9619904630306966</v>
      </c>
      <c r="T342" s="357">
        <f t="shared" ca="1" si="146"/>
        <v>97.727126442331141</v>
      </c>
      <c r="U342" s="364">
        <f t="shared" ca="1" si="147"/>
        <v>0</v>
      </c>
      <c r="V342" s="359">
        <f t="shared" ca="1" si="148"/>
        <v>1.1738655328904244</v>
      </c>
      <c r="W342" s="357">
        <f t="shared" ca="1" si="149"/>
        <v>150.36741149157302</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426.32207940361792</v>
      </c>
      <c r="AF342" s="344"/>
      <c r="AG342" s="359">
        <f t="shared" ca="1" si="172"/>
        <v>44.760411943693953</v>
      </c>
      <c r="AH342" s="357">
        <f t="shared" ca="1" si="173"/>
        <v>54.308010060391851</v>
      </c>
    </row>
    <row r="343" spans="1:34" x14ac:dyDescent="0.25">
      <c r="A343" s="402">
        <f t="shared" ca="1" si="151"/>
        <v>0.01</v>
      </c>
      <c r="B343" s="357">
        <f t="shared" ca="1" si="152"/>
        <v>3.3899999999999717</v>
      </c>
      <c r="C343" s="342"/>
      <c r="D343" s="359">
        <f t="shared" ca="1" si="153"/>
        <v>12.443873361595626</v>
      </c>
      <c r="E343" s="360">
        <f t="shared" ca="1" si="154"/>
        <v>42.883338442075321</v>
      </c>
      <c r="F343" s="357">
        <f t="shared" ca="1" si="155"/>
        <v>44.652331408079959</v>
      </c>
      <c r="G343" s="359">
        <f t="shared" ca="1" si="156"/>
        <v>54.560017959719495</v>
      </c>
      <c r="H343" s="360">
        <f t="shared" ca="1" si="157"/>
        <v>230.93522927108521</v>
      </c>
      <c r="I343" s="357">
        <f t="shared" ca="1" si="158"/>
        <v>237.29280578697197</v>
      </c>
      <c r="J343" s="359">
        <f t="shared" ca="1" si="159"/>
        <v>94.840037181787082</v>
      </c>
      <c r="K343" s="360">
        <f t="shared" ca="1" si="160"/>
        <v>428.62928752940667</v>
      </c>
      <c r="L343" s="357">
        <f t="shared" ca="1" si="145"/>
        <v>438.99624005292975</v>
      </c>
      <c r="M343" s="359">
        <f t="shared" ca="1" si="161"/>
        <v>1.3387936759008263</v>
      </c>
      <c r="N343" s="357">
        <f t="shared" ca="1" si="162"/>
        <v>76.707227267922747</v>
      </c>
      <c r="O343" s="343"/>
      <c r="P343" s="363">
        <f t="shared" ca="1" si="163"/>
        <v>11</v>
      </c>
      <c r="Q343" s="357">
        <f t="shared" ca="1" si="164"/>
        <v>689.55000000000371</v>
      </c>
      <c r="R343" s="359">
        <f t="shared" ca="1" si="165"/>
        <v>0.34541784048985108</v>
      </c>
      <c r="S343" s="360">
        <f t="shared" ca="1" si="166"/>
        <v>9.9585362846257972</v>
      </c>
      <c r="T343" s="357">
        <f t="shared" ca="1" si="146"/>
        <v>97.693240952179082</v>
      </c>
      <c r="U343" s="364">
        <f t="shared" ca="1" si="147"/>
        <v>0</v>
      </c>
      <c r="V343" s="359">
        <f t="shared" ca="1" si="148"/>
        <v>1.1735946051657955</v>
      </c>
      <c r="W343" s="357">
        <f t="shared" ca="1" si="149"/>
        <v>150.89935735167393</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428.62928752940667</v>
      </c>
      <c r="AF343" s="344"/>
      <c r="AG343" s="359">
        <f t="shared" ca="1" si="172"/>
        <v>44.595371217171817</v>
      </c>
      <c r="AH343" s="357">
        <f t="shared" ca="1" si="173"/>
        <v>54.142754828421154</v>
      </c>
    </row>
    <row r="344" spans="1:34" x14ac:dyDescent="0.25">
      <c r="A344" s="402">
        <f t="shared" ca="1" si="151"/>
        <v>0.01</v>
      </c>
      <c r="B344" s="357">
        <f t="shared" ca="1" si="152"/>
        <v>3.3999999999999715</v>
      </c>
      <c r="C344" s="342"/>
      <c r="D344" s="359">
        <f t="shared" ca="1" si="153"/>
        <v>12.410879966459891</v>
      </c>
      <c r="E344" s="360">
        <f t="shared" ca="1" si="154"/>
        <v>42.721313545870174</v>
      </c>
      <c r="F344" s="357">
        <f t="shared" ca="1" si="155"/>
        <v>44.487532777469532</v>
      </c>
      <c r="G344" s="359">
        <f t="shared" ca="1" si="156"/>
        <v>54.684126759384093</v>
      </c>
      <c r="H344" s="360">
        <f t="shared" ca="1" si="157"/>
        <v>231.36244240654392</v>
      </c>
      <c r="I344" s="357">
        <f t="shared" ca="1" si="158"/>
        <v>237.7371100096864</v>
      </c>
      <c r="J344" s="359">
        <f t="shared" ca="1" si="159"/>
        <v>95.386257905382607</v>
      </c>
      <c r="K344" s="360">
        <f t="shared" ca="1" si="160"/>
        <v>430.94077588779481</v>
      </c>
      <c r="L344" s="357">
        <f t="shared" ca="1" si="145"/>
        <v>441.37114826409618</v>
      </c>
      <c r="M344" s="359">
        <f t="shared" ca="1" si="161"/>
        <v>1.338698798678388</v>
      </c>
      <c r="N344" s="357">
        <f t="shared" ca="1" si="162"/>
        <v>76.701791203505095</v>
      </c>
      <c r="O344" s="343"/>
      <c r="P344" s="363">
        <f t="shared" ca="1" si="163"/>
        <v>11</v>
      </c>
      <c r="Q344" s="357">
        <f t="shared" ca="1" si="164"/>
        <v>688.25000000000375</v>
      </c>
      <c r="R344" s="359">
        <f t="shared" ca="1" si="165"/>
        <v>0.344766628550707</v>
      </c>
      <c r="S344" s="360">
        <f t="shared" ca="1" si="166"/>
        <v>9.9550886183402909</v>
      </c>
      <c r="T344" s="357">
        <f t="shared" ca="1" si="146"/>
        <v>97.659419345918252</v>
      </c>
      <c r="U344" s="364">
        <f t="shared" ca="1" si="147"/>
        <v>0</v>
      </c>
      <c r="V344" s="359">
        <f t="shared" ca="1" si="148"/>
        <v>1.1733232361883632</v>
      </c>
      <c r="W344" s="357">
        <f t="shared" ca="1" si="149"/>
        <v>151.42994762137192</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430.94077588779481</v>
      </c>
      <c r="AF344" s="344"/>
      <c r="AG344" s="359">
        <f t="shared" ca="1" si="172"/>
        <v>44.430315269685522</v>
      </c>
      <c r="AH344" s="357">
        <f t="shared" ca="1" si="173"/>
        <v>53.977484606050318</v>
      </c>
    </row>
    <row r="345" spans="1:34" x14ac:dyDescent="0.25">
      <c r="A345" s="402">
        <f t="shared" ca="1" si="151"/>
        <v>0.01</v>
      </c>
      <c r="B345" s="357">
        <f t="shared" ca="1" si="152"/>
        <v>3.4099999999999713</v>
      </c>
      <c r="C345" s="342"/>
      <c r="D345" s="359">
        <f t="shared" ca="1" si="153"/>
        <v>12.377845485402903</v>
      </c>
      <c r="E345" s="360">
        <f t="shared" ca="1" si="154"/>
        <v>42.55928397585118</v>
      </c>
      <c r="F345" s="357">
        <f t="shared" ca="1" si="155"/>
        <v>44.322722292269596</v>
      </c>
      <c r="G345" s="359">
        <f t="shared" ca="1" si="156"/>
        <v>54.807905214238119</v>
      </c>
      <c r="H345" s="360">
        <f t="shared" ca="1" si="157"/>
        <v>231.78803524630243</v>
      </c>
      <c r="I345" s="357">
        <f t="shared" ca="1" si="158"/>
        <v>238.17976353442381</v>
      </c>
      <c r="J345" s="359">
        <f t="shared" ca="1" si="159"/>
        <v>95.933718065250716</v>
      </c>
      <c r="K345" s="360">
        <f t="shared" ca="1" si="160"/>
        <v>433.25652827605904</v>
      </c>
      <c r="L345" s="357">
        <f t="shared" ca="1" si="145"/>
        <v>443.75049020327469</v>
      </c>
      <c r="M345" s="359">
        <f t="shared" ca="1" si="161"/>
        <v>1.3386040597538007</v>
      </c>
      <c r="N345" s="357">
        <f t="shared" ca="1" si="162"/>
        <v>76.696363062970633</v>
      </c>
      <c r="O345" s="343"/>
      <c r="P345" s="363">
        <f t="shared" ca="1" si="163"/>
        <v>11</v>
      </c>
      <c r="Q345" s="357">
        <f t="shared" ca="1" si="164"/>
        <v>686.95000000000368</v>
      </c>
      <c r="R345" s="359">
        <f t="shared" ca="1" si="165"/>
        <v>0.34411541661156292</v>
      </c>
      <c r="S345" s="360">
        <f t="shared" ca="1" si="166"/>
        <v>9.9516474641741759</v>
      </c>
      <c r="T345" s="357">
        <f t="shared" ca="1" si="146"/>
        <v>97.625661623548666</v>
      </c>
      <c r="U345" s="364">
        <f t="shared" ca="1" si="147"/>
        <v>0</v>
      </c>
      <c r="V345" s="359">
        <f t="shared" ca="1" si="148"/>
        <v>1.1730514281799651</v>
      </c>
      <c r="W345" s="357">
        <f t="shared" ca="1" si="149"/>
        <v>151.95917070838246</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433.25652827605904</v>
      </c>
      <c r="AF345" s="344"/>
      <c r="AG345" s="359">
        <f t="shared" ca="1" si="172"/>
        <v>44.265245585048497</v>
      </c>
      <c r="AH345" s="357">
        <f t="shared" ca="1" si="173"/>
        <v>53.812200874930333</v>
      </c>
    </row>
    <row r="346" spans="1:34" x14ac:dyDescent="0.25">
      <c r="A346" s="402">
        <f t="shared" ca="1" si="151"/>
        <v>0.01</v>
      </c>
      <c r="B346" s="357">
        <f t="shared" ca="1" si="152"/>
        <v>3.4199999999999711</v>
      </c>
      <c r="C346" s="342"/>
      <c r="D346" s="359">
        <f t="shared" ca="1" si="153"/>
        <v>12.344770381510564</v>
      </c>
      <c r="E346" s="360">
        <f t="shared" ca="1" si="154"/>
        <v>42.397251145839213</v>
      </c>
      <c r="F346" s="357">
        <f t="shared" ca="1" si="155"/>
        <v>44.157901450313339</v>
      </c>
      <c r="G346" s="359">
        <f t="shared" ca="1" si="156"/>
        <v>54.931352918053221</v>
      </c>
      <c r="H346" s="360">
        <f t="shared" ca="1" si="157"/>
        <v>232.21200775776083</v>
      </c>
      <c r="I346" s="357">
        <f t="shared" ca="1" si="158"/>
        <v>238.62076623860315</v>
      </c>
      <c r="J346" s="359">
        <f t="shared" ca="1" si="159"/>
        <v>96.482414355912169</v>
      </c>
      <c r="K346" s="360">
        <f t="shared" ca="1" si="160"/>
        <v>435.57652849107939</v>
      </c>
      <c r="L346" s="357">
        <f t="shared" ca="1" si="145"/>
        <v>446.13424936030862</v>
      </c>
      <c r="M346" s="359">
        <f t="shared" ca="1" si="161"/>
        <v>1.3385094580156831</v>
      </c>
      <c r="N346" s="357">
        <f t="shared" ca="1" si="162"/>
        <v>76.690942782641898</v>
      </c>
      <c r="O346" s="343"/>
      <c r="P346" s="363">
        <f t="shared" ca="1" si="163"/>
        <v>11</v>
      </c>
      <c r="Q346" s="357">
        <f t="shared" ca="1" si="164"/>
        <v>685.65000000000373</v>
      </c>
      <c r="R346" s="359">
        <f t="shared" ca="1" si="165"/>
        <v>0.34346420467241884</v>
      </c>
      <c r="S346" s="360">
        <f t="shared" ca="1" si="166"/>
        <v>9.9482128221274522</v>
      </c>
      <c r="T346" s="357">
        <f t="shared" ca="1" si="146"/>
        <v>97.59196778507031</v>
      </c>
      <c r="U346" s="364">
        <f t="shared" ca="1" si="147"/>
        <v>0</v>
      </c>
      <c r="V346" s="359">
        <f t="shared" ca="1" si="148"/>
        <v>1.1727791833611685</v>
      </c>
      <c r="W346" s="357">
        <f t="shared" ca="1" si="149"/>
        <v>152.487015099335</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435.57652849107939</v>
      </c>
      <c r="AF346" s="344"/>
      <c r="AG346" s="359">
        <f t="shared" ca="1" si="172"/>
        <v>44.100163641238076</v>
      </c>
      <c r="AH346" s="357">
        <f t="shared" ca="1" si="173"/>
        <v>53.646905110891069</v>
      </c>
    </row>
    <row r="347" spans="1:34" x14ac:dyDescent="0.25">
      <c r="A347" s="402">
        <f t="shared" ca="1" si="151"/>
        <v>0.01</v>
      </c>
      <c r="B347" s="357">
        <f t="shared" ca="1" si="152"/>
        <v>3.4299999999999708</v>
      </c>
      <c r="C347" s="342"/>
      <c r="D347" s="359">
        <f t="shared" ca="1" si="153"/>
        <v>12.311655115897901</v>
      </c>
      <c r="E347" s="360">
        <f t="shared" ca="1" si="154"/>
        <v>42.235216464060066</v>
      </c>
      <c r="F347" s="357">
        <f t="shared" ca="1" si="155"/>
        <v>43.993071743841952</v>
      </c>
      <c r="G347" s="359">
        <f t="shared" ca="1" si="156"/>
        <v>55.054469469212201</v>
      </c>
      <c r="H347" s="360">
        <f t="shared" ca="1" si="157"/>
        <v>232.63435992240144</v>
      </c>
      <c r="I347" s="357">
        <f t="shared" ca="1" si="158"/>
        <v>239.06011801436441</v>
      </c>
      <c r="J347" s="359">
        <f t="shared" ca="1" si="159"/>
        <v>97.032343467848492</v>
      </c>
      <c r="K347" s="360">
        <f t="shared" ca="1" si="160"/>
        <v>437.90076032948019</v>
      </c>
      <c r="L347" s="357">
        <f t="shared" ca="1" si="145"/>
        <v>448.52240922388637</v>
      </c>
      <c r="M347" s="359">
        <f t="shared" ca="1" si="161"/>
        <v>1.3384149923611568</v>
      </c>
      <c r="N347" s="357">
        <f t="shared" ca="1" si="162"/>
        <v>76.685530299328605</v>
      </c>
      <c r="O347" s="343"/>
      <c r="P347" s="363">
        <f t="shared" ca="1" si="163"/>
        <v>11</v>
      </c>
      <c r="Q347" s="357">
        <f t="shared" ca="1" si="164"/>
        <v>684.35000000000377</v>
      </c>
      <c r="R347" s="359">
        <f t="shared" ca="1" si="165"/>
        <v>0.34281299273327476</v>
      </c>
      <c r="S347" s="360">
        <f t="shared" ca="1" si="166"/>
        <v>9.9447846922001197</v>
      </c>
      <c r="T347" s="357">
        <f t="shared" ca="1" si="146"/>
        <v>97.558337830483183</v>
      </c>
      <c r="U347" s="364">
        <f t="shared" ca="1" si="147"/>
        <v>0</v>
      </c>
      <c r="V347" s="359">
        <f t="shared" ca="1" si="148"/>
        <v>1.1725065039512439</v>
      </c>
      <c r="W347" s="357">
        <f t="shared" ca="1" si="149"/>
        <v>153.01346935983051</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437.90076032948019</v>
      </c>
      <c r="AF347" s="344"/>
      <c r="AG347" s="359">
        <f t="shared" ca="1" si="172"/>
        <v>43.935070910369639</v>
      </c>
      <c r="AH347" s="357">
        <f t="shared" ca="1" si="173"/>
        <v>53.481598783915238</v>
      </c>
    </row>
    <row r="348" spans="1:34" x14ac:dyDescent="0.25">
      <c r="A348" s="402">
        <f t="shared" ca="1" si="151"/>
        <v>0.01</v>
      </c>
      <c r="B348" s="357">
        <f t="shared" ca="1" si="152"/>
        <v>3.4399999999999706</v>
      </c>
      <c r="C348" s="342"/>
      <c r="D348" s="359">
        <f t="shared" ca="1" si="153"/>
        <v>12.278500147710622</v>
      </c>
      <c r="E348" s="360">
        <f t="shared" ca="1" si="154"/>
        <v>42.073181333118455</v>
      </c>
      <c r="F348" s="357">
        <f t="shared" ca="1" si="155"/>
        <v>43.828234659484032</v>
      </c>
      <c r="G348" s="359">
        <f t="shared" ca="1" si="156"/>
        <v>55.177254470689306</v>
      </c>
      <c r="H348" s="360">
        <f t="shared" ca="1" si="157"/>
        <v>233.05509173573262</v>
      </c>
      <c r="I348" s="357">
        <f t="shared" ca="1" si="158"/>
        <v>239.49781876850977</v>
      </c>
      <c r="J348" s="359">
        <f t="shared" ca="1" si="159"/>
        <v>97.583502087547998</v>
      </c>
      <c r="K348" s="360">
        <f t="shared" ca="1" si="160"/>
        <v>440.22920758777087</v>
      </c>
      <c r="L348" s="357">
        <f t="shared" ca="1" si="145"/>
        <v>450.91495328168833</v>
      </c>
      <c r="M348" s="359">
        <f t="shared" ca="1" si="161"/>
        <v>1.3383206616957475</v>
      </c>
      <c r="N348" s="357">
        <f t="shared" ca="1" si="162"/>
        <v>76.680125550321989</v>
      </c>
      <c r="O348" s="343"/>
      <c r="P348" s="363">
        <f t="shared" ca="1" si="163"/>
        <v>11</v>
      </c>
      <c r="Q348" s="357">
        <f t="shared" ca="1" si="164"/>
        <v>683.05000000000382</v>
      </c>
      <c r="R348" s="359">
        <f t="shared" ca="1" si="165"/>
        <v>0.34216178079413073</v>
      </c>
      <c r="S348" s="360">
        <f t="shared" ca="1" si="166"/>
        <v>9.9413630743921786</v>
      </c>
      <c r="T348" s="357">
        <f t="shared" ca="1" si="146"/>
        <v>97.524771759787271</v>
      </c>
      <c r="U348" s="364">
        <f t="shared" ca="1" si="147"/>
        <v>0</v>
      </c>
      <c r="V348" s="359">
        <f t="shared" ca="1" si="148"/>
        <v>1.172233392168144</v>
      </c>
      <c r="W348" s="357">
        <f t="shared" ca="1" si="149"/>
        <v>153.53852213449599</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440.22920758777087</v>
      </c>
      <c r="AF348" s="344"/>
      <c r="AG348" s="359">
        <f t="shared" ca="1" si="172"/>
        <v>43.769968858671206</v>
      </c>
      <c r="AH348" s="357">
        <f t="shared" ca="1" si="173"/>
        <v>53.316283358112848</v>
      </c>
    </row>
    <row r="349" spans="1:34" x14ac:dyDescent="0.25">
      <c r="A349" s="402">
        <f t="shared" ca="1" si="151"/>
        <v>0.01</v>
      </c>
      <c r="B349" s="357">
        <f t="shared" ca="1" si="152"/>
        <v>3.4499999999999704</v>
      </c>
      <c r="C349" s="342"/>
      <c r="D349" s="359">
        <f t="shared" ca="1" si="153"/>
        <v>12.24530593412662</v>
      </c>
      <c r="E349" s="360">
        <f t="shared" ca="1" si="154"/>
        <v>41.911147149972344</v>
      </c>
      <c r="F349" s="357">
        <f t="shared" ca="1" si="155"/>
        <v>43.663391678235342</v>
      </c>
      <c r="G349" s="359">
        <f t="shared" ca="1" si="156"/>
        <v>55.299707530030574</v>
      </c>
      <c r="H349" s="360">
        <f t="shared" ca="1" si="157"/>
        <v>233.47420320723234</v>
      </c>
      <c r="I349" s="357">
        <f t="shared" ca="1" si="158"/>
        <v>239.93386842244456</v>
      </c>
      <c r="J349" s="359">
        <f t="shared" ca="1" si="159"/>
        <v>98.1358868975516</v>
      </c>
      <c r="K349" s="360">
        <f t="shared" ca="1" si="160"/>
        <v>442.56185406248568</v>
      </c>
      <c r="L349" s="357">
        <f t="shared" ca="1" si="145"/>
        <v>453.31186502053299</v>
      </c>
      <c r="M349" s="359">
        <f t="shared" ca="1" si="161"/>
        <v>1.3382264649332873</v>
      </c>
      <c r="N349" s="357">
        <f t="shared" ca="1" si="162"/>
        <v>76.674728473389223</v>
      </c>
      <c r="O349" s="343"/>
      <c r="P349" s="363">
        <f t="shared" ca="1" si="163"/>
        <v>11</v>
      </c>
      <c r="Q349" s="357">
        <f t="shared" ca="1" si="164"/>
        <v>681.75000000000387</v>
      </c>
      <c r="R349" s="359">
        <f t="shared" ca="1" si="165"/>
        <v>0.34151056885498665</v>
      </c>
      <c r="S349" s="360">
        <f t="shared" ca="1" si="166"/>
        <v>9.9379479687036287</v>
      </c>
      <c r="T349" s="357">
        <f t="shared" ca="1" si="146"/>
        <v>97.491269572982603</v>
      </c>
      <c r="U349" s="364">
        <f t="shared" ca="1" si="147"/>
        <v>0</v>
      </c>
      <c r="V349" s="359">
        <f t="shared" ca="1" si="148"/>
        <v>1.1719598502284774</v>
      </c>
      <c r="W349" s="357">
        <f t="shared" ca="1" si="149"/>
        <v>154.06216214703414</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442.56185406248568</v>
      </c>
      <c r="AF349" s="344"/>
      <c r="AG349" s="359">
        <f t="shared" ca="1" si="172"/>
        <v>43.604858946458457</v>
      </c>
      <c r="AH349" s="357">
        <f t="shared" ca="1" si="173"/>
        <v>53.150960291696038</v>
      </c>
    </row>
    <row r="350" spans="1:34" x14ac:dyDescent="0.25">
      <c r="A350" s="402">
        <f t="shared" ca="1" si="151"/>
        <v>0.01</v>
      </c>
      <c r="B350" s="357">
        <f t="shared" ca="1" si="152"/>
        <v>3.4599999999999702</v>
      </c>
      <c r="C350" s="342"/>
      <c r="D350" s="359">
        <f t="shared" ca="1" si="153"/>
        <v>12.21207293035746</v>
      </c>
      <c r="E350" s="360">
        <f t="shared" ca="1" si="154"/>
        <v>41.749115305907715</v>
      </c>
      <c r="F350" s="357">
        <f t="shared" ca="1" si="155"/>
        <v>43.498544275439237</v>
      </c>
      <c r="G350" s="359">
        <f t="shared" ca="1" si="156"/>
        <v>55.421828259334148</v>
      </c>
      <c r="H350" s="360">
        <f t="shared" ca="1" si="157"/>
        <v>233.89169436029141</v>
      </c>
      <c r="I350" s="357">
        <f t="shared" ca="1" si="158"/>
        <v>240.3682669121178</v>
      </c>
      <c r="J350" s="359">
        <f t="shared" ca="1" si="159"/>
        <v>98.689494576498419</v>
      </c>
      <c r="K350" s="360">
        <f t="shared" ca="1" si="160"/>
        <v>444.89868355032331</v>
      </c>
      <c r="L350" s="357">
        <f t="shared" ca="1" si="145"/>
        <v>455.71312792652287</v>
      </c>
      <c r="M350" s="359">
        <f t="shared" ca="1" si="161"/>
        <v>1.3381324009958198</v>
      </c>
      <c r="N350" s="357">
        <f t="shared" ca="1" si="162"/>
        <v>76.669339006767956</v>
      </c>
      <c r="O350" s="343"/>
      <c r="P350" s="363">
        <f t="shared" ca="1" si="163"/>
        <v>11</v>
      </c>
      <c r="Q350" s="357">
        <f t="shared" ca="1" si="164"/>
        <v>680.45000000000391</v>
      </c>
      <c r="R350" s="359">
        <f t="shared" ca="1" si="165"/>
        <v>0.34085935691584257</v>
      </c>
      <c r="S350" s="360">
        <f t="shared" ca="1" si="166"/>
        <v>9.9345393751344702</v>
      </c>
      <c r="T350" s="357">
        <f t="shared" ca="1" si="146"/>
        <v>97.457831270069164</v>
      </c>
      <c r="U350" s="364">
        <f t="shared" ca="1" si="147"/>
        <v>0</v>
      </c>
      <c r="V350" s="359">
        <f t="shared" ca="1" si="148"/>
        <v>1.1716858803474877</v>
      </c>
      <c r="W350" s="357">
        <f t="shared" ca="1" si="149"/>
        <v>154.58437820026947</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444.89868355032331</v>
      </c>
      <c r="AF350" s="344"/>
      <c r="AG350" s="359">
        <f t="shared" ca="1" si="172"/>
        <v>43.439742628110181</v>
      </c>
      <c r="AH350" s="357">
        <f t="shared" ca="1" si="173"/>
        <v>52.985631036954324</v>
      </c>
    </row>
    <row r="351" spans="1:34" x14ac:dyDescent="0.25">
      <c r="A351" s="402">
        <f t="shared" ca="1" si="151"/>
        <v>0.01</v>
      </c>
      <c r="B351" s="357">
        <f t="shared" ca="1" si="152"/>
        <v>3.46999999999997</v>
      </c>
      <c r="C351" s="342"/>
      <c r="D351" s="359">
        <f t="shared" ca="1" si="153"/>
        <v>12.178801589649762</v>
      </c>
      <c r="E351" s="360">
        <f t="shared" ca="1" si="154"/>
        <v>41.587087186513806</v>
      </c>
      <c r="F351" s="357">
        <f t="shared" ca="1" si="155"/>
        <v>43.333693920767431</v>
      </c>
      <c r="G351" s="359">
        <f t="shared" ca="1" si="156"/>
        <v>55.543616275230647</v>
      </c>
      <c r="H351" s="360">
        <f t="shared" ca="1" si="157"/>
        <v>234.30756523215655</v>
      </c>
      <c r="I351" s="357">
        <f t="shared" ca="1" si="158"/>
        <v>240.80101418796261</v>
      </c>
      <c r="J351" s="359">
        <f t="shared" ca="1" si="159"/>
        <v>99.244321799171246</v>
      </c>
      <c r="K351" s="360">
        <f t="shared" ca="1" si="160"/>
        <v>447.23967984828556</v>
      </c>
      <c r="L351" s="357">
        <f t="shared" ca="1" si="145"/>
        <v>458.11872548518949</v>
      </c>
      <c r="M351" s="359">
        <f t="shared" ca="1" si="161"/>
        <v>1.3380384688135047</v>
      </c>
      <c r="N351" s="357">
        <f t="shared" ca="1" si="162"/>
        <v>76.663957089160846</v>
      </c>
      <c r="O351" s="343"/>
      <c r="P351" s="363">
        <f t="shared" ca="1" si="163"/>
        <v>11</v>
      </c>
      <c r="Q351" s="357">
        <f t="shared" ca="1" si="164"/>
        <v>679.15000000000396</v>
      </c>
      <c r="R351" s="359">
        <f t="shared" ca="1" si="165"/>
        <v>0.34020814497669855</v>
      </c>
      <c r="S351" s="360">
        <f t="shared" ca="1" si="166"/>
        <v>9.9311372936847029</v>
      </c>
      <c r="T351" s="357">
        <f t="shared" ca="1" si="146"/>
        <v>97.424456851046941</v>
      </c>
      <c r="U351" s="364">
        <f t="shared" ca="1" si="147"/>
        <v>0</v>
      </c>
      <c r="V351" s="359">
        <f t="shared" ca="1" si="148"/>
        <v>1.1714114847390282</v>
      </c>
      <c r="W351" s="357">
        <f t="shared" ca="1" si="149"/>
        <v>155.1051591761902</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447.23967984828556</v>
      </c>
      <c r="AF351" s="344"/>
      <c r="AG351" s="359">
        <f t="shared" ca="1" si="172"/>
        <v>43.274621352044036</v>
      </c>
      <c r="AH351" s="357">
        <f t="shared" ca="1" si="173"/>
        <v>52.820297040230258</v>
      </c>
    </row>
    <row r="352" spans="1:34" x14ac:dyDescent="0.25">
      <c r="A352" s="402">
        <f t="shared" ca="1" si="151"/>
        <v>0.01</v>
      </c>
      <c r="B352" s="357">
        <f t="shared" ca="1" si="152"/>
        <v>3.4799999999999698</v>
      </c>
      <c r="C352" s="342"/>
      <c r="D352" s="359">
        <f t="shared" ca="1" si="153"/>
        <v>12.145492363286582</v>
      </c>
      <c r="E352" s="360">
        <f t="shared" ca="1" si="154"/>
        <v>41.425064171658718</v>
      </c>
      <c r="F352" s="357">
        <f t="shared" ca="1" si="155"/>
        <v>43.168842078201443</v>
      </c>
      <c r="G352" s="359">
        <f t="shared" ca="1" si="156"/>
        <v>55.665071198863515</v>
      </c>
      <c r="H352" s="360">
        <f t="shared" ca="1" si="157"/>
        <v>234.72181587387314</v>
      </c>
      <c r="I352" s="357">
        <f t="shared" ca="1" si="158"/>
        <v>241.23211021483635</v>
      </c>
      <c r="J352" s="359">
        <f t="shared" ca="1" si="159"/>
        <v>99.800365236541722</v>
      </c>
      <c r="K352" s="360">
        <f t="shared" ca="1" si="160"/>
        <v>449.58482675381572</v>
      </c>
      <c r="L352" s="357">
        <f t="shared" ca="1" si="145"/>
        <v>460.52864118163774</v>
      </c>
      <c r="M352" s="359">
        <f t="shared" ca="1" si="161"/>
        <v>1.3379446673245246</v>
      </c>
      <c r="N352" s="357">
        <f t="shared" ca="1" si="162"/>
        <v>76.658582659730243</v>
      </c>
      <c r="O352" s="343"/>
      <c r="P352" s="363">
        <f t="shared" ca="1" si="163"/>
        <v>11</v>
      </c>
      <c r="Q352" s="357">
        <f t="shared" ca="1" si="164"/>
        <v>677.85000000000389</v>
      </c>
      <c r="R352" s="359">
        <f t="shared" ca="1" si="165"/>
        <v>0.33955693303755441</v>
      </c>
      <c r="S352" s="360">
        <f t="shared" ca="1" si="166"/>
        <v>9.9277417243543269</v>
      </c>
      <c r="T352" s="357">
        <f t="shared" ca="1" si="146"/>
        <v>97.391146315915947</v>
      </c>
      <c r="U352" s="364">
        <f t="shared" ca="1" si="147"/>
        <v>0</v>
      </c>
      <c r="V352" s="359">
        <f t="shared" ca="1" si="148"/>
        <v>1.1711366656155386</v>
      </c>
      <c r="W352" s="357">
        <f t="shared" ca="1" si="149"/>
        <v>155.62449403598586</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449.58482675381572</v>
      </c>
      <c r="AF352" s="344"/>
      <c r="AG352" s="359">
        <f t="shared" ca="1" si="172"/>
        <v>43.109496560692882</v>
      </c>
      <c r="AH352" s="357">
        <f t="shared" ca="1" si="173"/>
        <v>52.654959741895539</v>
      </c>
    </row>
    <row r="353" spans="1:34" x14ac:dyDescent="0.25">
      <c r="A353" s="402">
        <f t="shared" ca="1" si="151"/>
        <v>0.01</v>
      </c>
      <c r="B353" s="357">
        <f t="shared" ca="1" si="152"/>
        <v>3.4899999999999696</v>
      </c>
      <c r="C353" s="342"/>
      <c r="D353" s="359">
        <f t="shared" ca="1" si="153"/>
        <v>12.112145700588842</v>
      </c>
      <c r="E353" s="360">
        <f t="shared" ca="1" si="154"/>
        <v>41.26304763546554</v>
      </c>
      <c r="F353" s="357">
        <f t="shared" ca="1" si="155"/>
        <v>43.0039902060145</v>
      </c>
      <c r="G353" s="359">
        <f t="shared" ca="1" si="156"/>
        <v>55.786192655869407</v>
      </c>
      <c r="H353" s="360">
        <f t="shared" ca="1" si="157"/>
        <v>235.13444635022779</v>
      </c>
      <c r="I353" s="357">
        <f t="shared" ca="1" si="158"/>
        <v>241.66155497196058</v>
      </c>
      <c r="J353" s="359">
        <f t="shared" ca="1" si="159"/>
        <v>100.35762155581538</v>
      </c>
      <c r="K353" s="360">
        <f t="shared" ca="1" si="160"/>
        <v>451.9341080649362</v>
      </c>
      <c r="L353" s="357">
        <f t="shared" ca="1" si="145"/>
        <v>462.94285850068979</v>
      </c>
      <c r="M353" s="359">
        <f t="shared" ca="1" si="161"/>
        <v>1.3378509954749929</v>
      </c>
      <c r="N353" s="357">
        <f t="shared" ca="1" si="162"/>
        <v>76.65321565809289</v>
      </c>
      <c r="O353" s="343"/>
      <c r="P353" s="363">
        <f t="shared" ca="1" si="163"/>
        <v>11</v>
      </c>
      <c r="Q353" s="357">
        <f t="shared" ca="1" si="164"/>
        <v>676.55000000000393</v>
      </c>
      <c r="R353" s="359">
        <f t="shared" ca="1" si="165"/>
        <v>0.33890572109841033</v>
      </c>
      <c r="S353" s="360">
        <f t="shared" ca="1" si="166"/>
        <v>9.9243526671433422</v>
      </c>
      <c r="T353" s="357">
        <f t="shared" ca="1" si="146"/>
        <v>97.357899664676196</v>
      </c>
      <c r="U353" s="364">
        <f t="shared" ca="1" si="147"/>
        <v>0</v>
      </c>
      <c r="V353" s="359">
        <f t="shared" ca="1" si="148"/>
        <v>1.1708614251880234</v>
      </c>
      <c r="W353" s="357">
        <f t="shared" ca="1" si="149"/>
        <v>156.14237182008148</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451.9341080649362</v>
      </c>
      <c r="AF353" s="344"/>
      <c r="AG353" s="359">
        <f t="shared" ca="1" si="172"/>
        <v>42.944369690481395</v>
      </c>
      <c r="AH353" s="357">
        <f t="shared" ca="1" si="173"/>
        <v>52.489620576327518</v>
      </c>
    </row>
    <row r="354" spans="1:34" x14ac:dyDescent="0.25">
      <c r="A354" s="402">
        <f t="shared" ca="1" si="151"/>
        <v>0.01</v>
      </c>
      <c r="B354" s="357">
        <f t="shared" ca="1" si="152"/>
        <v>3.4999999999999694</v>
      </c>
      <c r="C354" s="342"/>
      <c r="D354" s="359">
        <f t="shared" ca="1" si="153"/>
        <v>12.078762048916552</v>
      </c>
      <c r="E354" s="360">
        <f t="shared" ca="1" si="154"/>
        <v>41.10103894628876</v>
      </c>
      <c r="F354" s="357">
        <f t="shared" ca="1" si="155"/>
        <v>42.839139756753895</v>
      </c>
      <c r="G354" s="359">
        <f t="shared" ca="1" si="156"/>
        <v>55.906980276358574</v>
      </c>
      <c r="H354" s="360">
        <f t="shared" ca="1" si="157"/>
        <v>235.54545673969068</v>
      </c>
      <c r="I354" s="357">
        <f t="shared" ca="1" si="158"/>
        <v>242.08934845286078</v>
      </c>
      <c r="J354" s="359">
        <f t="shared" ca="1" si="159"/>
        <v>100.91608742047653</v>
      </c>
      <c r="K354" s="360">
        <f t="shared" ca="1" si="160"/>
        <v>454.28750758038581</v>
      </c>
      <c r="L354" s="357">
        <f t="shared" ca="1" si="145"/>
        <v>465.36136092702878</v>
      </c>
      <c r="M354" s="359">
        <f t="shared" ca="1" si="161"/>
        <v>1.3377574522188633</v>
      </c>
      <c r="N354" s="357">
        <f t="shared" ca="1" si="162"/>
        <v>76.647856024314748</v>
      </c>
      <c r="O354" s="343"/>
      <c r="P354" s="363">
        <f t="shared" ca="1" si="163"/>
        <v>11</v>
      </c>
      <c r="Q354" s="357">
        <f t="shared" ca="1" si="164"/>
        <v>675.25000000000398</v>
      </c>
      <c r="R354" s="359">
        <f t="shared" ca="1" si="165"/>
        <v>0.33825450915926625</v>
      </c>
      <c r="S354" s="360">
        <f t="shared" ca="1" si="166"/>
        <v>9.9209701220517488</v>
      </c>
      <c r="T354" s="357">
        <f t="shared" ca="1" si="146"/>
        <v>97.324716897327662</v>
      </c>
      <c r="U354" s="364">
        <f t="shared" ca="1" si="147"/>
        <v>0</v>
      </c>
      <c r="V354" s="359">
        <f t="shared" ca="1" si="148"/>
        <v>1.1705857656660266</v>
      </c>
      <c r="W354" s="357">
        <f t="shared" ca="1" si="149"/>
        <v>156.6587816481676</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454.28750758038581</v>
      </c>
      <c r="AF354" s="344"/>
      <c r="AG354" s="359">
        <f t="shared" ca="1" si="172"/>
        <v>42.779242171803141</v>
      </c>
      <c r="AH354" s="357">
        <f t="shared" ca="1" si="173"/>
        <v>52.324280971886061</v>
      </c>
    </row>
    <row r="355" spans="1:34" x14ac:dyDescent="0.25">
      <c r="A355" s="402">
        <f t="shared" ca="1" si="151"/>
        <v>0.01</v>
      </c>
      <c r="B355" s="357">
        <f t="shared" ca="1" si="152"/>
        <v>3.5099999999999691</v>
      </c>
      <c r="C355" s="342"/>
      <c r="D355" s="359">
        <f t="shared" ca="1" si="153"/>
        <v>12.045341853670152</v>
      </c>
      <c r="E355" s="360">
        <f t="shared" ca="1" si="154"/>
        <v>40.939039466691199</v>
      </c>
      <c r="F355" s="357">
        <f t="shared" ca="1" si="155"/>
        <v>42.674292177223954</v>
      </c>
      <c r="G355" s="359">
        <f t="shared" ca="1" si="156"/>
        <v>56.027433694895272</v>
      </c>
      <c r="H355" s="360">
        <f t="shared" ca="1" si="157"/>
        <v>235.95484713435758</v>
      </c>
      <c r="I355" s="357">
        <f t="shared" ca="1" si="158"/>
        <v>242.51549066530563</v>
      </c>
      <c r="J355" s="359">
        <f t="shared" ca="1" si="159"/>
        <v>101.47575949033281</v>
      </c>
      <c r="K355" s="360">
        <f t="shared" ca="1" si="160"/>
        <v>456.64500909975607</v>
      </c>
      <c r="L355" s="357">
        <f t="shared" ca="1" si="145"/>
        <v>467.78413194534096</v>
      </c>
      <c r="M355" s="359">
        <f t="shared" ca="1" si="161"/>
        <v>1.3376640365178403</v>
      </c>
      <c r="N355" s="357">
        <f t="shared" ca="1" si="162"/>
        <v>76.642503698905884</v>
      </c>
      <c r="O355" s="343"/>
      <c r="P355" s="363">
        <f t="shared" ca="1" si="163"/>
        <v>11</v>
      </c>
      <c r="Q355" s="357">
        <f t="shared" ca="1" si="164"/>
        <v>673.95000000000402</v>
      </c>
      <c r="R355" s="359">
        <f t="shared" ca="1" si="165"/>
        <v>0.33760329722012222</v>
      </c>
      <c r="S355" s="360">
        <f t="shared" ca="1" si="166"/>
        <v>9.9175940890795484</v>
      </c>
      <c r="T355" s="357">
        <f t="shared" ca="1" si="146"/>
        <v>97.29159801387037</v>
      </c>
      <c r="U355" s="364">
        <f t="shared" ca="1" si="147"/>
        <v>0</v>
      </c>
      <c r="V355" s="359">
        <f t="shared" ca="1" si="148"/>
        <v>1.1703096892576113</v>
      </c>
      <c r="W355" s="357">
        <f t="shared" ca="1" si="149"/>
        <v>157.17371271922599</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456.64500909975607</v>
      </c>
      <c r="AF355" s="344"/>
      <c r="AG355" s="359">
        <f t="shared" ca="1" si="172"/>
        <v>42.614115428998034</v>
      </c>
      <c r="AH355" s="357">
        <f t="shared" ca="1" si="173"/>
        <v>52.158942350890889</v>
      </c>
    </row>
    <row r="356" spans="1:34" x14ac:dyDescent="0.25">
      <c r="A356" s="402">
        <f t="shared" ca="1" si="151"/>
        <v>0.01</v>
      </c>
      <c r="B356" s="357">
        <f t="shared" ca="1" si="152"/>
        <v>3.5199999999999689</v>
      </c>
      <c r="C356" s="342"/>
      <c r="D356" s="359">
        <f t="shared" ca="1" si="153"/>
        <v>12.011885558291761</v>
      </c>
      <c r="E356" s="360">
        <f t="shared" ca="1" si="154"/>
        <v>40.777050553421383</v>
      </c>
      <c r="F356" s="357">
        <f t="shared" ca="1" si="155"/>
        <v>42.50944890846953</v>
      </c>
      <c r="G356" s="359">
        <f t="shared" ca="1" si="156"/>
        <v>56.147552550478188</v>
      </c>
      <c r="H356" s="360">
        <f t="shared" ca="1" si="157"/>
        <v>236.36261763989179</v>
      </c>
      <c r="I356" s="357">
        <f t="shared" ca="1" si="158"/>
        <v>242.93998163124652</v>
      </c>
      <c r="J356" s="359">
        <f t="shared" ca="1" si="159"/>
        <v>102.03663442155967</v>
      </c>
      <c r="K356" s="360">
        <f t="shared" ca="1" si="160"/>
        <v>459.00659642362729</v>
      </c>
      <c r="L356" s="357">
        <f t="shared" ca="1" si="145"/>
        <v>470.21115504045804</v>
      </c>
      <c r="M356" s="359">
        <f t="shared" ca="1" si="161"/>
        <v>1.3375707473412899</v>
      </c>
      <c r="N356" s="357">
        <f t="shared" ca="1" si="162"/>
        <v>76.637158622815292</v>
      </c>
      <c r="O356" s="343"/>
      <c r="P356" s="363">
        <f t="shared" ca="1" si="163"/>
        <v>11</v>
      </c>
      <c r="Q356" s="357">
        <f t="shared" ca="1" si="164"/>
        <v>672.65000000000407</v>
      </c>
      <c r="R356" s="359">
        <f t="shared" ca="1" si="165"/>
        <v>0.33695208528097814</v>
      </c>
      <c r="S356" s="360">
        <f t="shared" ca="1" si="166"/>
        <v>9.9142245682267394</v>
      </c>
      <c r="T356" s="357">
        <f t="shared" ca="1" si="146"/>
        <v>97.258543014304323</v>
      </c>
      <c r="U356" s="364">
        <f t="shared" ca="1" si="147"/>
        <v>0</v>
      </c>
      <c r="V356" s="359">
        <f t="shared" ca="1" si="148"/>
        <v>1.170033198169335</v>
      </c>
      <c r="W356" s="357">
        <f t="shared" ca="1" si="149"/>
        <v>157.68715431155198</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459.00659642362729</v>
      </c>
      <c r="AF356" s="344"/>
      <c r="AG356" s="359">
        <f t="shared" ca="1" si="172"/>
        <v>42.448990880330257</v>
      </c>
      <c r="AH356" s="357">
        <f t="shared" ca="1" si="173"/>
        <v>51.993606129599328</v>
      </c>
    </row>
    <row r="357" spans="1:34" x14ac:dyDescent="0.25">
      <c r="A357" s="402">
        <f t="shared" ca="1" si="151"/>
        <v>0.01</v>
      </c>
      <c r="B357" s="357">
        <f t="shared" ca="1" si="152"/>
        <v>3.5299999999999687</v>
      </c>
      <c r="C357" s="342"/>
      <c r="D357" s="359">
        <f t="shared" ca="1" si="153"/>
        <v>11.978393604266429</v>
      </c>
      <c r="E357" s="360">
        <f t="shared" ca="1" si="154"/>
        <v>40.615073557391227</v>
      </c>
      <c r="F357" s="357">
        <f t="shared" ca="1" si="155"/>
        <v>42.344611385759947</v>
      </c>
      <c r="G357" s="359">
        <f t="shared" ca="1" si="156"/>
        <v>56.267336486520854</v>
      </c>
      <c r="H357" s="360">
        <f t="shared" ca="1" si="157"/>
        <v>236.7687683754657</v>
      </c>
      <c r="I357" s="357">
        <f t="shared" ca="1" si="158"/>
        <v>243.36282138675637</v>
      </c>
      <c r="J357" s="359">
        <f t="shared" ca="1" si="159"/>
        <v>102.59870886674466</v>
      </c>
      <c r="K357" s="360">
        <f t="shared" ca="1" si="160"/>
        <v>461.37225335370408</v>
      </c>
      <c r="L357" s="357">
        <f t="shared" ca="1" si="145"/>
        <v>472.64241369749874</v>
      </c>
      <c r="M357" s="359">
        <f t="shared" ca="1" si="161"/>
        <v>1.3374775836661541</v>
      </c>
      <c r="N357" s="357">
        <f t="shared" ca="1" si="162"/>
        <v>76.631820737426082</v>
      </c>
      <c r="O357" s="343"/>
      <c r="P357" s="363">
        <f t="shared" ca="1" si="163"/>
        <v>11</v>
      </c>
      <c r="Q357" s="357">
        <f t="shared" ca="1" si="164"/>
        <v>671.35000000000412</v>
      </c>
      <c r="R357" s="359">
        <f t="shared" ca="1" si="165"/>
        <v>0.33630087334183406</v>
      </c>
      <c r="S357" s="360">
        <f t="shared" ca="1" si="166"/>
        <v>9.9108615594933216</v>
      </c>
      <c r="T357" s="357">
        <f t="shared" ca="1" si="146"/>
        <v>97.22555189862949</v>
      </c>
      <c r="U357" s="364">
        <f t="shared" ca="1" si="147"/>
        <v>0</v>
      </c>
      <c r="V357" s="359">
        <f t="shared" ca="1" si="148"/>
        <v>1.1697562946062279</v>
      </c>
      <c r="W357" s="357">
        <f t="shared" ca="1" si="149"/>
        <v>158.19909578277262</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461.37225335370408</v>
      </c>
      <c r="AF357" s="344"/>
      <c r="AG357" s="359">
        <f t="shared" ca="1" si="172"/>
        <v>42.283869937966529</v>
      </c>
      <c r="AH357" s="357">
        <f t="shared" ca="1" si="173"/>
        <v>51.828273718184434</v>
      </c>
    </row>
    <row r="358" spans="1:34" x14ac:dyDescent="0.25">
      <c r="A358" s="402">
        <f t="shared" ca="1" si="151"/>
        <v>0.01</v>
      </c>
      <c r="B358" s="357">
        <f t="shared" ca="1" si="152"/>
        <v>3.5399999999999685</v>
      </c>
      <c r="C358" s="342"/>
      <c r="D358" s="359">
        <f t="shared" ca="1" si="153"/>
        <v>11.944866431123287</v>
      </c>
      <c r="E358" s="360">
        <f t="shared" ca="1" si="154"/>
        <v>40.453109823654252</v>
      </c>
      <c r="F358" s="357">
        <f t="shared" ca="1" si="155"/>
        <v>42.179781038573545</v>
      </c>
      <c r="G358" s="359">
        <f t="shared" ca="1" si="156"/>
        <v>56.38678515083209</v>
      </c>
      <c r="H358" s="360">
        <f t="shared" ca="1" si="157"/>
        <v>237.17329947370223</v>
      </c>
      <c r="I358" s="357">
        <f t="shared" ca="1" si="158"/>
        <v>243.78400998196855</v>
      </c>
      <c r="J358" s="359">
        <f t="shared" ca="1" si="159"/>
        <v>103.16197947493143</v>
      </c>
      <c r="K358" s="360">
        <f t="shared" ca="1" si="160"/>
        <v>463.74196369294992</v>
      </c>
      <c r="L358" s="357">
        <f t="shared" ca="1" si="145"/>
        <v>475.07789140200941</v>
      </c>
      <c r="M358" s="359">
        <f t="shared" ca="1" si="161"/>
        <v>1.3373845444768637</v>
      </c>
      <c r="N358" s="357">
        <f t="shared" ca="1" si="162"/>
        <v>76.626489984550417</v>
      </c>
      <c r="O358" s="343"/>
      <c r="P358" s="363">
        <f t="shared" ca="1" si="163"/>
        <v>11</v>
      </c>
      <c r="Q358" s="357">
        <f t="shared" ca="1" si="164"/>
        <v>670.05000000000405</v>
      </c>
      <c r="R358" s="359">
        <f t="shared" ca="1" si="165"/>
        <v>0.33564966140268998</v>
      </c>
      <c r="S358" s="360">
        <f t="shared" ca="1" si="166"/>
        <v>9.9075050628792951</v>
      </c>
      <c r="T358" s="357">
        <f t="shared" ca="1" si="146"/>
        <v>97.192624666845887</v>
      </c>
      <c r="U358" s="364">
        <f t="shared" ca="1" si="147"/>
        <v>0</v>
      </c>
      <c r="V358" s="359">
        <f t="shared" ca="1" si="148"/>
        <v>1.16947898077177</v>
      </c>
      <c r="W358" s="357">
        <f t="shared" ca="1" si="149"/>
        <v>158.70952656986108</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463.74196369294992</v>
      </c>
      <c r="AF358" s="344"/>
      <c r="AG358" s="359">
        <f t="shared" ca="1" si="172"/>
        <v>42.118754007954792</v>
      </c>
      <c r="AH358" s="357">
        <f t="shared" ca="1" si="173"/>
        <v>51.662946520713518</v>
      </c>
    </row>
    <row r="359" spans="1:34" x14ac:dyDescent="0.25">
      <c r="A359" s="402">
        <f t="shared" ca="1" si="151"/>
        <v>0.01</v>
      </c>
      <c r="B359" s="357">
        <f t="shared" ca="1" si="152"/>
        <v>3.5499999999999683</v>
      </c>
      <c r="C359" s="342"/>
      <c r="D359" s="359">
        <f t="shared" ca="1" si="153"/>
        <v>11.91130447643679</v>
      </c>
      <c r="E359" s="360">
        <f t="shared" ca="1" si="154"/>
        <v>40.29116069138415</v>
      </c>
      <c r="F359" s="357">
        <f t="shared" ca="1" si="155"/>
        <v>42.014959290582709</v>
      </c>
      <c r="G359" s="359">
        <f t="shared" ca="1" si="156"/>
        <v>56.505898195596458</v>
      </c>
      <c r="H359" s="360">
        <f t="shared" ca="1" si="157"/>
        <v>237.57621108061608</v>
      </c>
      <c r="I359" s="357">
        <f t="shared" ca="1" si="158"/>
        <v>244.20354748101542</v>
      </c>
      <c r="J359" s="359">
        <f t="shared" ca="1" si="159"/>
        <v>103.72644289166357</v>
      </c>
      <c r="K359" s="360">
        <f t="shared" ca="1" si="160"/>
        <v>466.11571124572151</v>
      </c>
      <c r="L359" s="357">
        <f t="shared" ca="1" si="145"/>
        <v>477.51757164010456</v>
      </c>
      <c r="M359" s="359">
        <f t="shared" ca="1" si="161"/>
        <v>1.3372916287652543</v>
      </c>
      <c r="N359" s="357">
        <f t="shared" ca="1" si="162"/>
        <v>76.621166306424755</v>
      </c>
      <c r="O359" s="343"/>
      <c r="P359" s="363">
        <f t="shared" ca="1" si="163"/>
        <v>11</v>
      </c>
      <c r="Q359" s="357">
        <f t="shared" ca="1" si="164"/>
        <v>668.75000000000409</v>
      </c>
      <c r="R359" s="359">
        <f t="shared" ca="1" si="165"/>
        <v>0.3349984494635459</v>
      </c>
      <c r="S359" s="360">
        <f t="shared" ca="1" si="166"/>
        <v>9.9041550783846599</v>
      </c>
      <c r="T359" s="357">
        <f t="shared" ca="1" si="146"/>
        <v>97.159761318953514</v>
      </c>
      <c r="U359" s="364">
        <f t="shared" ca="1" si="147"/>
        <v>0</v>
      </c>
      <c r="V359" s="359">
        <f t="shared" ca="1" si="148"/>
        <v>1.16920125886787</v>
      </c>
      <c r="W359" s="357">
        <f t="shared" ca="1" si="149"/>
        <v>159.21843618914704</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466.11571124572151</v>
      </c>
      <c r="AF359" s="344"/>
      <c r="AG359" s="359">
        <f t="shared" ca="1" si="172"/>
        <v>41.953644490203374</v>
      </c>
      <c r="AH359" s="357">
        <f t="shared" ca="1" si="173"/>
        <v>51.497625935127139</v>
      </c>
    </row>
    <row r="360" spans="1:34" x14ac:dyDescent="0.25">
      <c r="A360" s="402">
        <f t="shared" ca="1" si="151"/>
        <v>0.01</v>
      </c>
      <c r="B360" s="357">
        <f t="shared" ca="1" si="152"/>
        <v>3.5599999999999681</v>
      </c>
      <c r="C360" s="342"/>
      <c r="D360" s="359">
        <f t="shared" ca="1" si="153"/>
        <v>11.877708175827836</v>
      </c>
      <c r="E360" s="360">
        <f t="shared" ca="1" si="154"/>
        <v>40.129227493853762</v>
      </c>
      <c r="F360" s="357">
        <f t="shared" ca="1" si="155"/>
        <v>41.850147559639453</v>
      </c>
      <c r="G360" s="359">
        <f t="shared" ca="1" si="156"/>
        <v>56.62467527735474</v>
      </c>
      <c r="H360" s="360">
        <f t="shared" ca="1" si="157"/>
        <v>237.9775033555546</v>
      </c>
      <c r="I360" s="357">
        <f t="shared" ca="1" si="158"/>
        <v>244.62143396196677</v>
      </c>
      <c r="J360" s="359">
        <f t="shared" ca="1" si="159"/>
        <v>104.29209575902833</v>
      </c>
      <c r="K360" s="360">
        <f t="shared" ca="1" si="160"/>
        <v>468.49347981790237</v>
      </c>
      <c r="L360" s="357">
        <f t="shared" ca="1" si="145"/>
        <v>479.96143789860622</v>
      </c>
      <c r="M360" s="359">
        <f t="shared" ca="1" si="161"/>
        <v>1.337198835530482</v>
      </c>
      <c r="N360" s="357">
        <f t="shared" ca="1" si="162"/>
        <v>76.615849645704927</v>
      </c>
      <c r="O360" s="343"/>
      <c r="P360" s="363">
        <f t="shared" ca="1" si="163"/>
        <v>11</v>
      </c>
      <c r="Q360" s="357">
        <f t="shared" ca="1" si="164"/>
        <v>667.45000000000414</v>
      </c>
      <c r="R360" s="359">
        <f t="shared" ca="1" si="165"/>
        <v>0.33434723752440182</v>
      </c>
      <c r="S360" s="360">
        <f t="shared" ca="1" si="166"/>
        <v>9.900811606009416</v>
      </c>
      <c r="T360" s="357">
        <f t="shared" ca="1" si="146"/>
        <v>97.12696185495237</v>
      </c>
      <c r="U360" s="364">
        <f t="shared" ca="1" si="147"/>
        <v>0</v>
      </c>
      <c r="V360" s="359">
        <f t="shared" ca="1" si="148"/>
        <v>1.1689231310948407</v>
      </c>
      <c r="W360" s="357">
        <f t="shared" ca="1" si="149"/>
        <v>159.7258142363234</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468.49347981790237</v>
      </c>
      <c r="AF360" s="344"/>
      <c r="AG360" s="359">
        <f t="shared" ca="1" si="172"/>
        <v>41.788542778460382</v>
      </c>
      <c r="AH360" s="357">
        <f t="shared" ca="1" si="173"/>
        <v>51.332313353218424</v>
      </c>
    </row>
    <row r="361" spans="1:34" x14ac:dyDescent="0.25">
      <c r="A361" s="402">
        <f t="shared" ca="1" si="151"/>
        <v>0.01</v>
      </c>
      <c r="B361" s="357">
        <f t="shared" ca="1" si="152"/>
        <v>3.5699999999999679</v>
      </c>
      <c r="C361" s="342"/>
      <c r="D361" s="359">
        <f t="shared" ca="1" si="153"/>
        <v>11.844077962964942</v>
      </c>
      <c r="E361" s="360">
        <f t="shared" ca="1" si="154"/>
        <v>39.967311558414522</v>
      </c>
      <c r="F361" s="357">
        <f t="shared" ca="1" si="155"/>
        <v>41.685347257761528</v>
      </c>
      <c r="G361" s="359">
        <f t="shared" ca="1" si="156"/>
        <v>56.743116056984391</v>
      </c>
      <c r="H361" s="360">
        <f t="shared" ca="1" si="157"/>
        <v>238.37717647113874</v>
      </c>
      <c r="I361" s="357">
        <f t="shared" ca="1" si="158"/>
        <v>245.03766951676801</v>
      </c>
      <c r="J361" s="359">
        <f t="shared" ca="1" si="159"/>
        <v>104.85893471570003</v>
      </c>
      <c r="K361" s="360">
        <f t="shared" ca="1" si="160"/>
        <v>470.87525321703583</v>
      </c>
      <c r="L361" s="357">
        <f t="shared" ca="1" si="145"/>
        <v>482.40947366518316</v>
      </c>
      <c r="M361" s="359">
        <f t="shared" ca="1" si="161"/>
        <v>1.3371061637789412</v>
      </c>
      <c r="N361" s="357">
        <f t="shared" ca="1" si="162"/>
        <v>76.610539945461554</v>
      </c>
      <c r="O361" s="343"/>
      <c r="P361" s="363">
        <f t="shared" ca="1" si="163"/>
        <v>11</v>
      </c>
      <c r="Q361" s="357">
        <f t="shared" ca="1" si="164"/>
        <v>666.15000000000418</v>
      </c>
      <c r="R361" s="359">
        <f t="shared" ca="1" si="165"/>
        <v>0.33369602558525779</v>
      </c>
      <c r="S361" s="360">
        <f t="shared" ca="1" si="166"/>
        <v>9.8974746457535634</v>
      </c>
      <c r="T361" s="357">
        <f t="shared" ca="1" si="146"/>
        <v>97.094226274842455</v>
      </c>
      <c r="U361" s="364">
        <f t="shared" ca="1" si="147"/>
        <v>0</v>
      </c>
      <c r="V361" s="359">
        <f t="shared" ca="1" si="148"/>
        <v>1.1686445996513783</v>
      </c>
      <c r="W361" s="357">
        <f t="shared" ca="1" si="149"/>
        <v>160.23165038644916</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470.87525321703583</v>
      </c>
      <c r="AF361" s="344"/>
      <c r="AG361" s="359">
        <f t="shared" ca="1" si="172"/>
        <v>41.62345026029373</v>
      </c>
      <c r="AH361" s="357">
        <f t="shared" ca="1" si="173"/>
        <v>51.167010160612861</v>
      </c>
    </row>
    <row r="362" spans="1:34" x14ac:dyDescent="0.25">
      <c r="A362" s="402">
        <f t="shared" ca="1" si="151"/>
        <v>0.01</v>
      </c>
      <c r="B362" s="357">
        <f t="shared" ca="1" si="152"/>
        <v>3.5799999999999677</v>
      </c>
      <c r="C362" s="342"/>
      <c r="D362" s="359">
        <f t="shared" ca="1" si="153"/>
        <v>11.810414269565362</v>
      </c>
      <c r="E362" s="360">
        <f t="shared" ca="1" si="154"/>
        <v>39.8054142064763</v>
      </c>
      <c r="F362" s="357">
        <f t="shared" ca="1" si="155"/>
        <v>41.520559791119126</v>
      </c>
      <c r="G362" s="359">
        <f t="shared" ca="1" si="156"/>
        <v>56.861220199680048</v>
      </c>
      <c r="H362" s="360">
        <f t="shared" ca="1" si="157"/>
        <v>238.77523061320349</v>
      </c>
      <c r="I362" s="357">
        <f t="shared" ca="1" si="158"/>
        <v>245.45225425117818</v>
      </c>
      <c r="J362" s="359">
        <f t="shared" ca="1" si="159"/>
        <v>105.42695639698336</v>
      </c>
      <c r="K362" s="360">
        <f t="shared" ca="1" si="160"/>
        <v>473.26101525245753</v>
      </c>
      <c r="L362" s="357">
        <f t="shared" ca="1" si="145"/>
        <v>484.86166242848924</v>
      </c>
      <c r="M362" s="359">
        <f t="shared" ca="1" si="161"/>
        <v>1.3370136125241832</v>
      </c>
      <c r="N362" s="357">
        <f t="shared" ca="1" si="162"/>
        <v>76.605237149175281</v>
      </c>
      <c r="O362" s="343"/>
      <c r="P362" s="363">
        <f t="shared" ca="1" si="163"/>
        <v>11</v>
      </c>
      <c r="Q362" s="357">
        <f t="shared" ca="1" si="164"/>
        <v>664.85000000000423</v>
      </c>
      <c r="R362" s="359">
        <f t="shared" ca="1" si="165"/>
        <v>0.33304481364611371</v>
      </c>
      <c r="S362" s="360">
        <f t="shared" ca="1" si="166"/>
        <v>9.8941441976171021</v>
      </c>
      <c r="T362" s="357">
        <f t="shared" ca="1" si="146"/>
        <v>97.06155457862377</v>
      </c>
      <c r="U362" s="364">
        <f t="shared" ca="1" si="147"/>
        <v>0</v>
      </c>
      <c r="V362" s="359">
        <f t="shared" ca="1" si="148"/>
        <v>1.1683656667345419</v>
      </c>
      <c r="W362" s="357">
        <f t="shared" ca="1" si="149"/>
        <v>160.73593439394875</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473.26101525245753</v>
      </c>
      <c r="AF362" s="344"/>
      <c r="AG362" s="359">
        <f t="shared" ca="1" si="172"/>
        <v>41.45836831707139</v>
      </c>
      <c r="AH362" s="357">
        <f t="shared" ca="1" si="173"/>
        <v>51.001717736748468</v>
      </c>
    </row>
    <row r="363" spans="1:34" x14ac:dyDescent="0.25">
      <c r="A363" s="402">
        <f t="shared" ca="1" si="151"/>
        <v>0.01</v>
      </c>
      <c r="B363" s="357">
        <f t="shared" ca="1" si="152"/>
        <v>3.5899999999999674</v>
      </c>
      <c r="C363" s="342"/>
      <c r="D363" s="359">
        <f t="shared" ca="1" si="153"/>
        <v>11.776717525396176</v>
      </c>
      <c r="E363" s="360">
        <f t="shared" ca="1" si="154"/>
        <v>39.643536753487545</v>
      </c>
      <c r="F363" s="357">
        <f t="shared" ca="1" si="155"/>
        <v>41.35578656002194</v>
      </c>
      <c r="G363" s="359">
        <f t="shared" ca="1" si="156"/>
        <v>56.978987374934007</v>
      </c>
      <c r="H363" s="360">
        <f t="shared" ca="1" si="157"/>
        <v>239.17166598073837</v>
      </c>
      <c r="I363" s="357">
        <f t="shared" ca="1" si="158"/>
        <v>245.8651882847077</v>
      </c>
      <c r="J363" s="359">
        <f t="shared" ca="1" si="159"/>
        <v>105.99615743485643</v>
      </c>
      <c r="K363" s="360">
        <f t="shared" ca="1" si="160"/>
        <v>475.65074973542721</v>
      </c>
      <c r="L363" s="357">
        <f t="shared" ca="1" si="145"/>
        <v>487.31798767830117</v>
      </c>
      <c r="M363" s="359">
        <f t="shared" ca="1" si="161"/>
        <v>1.336921180786836</v>
      </c>
      <c r="N363" s="357">
        <f t="shared" ca="1" si="162"/>
        <v>76.599941200732218</v>
      </c>
      <c r="O363" s="343"/>
      <c r="P363" s="363">
        <f t="shared" ca="1" si="163"/>
        <v>11</v>
      </c>
      <c r="Q363" s="357">
        <f t="shared" ca="1" si="164"/>
        <v>663.55000000000427</v>
      </c>
      <c r="R363" s="359">
        <f t="shared" ca="1" si="165"/>
        <v>0.33239360170696963</v>
      </c>
      <c r="S363" s="360">
        <f t="shared" ca="1" si="166"/>
        <v>9.890820261600032</v>
      </c>
      <c r="T363" s="357">
        <f t="shared" ca="1" si="146"/>
        <v>97.028946766296315</v>
      </c>
      <c r="U363" s="364">
        <f t="shared" ca="1" si="147"/>
        <v>0</v>
      </c>
      <c r="V363" s="359">
        <f t="shared" ca="1" si="148"/>
        <v>1.1680863345397285</v>
      </c>
      <c r="W363" s="357">
        <f t="shared" ca="1" si="149"/>
        <v>161.23865609260696</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475.65074973542721</v>
      </c>
      <c r="AF363" s="344"/>
      <c r="AG363" s="359">
        <f t="shared" ca="1" si="172"/>
        <v>41.293298323942082</v>
      </c>
      <c r="AH363" s="357">
        <f t="shared" ca="1" si="173"/>
        <v>50.836437454856309</v>
      </c>
    </row>
    <row r="364" spans="1:34" x14ac:dyDescent="0.25">
      <c r="A364" s="402">
        <f t="shared" ca="1" si="151"/>
        <v>0.01</v>
      </c>
      <c r="B364" s="357">
        <f t="shared" ca="1" si="152"/>
        <v>3.5999999999999672</v>
      </c>
      <c r="C364" s="342"/>
      <c r="D364" s="359">
        <f t="shared" ca="1" si="153"/>
        <v>11.742988158275393</v>
      </c>
      <c r="E364" s="360">
        <f t="shared" ca="1" si="154"/>
        <v>39.481680508916057</v>
      </c>
      <c r="F364" s="357">
        <f t="shared" ca="1" si="155"/>
        <v>41.191028958907033</v>
      </c>
      <c r="G364" s="359">
        <f t="shared" ca="1" si="156"/>
        <v>57.096417256516759</v>
      </c>
      <c r="H364" s="360">
        <f t="shared" ca="1" si="157"/>
        <v>239.56648278582753</v>
      </c>
      <c r="I364" s="357">
        <f t="shared" ca="1" si="158"/>
        <v>246.27647175055611</v>
      </c>
      <c r="J364" s="359">
        <f t="shared" ca="1" si="159"/>
        <v>106.56653445801368</v>
      </c>
      <c r="K364" s="360">
        <f t="shared" ca="1" si="160"/>
        <v>478.04444047926006</v>
      </c>
      <c r="L364" s="357">
        <f t="shared" ca="1" si="145"/>
        <v>489.77843290565562</v>
      </c>
      <c r="M364" s="359">
        <f t="shared" ca="1" si="161"/>
        <v>1.3368288675945244</v>
      </c>
      <c r="N364" s="357">
        <f t="shared" ca="1" si="162"/>
        <v>76.594652044419391</v>
      </c>
      <c r="O364" s="343"/>
      <c r="P364" s="363">
        <f t="shared" ca="1" si="163"/>
        <v>11</v>
      </c>
      <c r="Q364" s="357">
        <f t="shared" ca="1" si="164"/>
        <v>662.25000000000421</v>
      </c>
      <c r="R364" s="359">
        <f t="shared" ca="1" si="165"/>
        <v>0.33174238976782555</v>
      </c>
      <c r="S364" s="360">
        <f t="shared" ca="1" si="166"/>
        <v>9.8875028377023533</v>
      </c>
      <c r="T364" s="357">
        <f t="shared" ca="1" si="146"/>
        <v>96.996402837860089</v>
      </c>
      <c r="U364" s="364">
        <f t="shared" ca="1" si="147"/>
        <v>0</v>
      </c>
      <c r="V364" s="359">
        <f t="shared" ca="1" si="148"/>
        <v>1.1678066052606546</v>
      </c>
      <c r="W364" s="357">
        <f t="shared" ca="1" si="149"/>
        <v>161.73980539556106</v>
      </c>
      <c r="X364" s="343"/>
      <c r="Y364" s="367" t="str">
        <f t="shared" ca="1" si="167"/>
        <v/>
      </c>
      <c r="Z364" s="368" t="str">
        <f t="shared" ca="1" si="168"/>
        <v/>
      </c>
      <c r="AA364" s="369" t="str">
        <f t="shared" ca="1" si="169"/>
        <v/>
      </c>
      <c r="AB364" s="344"/>
      <c r="AC364" s="363" t="e">
        <f t="shared" ca="1" si="170"/>
        <v>#N/A</v>
      </c>
      <c r="AD364" s="376" t="e">
        <f t="shared" ca="1" si="171"/>
        <v>#N/A</v>
      </c>
      <c r="AE364" s="377">
        <f t="shared" ca="1" si="150"/>
        <v>478.04444047926006</v>
      </c>
      <c r="AF364" s="344"/>
      <c r="AG364" s="359">
        <f t="shared" ca="1" si="172"/>
        <v>41.128241649816431</v>
      </c>
      <c r="AH364" s="357">
        <f t="shared" ca="1" si="173"/>
        <v>50.67117068194154</v>
      </c>
    </row>
    <row r="365" spans="1:34" x14ac:dyDescent="0.25">
      <c r="A365" s="402">
        <f t="shared" ca="1" si="151"/>
        <v>0.01</v>
      </c>
      <c r="B365" s="357">
        <f t="shared" ca="1" si="152"/>
        <v>3.609999999999967</v>
      </c>
      <c r="C365" s="342"/>
      <c r="D365" s="359">
        <f t="shared" ca="1" si="153"/>
        <v>11.709226594073078</v>
      </c>
      <c r="E365" s="360">
        <f t="shared" ca="1" si="154"/>
        <v>39.319846776229959</v>
      </c>
      <c r="F365" s="357">
        <f t="shared" ca="1" si="155"/>
        <v>41.026288376327074</v>
      </c>
      <c r="G365" s="359">
        <f t="shared" ca="1" si="156"/>
        <v>57.213509522457493</v>
      </c>
      <c r="H365" s="360">
        <f t="shared" ca="1" si="157"/>
        <v>239.95968125358982</v>
      </c>
      <c r="I365" s="357">
        <f t="shared" ca="1" si="158"/>
        <v>246.68610479554934</v>
      </c>
      <c r="J365" s="359">
        <f t="shared" ca="1" si="159"/>
        <v>107.13808409190855</v>
      </c>
      <c r="K365" s="360">
        <f t="shared" ca="1" si="160"/>
        <v>480.44207129945715</v>
      </c>
      <c r="L365" s="357">
        <f t="shared" ca="1" si="145"/>
        <v>492.24298160298594</v>
      </c>
      <c r="M365" s="359">
        <f t="shared" ca="1" si="161"/>
        <v>1.3367366719817928</v>
      </c>
      <c r="N365" s="357">
        <f t="shared" ca="1" si="162"/>
        <v>76.589369624920252</v>
      </c>
      <c r="O365" s="343"/>
      <c r="P365" s="363">
        <f t="shared" ca="1" si="163"/>
        <v>11</v>
      </c>
      <c r="Q365" s="357">
        <f t="shared" ca="1" si="164"/>
        <v>660.95000000000425</v>
      </c>
      <c r="R365" s="359">
        <f t="shared" ca="1" si="165"/>
        <v>0.33109117782868147</v>
      </c>
      <c r="S365" s="360">
        <f t="shared" ca="1" si="166"/>
        <v>9.8841919259240658</v>
      </c>
      <c r="T365" s="357">
        <f t="shared" ca="1" si="146"/>
        <v>96.963922793315092</v>
      </c>
      <c r="U365" s="364">
        <f t="shared" ca="1" si="147"/>
        <v>0</v>
      </c>
      <c r="V365" s="359">
        <f t="shared" ca="1" si="148"/>
        <v>1.167526481089332</v>
      </c>
      <c r="W365" s="357">
        <f t="shared" ca="1" si="149"/>
        <v>162.23937229528832</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480.44207129945715</v>
      </c>
      <c r="AF365" s="344"/>
      <c r="AG365" s="359">
        <f t="shared" ca="1" si="172"/>
        <v>40.963199657348468</v>
      </c>
      <c r="AH365" s="357">
        <f t="shared" ca="1" si="173"/>
        <v>50.505918778764752</v>
      </c>
    </row>
    <row r="366" spans="1:34" x14ac:dyDescent="0.25">
      <c r="A366" s="402">
        <f t="shared" ca="1" si="151"/>
        <v>0.01</v>
      </c>
      <c r="B366" s="357">
        <f t="shared" ca="1" si="152"/>
        <v>3.6199999999999668</v>
      </c>
      <c r="C366" s="342"/>
      <c r="D366" s="359">
        <f t="shared" ca="1" si="153"/>
        <v>11.67543325671233</v>
      </c>
      <c r="E366" s="360">
        <f t="shared" ca="1" si="154"/>
        <v>39.158036852879171</v>
      </c>
      <c r="F366" s="357">
        <f t="shared" ca="1" si="155"/>
        <v>40.861566194939073</v>
      </c>
      <c r="G366" s="359">
        <f t="shared" ca="1" si="156"/>
        <v>57.330263855024619</v>
      </c>
      <c r="H366" s="360">
        <f t="shared" ca="1" si="157"/>
        <v>240.35126162211861</v>
      </c>
      <c r="I366" s="357">
        <f t="shared" ca="1" si="158"/>
        <v>247.09408758007717</v>
      </c>
      <c r="J366" s="359">
        <f t="shared" ca="1" si="159"/>
        <v>107.71080295879597</v>
      </c>
      <c r="K366" s="360">
        <f t="shared" ca="1" si="160"/>
        <v>482.84362601383572</v>
      </c>
      <c r="L366" s="357">
        <f t="shared" ca="1" si="145"/>
        <v>494.71161726425771</v>
      </c>
      <c r="M366" s="359">
        <f t="shared" ca="1" si="161"/>
        <v>1.3366445929900272</v>
      </c>
      <c r="N366" s="357">
        <f t="shared" ca="1" si="162"/>
        <v>76.58409388731026</v>
      </c>
      <c r="O366" s="343"/>
      <c r="P366" s="363">
        <f t="shared" ca="1" si="163"/>
        <v>11</v>
      </c>
      <c r="Q366" s="357">
        <f t="shared" ca="1" si="164"/>
        <v>659.6500000000043</v>
      </c>
      <c r="R366" s="359">
        <f t="shared" ca="1" si="165"/>
        <v>0.33043996588953739</v>
      </c>
      <c r="S366" s="360">
        <f t="shared" ca="1" si="166"/>
        <v>9.8808875262651696</v>
      </c>
      <c r="T366" s="357">
        <f t="shared" ca="1" si="146"/>
        <v>96.931506632661325</v>
      </c>
      <c r="U366" s="364">
        <f t="shared" ca="1" si="147"/>
        <v>0</v>
      </c>
      <c r="V366" s="359">
        <f t="shared" ca="1" si="148"/>
        <v>1.1672459642160478</v>
      </c>
      <c r="W366" s="357">
        <f t="shared" ca="1" si="149"/>
        <v>162.73734686359063</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482.84362601383572</v>
      </c>
      <c r="AF366" s="344"/>
      <c r="AG366" s="359">
        <f t="shared" ca="1" si="172"/>
        <v>40.798173702917516</v>
      </c>
      <c r="AH366" s="357">
        <f t="shared" ca="1" si="173"/>
        <v>50.340683099823714</v>
      </c>
    </row>
    <row r="367" spans="1:34" x14ac:dyDescent="0.25">
      <c r="A367" s="402">
        <f t="shared" ca="1" si="151"/>
        <v>0.01</v>
      </c>
      <c r="B367" s="357">
        <f t="shared" ca="1" si="152"/>
        <v>3.6299999999999666</v>
      </c>
      <c r="C367" s="342"/>
      <c r="D367" s="359">
        <f t="shared" ca="1" si="153"/>
        <v>11.641608568170419</v>
      </c>
      <c r="E367" s="360">
        <f t="shared" ca="1" si="154"/>
        <v>38.996252030277262</v>
      </c>
      <c r="F367" s="357">
        <f t="shared" ca="1" si="155"/>
        <v>40.69686379149384</v>
      </c>
      <c r="G367" s="359">
        <f t="shared" ca="1" si="156"/>
        <v>57.446679940706325</v>
      </c>
      <c r="H367" s="360">
        <f t="shared" ca="1" si="157"/>
        <v>240.74122414242137</v>
      </c>
      <c r="I367" s="357">
        <f t="shared" ca="1" si="158"/>
        <v>247.50042027803008</v>
      </c>
      <c r="J367" s="359">
        <f t="shared" ca="1" si="159"/>
        <v>108.28468767777463</v>
      </c>
      <c r="K367" s="360">
        <f t="shared" ca="1" si="160"/>
        <v>485.24908844265843</v>
      </c>
      <c r="L367" s="357">
        <f t="shared" ca="1" si="145"/>
        <v>497.18432338510451</v>
      </c>
      <c r="M367" s="359">
        <f t="shared" ca="1" si="161"/>
        <v>1.3365526296673793</v>
      </c>
      <c r="N367" s="357">
        <f t="shared" ca="1" si="162"/>
        <v>76.578824777052532</v>
      </c>
      <c r="O367" s="343"/>
      <c r="P367" s="363">
        <f t="shared" ca="1" si="163"/>
        <v>11</v>
      </c>
      <c r="Q367" s="357">
        <f t="shared" ca="1" si="164"/>
        <v>658.35000000000434</v>
      </c>
      <c r="R367" s="359">
        <f t="shared" ca="1" si="165"/>
        <v>0.32978875395039337</v>
      </c>
      <c r="S367" s="360">
        <f t="shared" ca="1" si="166"/>
        <v>9.8775896387256665</v>
      </c>
      <c r="T367" s="357">
        <f t="shared" ca="1" si="146"/>
        <v>96.899154355898787</v>
      </c>
      <c r="U367" s="364">
        <f t="shared" ca="1" si="147"/>
        <v>0</v>
      </c>
      <c r="V367" s="359">
        <f t="shared" ca="1" si="148"/>
        <v>1.1669650568293435</v>
      </c>
      <c r="W367" s="357">
        <f t="shared" ca="1" si="149"/>
        <v>163.2337192515748</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485.24908844265843</v>
      </c>
      <c r="AF367" s="344"/>
      <c r="AG367" s="359">
        <f t="shared" ca="1" si="172"/>
        <v>40.633165136610486</v>
      </c>
      <c r="AH367" s="357">
        <f t="shared" ca="1" si="173"/>
        <v>50.175464993335559</v>
      </c>
    </row>
    <row r="368" spans="1:34" x14ac:dyDescent="0.25">
      <c r="A368" s="402">
        <f t="shared" ca="1" si="151"/>
        <v>0.01</v>
      </c>
      <c r="B368" s="357">
        <f t="shared" ca="1" si="152"/>
        <v>3.6399999999999664</v>
      </c>
      <c r="C368" s="342"/>
      <c r="D368" s="359">
        <f t="shared" ca="1" si="153"/>
        <v>11.607752948479828</v>
      </c>
      <c r="E368" s="360">
        <f t="shared" ca="1" si="154"/>
        <v>38.834493593783762</v>
      </c>
      <c r="F368" s="357">
        <f t="shared" ca="1" si="155"/>
        <v>40.532182536825893</v>
      </c>
      <c r="G368" s="359">
        <f t="shared" ca="1" si="156"/>
        <v>57.562757470191123</v>
      </c>
      <c r="H368" s="360">
        <f t="shared" ca="1" si="157"/>
        <v>241.12956907835922</v>
      </c>
      <c r="I368" s="357">
        <f t="shared" ca="1" si="158"/>
        <v>247.90510307673631</v>
      </c>
      <c r="J368" s="359">
        <f t="shared" ca="1" si="159"/>
        <v>108.85973486482912</v>
      </c>
      <c r="K368" s="360">
        <f t="shared" ca="1" si="160"/>
        <v>487.65844240876231</v>
      </c>
      <c r="L368" s="357">
        <f t="shared" ca="1" si="145"/>
        <v>499.66108346296198</v>
      </c>
      <c r="M368" s="359">
        <f t="shared" ca="1" si="161"/>
        <v>1.3364607810686913</v>
      </c>
      <c r="N368" s="357">
        <f t="shared" ca="1" si="162"/>
        <v>76.573562239993521</v>
      </c>
      <c r="O368" s="343"/>
      <c r="P368" s="363">
        <f t="shared" ca="1" si="163"/>
        <v>11</v>
      </c>
      <c r="Q368" s="357">
        <f t="shared" ca="1" si="164"/>
        <v>657.05000000000439</v>
      </c>
      <c r="R368" s="359">
        <f t="shared" ca="1" si="165"/>
        <v>0.32913754201124928</v>
      </c>
      <c r="S368" s="360">
        <f t="shared" ca="1" si="166"/>
        <v>9.8742982633055547</v>
      </c>
      <c r="T368" s="357">
        <f t="shared" ca="1" si="146"/>
        <v>96.866865963027493</v>
      </c>
      <c r="U368" s="364">
        <f t="shared" ca="1" si="147"/>
        <v>0</v>
      </c>
      <c r="V368" s="359">
        <f t="shared" ca="1" si="148"/>
        <v>1.1666837611159924</v>
      </c>
      <c r="W368" s="357">
        <f t="shared" ca="1" si="149"/>
        <v>163.72847968962969</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487.65844240876231</v>
      </c>
      <c r="AF368" s="344"/>
      <c r="AG368" s="359">
        <f t="shared" ca="1" si="172"/>
        <v>40.4681753022046</v>
      </c>
      <c r="AH368" s="357">
        <f t="shared" ca="1" si="173"/>
        <v>50.010265801219369</v>
      </c>
    </row>
    <row r="369" spans="1:34" x14ac:dyDescent="0.25">
      <c r="A369" s="402">
        <f t="shared" ca="1" si="151"/>
        <v>0.01</v>
      </c>
      <c r="B369" s="357">
        <f t="shared" ca="1" si="152"/>
        <v>3.6499999999999662</v>
      </c>
      <c r="C369" s="342"/>
      <c r="D369" s="359">
        <f t="shared" ca="1" si="153"/>
        <v>11.573866815729268</v>
      </c>
      <c r="E369" s="360">
        <f t="shared" ca="1" si="154"/>
        <v>38.672762822686799</v>
      </c>
      <c r="F369" s="357">
        <f t="shared" ca="1" si="155"/>
        <v>40.367523795843923</v>
      </c>
      <c r="G369" s="359">
        <f t="shared" ca="1" si="156"/>
        <v>57.678496138348414</v>
      </c>
      <c r="H369" s="360">
        <f t="shared" ca="1" si="157"/>
        <v>241.5162967065861</v>
      </c>
      <c r="I369" s="357">
        <f t="shared" ca="1" si="158"/>
        <v>248.30813617689859</v>
      </c>
      <c r="J369" s="359">
        <f t="shared" ca="1" si="159"/>
        <v>109.43594113287182</v>
      </c>
      <c r="K369" s="360">
        <f t="shared" ca="1" si="160"/>
        <v>490.07167173768704</v>
      </c>
      <c r="L369" s="357">
        <f t="shared" ca="1" si="145"/>
        <v>502.14188099720252</v>
      </c>
      <c r="M369" s="359">
        <f t="shared" ca="1" si="161"/>
        <v>1.3363690462554219</v>
      </c>
      <c r="N369" s="357">
        <f t="shared" ca="1" si="162"/>
        <v>76.568306222358757</v>
      </c>
      <c r="O369" s="343"/>
      <c r="P369" s="363">
        <f t="shared" ca="1" si="163"/>
        <v>11</v>
      </c>
      <c r="Q369" s="357">
        <f t="shared" ca="1" si="164"/>
        <v>655.75000000000443</v>
      </c>
      <c r="R369" s="359">
        <f t="shared" ca="1" si="165"/>
        <v>0.3284863300721052</v>
      </c>
      <c r="S369" s="360">
        <f t="shared" ca="1" si="166"/>
        <v>9.8710134000048342</v>
      </c>
      <c r="T369" s="357">
        <f t="shared" ca="1" si="146"/>
        <v>96.834641454047429</v>
      </c>
      <c r="U369" s="364">
        <f t="shared" ca="1" si="147"/>
        <v>0</v>
      </c>
      <c r="V369" s="359">
        <f t="shared" ca="1" si="148"/>
        <v>1.1664020792609797</v>
      </c>
      <c r="W369" s="357">
        <f t="shared" ca="1" si="149"/>
        <v>164.22161848739964</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490.07167173768704</v>
      </c>
      <c r="AF369" s="344"/>
      <c r="AG369" s="359">
        <f t="shared" ca="1" si="172"/>
        <v>40.303205537150475</v>
      </c>
      <c r="AH369" s="357">
        <f t="shared" ca="1" si="173"/>
        <v>49.84508685907911</v>
      </c>
    </row>
    <row r="370" spans="1:34" x14ac:dyDescent="0.25">
      <c r="A370" s="402">
        <f t="shared" ca="1" si="151"/>
        <v>0.01</v>
      </c>
      <c r="B370" s="357">
        <f t="shared" ca="1" si="152"/>
        <v>3.6599999999999659</v>
      </c>
      <c r="C370" s="342"/>
      <c r="D370" s="359">
        <f t="shared" ca="1" si="153"/>
        <v>11.552586838818769</v>
      </c>
      <c r="E370" s="360">
        <f t="shared" ca="1" si="154"/>
        <v>38.563972580704828</v>
      </c>
      <c r="F370" s="357">
        <f t="shared" ca="1" si="155"/>
        <v>40.257201143072557</v>
      </c>
      <c r="G370" s="359">
        <f t="shared" ca="1" si="156"/>
        <v>57.794022006736604</v>
      </c>
      <c r="H370" s="360">
        <f t="shared" ca="1" si="157"/>
        <v>241.90193643239314</v>
      </c>
      <c r="I370" s="357">
        <f t="shared" ca="1" si="158"/>
        <v>248.71006378805166</v>
      </c>
      <c r="J370" s="359">
        <f t="shared" ca="1" si="159"/>
        <v>110.01330372359725</v>
      </c>
      <c r="K370" s="360">
        <f t="shared" ca="1" si="160"/>
        <v>492.48876290338194</v>
      </c>
      <c r="L370" s="357">
        <f t="shared" ca="1" si="145"/>
        <v>504.62670220895365</v>
      </c>
      <c r="M370" s="359">
        <f t="shared" ca="1" si="161"/>
        <v>1.3362774244959743</v>
      </c>
      <c r="N370" s="357">
        <f t="shared" ca="1" si="162"/>
        <v>76.563056682230851</v>
      </c>
      <c r="O370" s="343"/>
      <c r="P370" s="363">
        <f t="shared" ca="1" si="163"/>
        <v>12</v>
      </c>
      <c r="Q370" s="357">
        <f t="shared" ca="1" si="164"/>
        <v>654.98666666666747</v>
      </c>
      <c r="R370" s="359">
        <f t="shared" ca="1" si="165"/>
        <v>0.32810395177963164</v>
      </c>
      <c r="S370" s="360">
        <f t="shared" ca="1" si="166"/>
        <v>9.8677323604870377</v>
      </c>
      <c r="T370" s="357">
        <f t="shared" ca="1" si="146"/>
        <v>96.802454456377845</v>
      </c>
      <c r="U370" s="364">
        <f t="shared" ca="1" si="147"/>
        <v>0</v>
      </c>
      <c r="V370" s="359">
        <f t="shared" ca="1" si="148"/>
        <v>1.1661200131387879</v>
      </c>
      <c r="W370" s="357">
        <f t="shared" ca="1" si="149"/>
        <v>164.71384653595831</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492.48876290338194</v>
      </c>
      <c r="AF370" s="344"/>
      <c r="AG370" s="359">
        <f t="shared" ca="1" si="172"/>
        <v>40.192656724896352</v>
      </c>
      <c r="AH370" s="357">
        <f t="shared" ca="1" si="173"/>
        <v>49.734329048527755</v>
      </c>
    </row>
    <row r="371" spans="1:34" x14ac:dyDescent="0.25">
      <c r="A371" s="402">
        <f t="shared" ca="1" si="151"/>
        <v>0.01</v>
      </c>
      <c r="B371" s="357">
        <f t="shared" ca="1" si="152"/>
        <v>3.6699999999999657</v>
      </c>
      <c r="C371" s="342"/>
      <c r="D371" s="359">
        <f t="shared" ca="1" si="153"/>
        <v>11.543926706692314</v>
      </c>
      <c r="E371" s="360">
        <f t="shared" ca="1" si="154"/>
        <v>38.508115393612691</v>
      </c>
      <c r="F371" s="357">
        <f t="shared" ca="1" si="155"/>
        <v>40.201208874575833</v>
      </c>
      <c r="G371" s="359">
        <f t="shared" ca="1" si="156"/>
        <v>57.909461273803529</v>
      </c>
      <c r="H371" s="360">
        <f t="shared" ca="1" si="157"/>
        <v>242.28701758632926</v>
      </c>
      <c r="I371" s="357">
        <f t="shared" ca="1" si="158"/>
        <v>249.11143007879099</v>
      </c>
      <c r="J371" s="359">
        <f t="shared" ca="1" si="159"/>
        <v>110.59182113999995</v>
      </c>
      <c r="K371" s="360">
        <f t="shared" ca="1" si="160"/>
        <v>494.90970767347557</v>
      </c>
      <c r="L371" s="357">
        <f t="shared" ca="1" si="145"/>
        <v>507.11553876065244</v>
      </c>
      <c r="M371" s="359">
        <f t="shared" ca="1" si="161"/>
        <v>1.3361859152634123</v>
      </c>
      <c r="N371" s="357">
        <f t="shared" ca="1" si="162"/>
        <v>76.557813589418572</v>
      </c>
      <c r="O371" s="343"/>
      <c r="P371" s="363">
        <f t="shared" ca="1" si="163"/>
        <v>12</v>
      </c>
      <c r="Q371" s="357">
        <f t="shared" ca="1" si="164"/>
        <v>654.76000000000079</v>
      </c>
      <c r="R371" s="359">
        <f t="shared" ca="1" si="165"/>
        <v>0.32799040713383215</v>
      </c>
      <c r="S371" s="360">
        <f t="shared" ca="1" si="166"/>
        <v>9.8644524564156999</v>
      </c>
      <c r="T371" s="357">
        <f t="shared" ca="1" si="146"/>
        <v>96.770278597438022</v>
      </c>
      <c r="U371" s="364">
        <f t="shared" ca="1" si="147"/>
        <v>0</v>
      </c>
      <c r="V371" s="359">
        <f t="shared" ca="1" si="148"/>
        <v>1.1658375640051717</v>
      </c>
      <c r="W371" s="357">
        <f t="shared" ca="1" si="149"/>
        <v>165.20587858828972</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494.90970767347557</v>
      </c>
      <c r="AF371" s="344"/>
      <c r="AG371" s="359">
        <f t="shared" ca="1" si="172"/>
        <v>40.136524771730009</v>
      </c>
      <c r="AH371" s="357">
        <f t="shared" ca="1" si="173"/>
        <v>49.67798827448587</v>
      </c>
    </row>
    <row r="372" spans="1:34" x14ac:dyDescent="0.25">
      <c r="A372" s="402">
        <f t="shared" ca="1" si="151"/>
        <v>0.01</v>
      </c>
      <c r="B372" s="357">
        <f t="shared" ca="1" si="152"/>
        <v>3.6799999999999655</v>
      </c>
      <c r="C372" s="342"/>
      <c r="D372" s="359">
        <f t="shared" ca="1" si="153"/>
        <v>11.535245585062908</v>
      </c>
      <c r="E372" s="360">
        <f t="shared" ca="1" si="154"/>
        <v>38.452238819946757</v>
      </c>
      <c r="F372" s="357">
        <f t="shared" ca="1" si="155"/>
        <v>40.145193497776717</v>
      </c>
      <c r="G372" s="359">
        <f t="shared" ca="1" si="156"/>
        <v>58.024813729654156</v>
      </c>
      <c r="H372" s="360">
        <f t="shared" ca="1" si="157"/>
        <v>242.67153997452871</v>
      </c>
      <c r="I372" s="357">
        <f t="shared" ca="1" si="158"/>
        <v>249.51223481418771</v>
      </c>
      <c r="J372" s="359">
        <f t="shared" ca="1" si="159"/>
        <v>111.17149251501723</v>
      </c>
      <c r="K372" s="360">
        <f t="shared" ca="1" si="160"/>
        <v>497.33450046127984</v>
      </c>
      <c r="L372" s="357">
        <f t="shared" ca="1" si="145"/>
        <v>509.60838503412333</v>
      </c>
      <c r="M372" s="359">
        <f t="shared" ca="1" si="161"/>
        <v>1.336094518033812</v>
      </c>
      <c r="N372" s="357">
        <f t="shared" ca="1" si="162"/>
        <v>76.55257691390328</v>
      </c>
      <c r="O372" s="343"/>
      <c r="P372" s="363">
        <f t="shared" ca="1" si="163"/>
        <v>12</v>
      </c>
      <c r="Q372" s="357">
        <f t="shared" ca="1" si="164"/>
        <v>654.5333333333341</v>
      </c>
      <c r="R372" s="359">
        <f t="shared" ca="1" si="165"/>
        <v>0.32787686248803266</v>
      </c>
      <c r="S372" s="360">
        <f t="shared" ca="1" si="166"/>
        <v>9.8611736877908189</v>
      </c>
      <c r="T372" s="357">
        <f t="shared" ca="1" si="146"/>
        <v>96.738113877227946</v>
      </c>
      <c r="U372" s="364">
        <f t="shared" ca="1" si="147"/>
        <v>0</v>
      </c>
      <c r="V372" s="359">
        <f t="shared" ca="1" si="148"/>
        <v>1.1655547328067115</v>
      </c>
      <c r="W372" s="357">
        <f t="shared" ca="1" si="149"/>
        <v>165.69771026085391</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497.33450046127984</v>
      </c>
      <c r="AF372" s="344"/>
      <c r="AG372" s="359">
        <f t="shared" ca="1" si="172"/>
        <v>40.080369325230137</v>
      </c>
      <c r="AH372" s="357">
        <f t="shared" ca="1" si="173"/>
        <v>49.621624183628747</v>
      </c>
    </row>
    <row r="373" spans="1:34" x14ac:dyDescent="0.25">
      <c r="A373" s="402">
        <f t="shared" ca="1" si="151"/>
        <v>0.01</v>
      </c>
      <c r="B373" s="357">
        <f t="shared" ca="1" si="152"/>
        <v>3.6899999999999653</v>
      </c>
      <c r="C373" s="342"/>
      <c r="D373" s="359">
        <f t="shared" ca="1" si="153"/>
        <v>11.526543614644909</v>
      </c>
      <c r="E373" s="360">
        <f t="shared" ca="1" si="154"/>
        <v>38.396343282407344</v>
      </c>
      <c r="F373" s="357">
        <f t="shared" ca="1" si="155"/>
        <v>40.089155455818457</v>
      </c>
      <c r="G373" s="359">
        <f t="shared" ca="1" si="156"/>
        <v>58.140079165800607</v>
      </c>
      <c r="H373" s="360">
        <f t="shared" ca="1" si="157"/>
        <v>243.05550340735277</v>
      </c>
      <c r="I373" s="357">
        <f t="shared" ca="1" si="158"/>
        <v>249.91247776373081</v>
      </c>
      <c r="J373" s="359">
        <f t="shared" ca="1" si="159"/>
        <v>111.75231697949451</v>
      </c>
      <c r="K373" s="360">
        <f t="shared" ca="1" si="160"/>
        <v>499.76313567818926</v>
      </c>
      <c r="L373" s="357">
        <f t="shared" ca="1" si="145"/>
        <v>512.10523540887732</v>
      </c>
      <c r="M373" s="359">
        <f t="shared" ca="1" si="161"/>
        <v>1.3360032322862381</v>
      </c>
      <c r="N373" s="357">
        <f t="shared" ca="1" si="162"/>
        <v>76.547346625837605</v>
      </c>
      <c r="O373" s="343"/>
      <c r="P373" s="363">
        <f t="shared" ca="1" si="163"/>
        <v>12</v>
      </c>
      <c r="Q373" s="357">
        <f t="shared" ca="1" si="164"/>
        <v>654.30666666666752</v>
      </c>
      <c r="R373" s="359">
        <f t="shared" ca="1" si="165"/>
        <v>0.32776331784223323</v>
      </c>
      <c r="S373" s="360">
        <f t="shared" ca="1" si="166"/>
        <v>9.8578960546123966</v>
      </c>
      <c r="T373" s="357">
        <f t="shared" ca="1" si="146"/>
        <v>96.705960295747616</v>
      </c>
      <c r="U373" s="364">
        <f t="shared" ca="1" si="147"/>
        <v>0</v>
      </c>
      <c r="V373" s="359">
        <f t="shared" ca="1" si="148"/>
        <v>1.1652715204898851</v>
      </c>
      <c r="W373" s="357">
        <f t="shared" ca="1" si="149"/>
        <v>166.18933718430117</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499.76313567818926</v>
      </c>
      <c r="AF373" s="344"/>
      <c r="AG373" s="359">
        <f t="shared" ca="1" si="172"/>
        <v>40.024190827179012</v>
      </c>
      <c r="AH373" s="357">
        <f t="shared" ca="1" si="173"/>
        <v>49.565237216839904</v>
      </c>
    </row>
    <row r="374" spans="1:34" x14ac:dyDescent="0.25">
      <c r="A374" s="402">
        <f t="shared" ca="1" si="151"/>
        <v>0.01</v>
      </c>
      <c r="B374" s="357">
        <f t="shared" ca="1" si="152"/>
        <v>3.6999999999999651</v>
      </c>
      <c r="C374" s="342"/>
      <c r="D374" s="359">
        <f t="shared" ca="1" si="153"/>
        <v>11.517820935867274</v>
      </c>
      <c r="E374" s="360">
        <f t="shared" ca="1" si="154"/>
        <v>38.340429202884252</v>
      </c>
      <c r="F374" s="357">
        <f t="shared" ca="1" si="155"/>
        <v>40.033095191005181</v>
      </c>
      <c r="G374" s="359">
        <f t="shared" ca="1" si="156"/>
        <v>58.255257375159282</v>
      </c>
      <c r="H374" s="360">
        <f t="shared" ca="1" si="157"/>
        <v>243.43890769938162</v>
      </c>
      <c r="I374" s="357">
        <f t="shared" ca="1" si="158"/>
        <v>250.31215870131857</v>
      </c>
      <c r="J374" s="359">
        <f t="shared" ca="1" si="159"/>
        <v>112.33429366219931</v>
      </c>
      <c r="K374" s="360">
        <f t="shared" ca="1" si="160"/>
        <v>502.19560773372291</v>
      </c>
      <c r="L374" s="357">
        <f t="shared" ca="1" si="145"/>
        <v>514.60608426215538</v>
      </c>
      <c r="M374" s="359">
        <f t="shared" ca="1" si="161"/>
        <v>1.3359120575027217</v>
      </c>
      <c r="N374" s="357">
        <f t="shared" ca="1" si="162"/>
        <v>76.542122695544094</v>
      </c>
      <c r="O374" s="343"/>
      <c r="P374" s="363">
        <f t="shared" ca="1" si="163"/>
        <v>12</v>
      </c>
      <c r="Q374" s="357">
        <f t="shared" ca="1" si="164"/>
        <v>654.08000000000084</v>
      </c>
      <c r="R374" s="359">
        <f t="shared" ca="1" si="165"/>
        <v>0.32764977319643374</v>
      </c>
      <c r="S374" s="360">
        <f t="shared" ca="1" si="166"/>
        <v>9.8546195568804329</v>
      </c>
      <c r="T374" s="357">
        <f t="shared" ca="1" si="146"/>
        <v>96.673817852997047</v>
      </c>
      <c r="U374" s="364">
        <f t="shared" ca="1" si="147"/>
        <v>0</v>
      </c>
      <c r="V374" s="359">
        <f t="shared" ca="1" si="148"/>
        <v>1.1649879280010622</v>
      </c>
      <c r="W374" s="357">
        <f t="shared" ca="1" si="149"/>
        <v>166.68075500351654</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502.19560773372291</v>
      </c>
      <c r="AF374" s="344"/>
      <c r="AG374" s="359">
        <f t="shared" ca="1" si="172"/>
        <v>39.967989718516762</v>
      </c>
      <c r="AH374" s="357">
        <f t="shared" ca="1" si="173"/>
        <v>49.508827814165336</v>
      </c>
    </row>
    <row r="375" spans="1:34" x14ac:dyDescent="0.25">
      <c r="A375" s="402">
        <f t="shared" ca="1" si="151"/>
        <v>0.01</v>
      </c>
      <c r="B375" s="357">
        <f t="shared" ca="1" si="152"/>
        <v>3.7099999999999649</v>
      </c>
      <c r="C375" s="342"/>
      <c r="D375" s="359">
        <f t="shared" ca="1" si="153"/>
        <v>11.509077688873052</v>
      </c>
      <c r="E375" s="360">
        <f t="shared" ca="1" si="154"/>
        <v>38.284497002450479</v>
      </c>
      <c r="F375" s="357">
        <f t="shared" ca="1" si="155"/>
        <v>39.977013144795535</v>
      </c>
      <c r="G375" s="359">
        <f t="shared" ca="1" si="156"/>
        <v>58.37034815204801</v>
      </c>
      <c r="H375" s="360">
        <f t="shared" ca="1" si="157"/>
        <v>243.82175266940612</v>
      </c>
      <c r="I375" s="357">
        <f t="shared" ca="1" si="158"/>
        <v>250.71127740525026</v>
      </c>
      <c r="J375" s="359">
        <f t="shared" ca="1" si="159"/>
        <v>112.91742168983535</v>
      </c>
      <c r="K375" s="360">
        <f t="shared" ca="1" si="160"/>
        <v>504.63191103556687</v>
      </c>
      <c r="L375" s="357">
        <f t="shared" ca="1" si="145"/>
        <v>517.11092596897277</v>
      </c>
      <c r="M375" s="359">
        <f t="shared" ca="1" si="161"/>
        <v>1.3358209931682372</v>
      </c>
      <c r="N375" s="357">
        <f t="shared" ca="1" si="162"/>
        <v>76.536905093513965</v>
      </c>
      <c r="O375" s="343"/>
      <c r="P375" s="363">
        <f t="shared" ca="1" si="163"/>
        <v>12</v>
      </c>
      <c r="Q375" s="357">
        <f t="shared" ca="1" si="164"/>
        <v>653.85333333333415</v>
      </c>
      <c r="R375" s="359">
        <f t="shared" ca="1" si="165"/>
        <v>0.32753622855063425</v>
      </c>
      <c r="S375" s="360">
        <f t="shared" ca="1" si="166"/>
        <v>9.8513441945949261</v>
      </c>
      <c r="T375" s="357">
        <f t="shared" ca="1" si="146"/>
        <v>96.641686548976224</v>
      </c>
      <c r="U375" s="364">
        <f t="shared" ca="1" si="147"/>
        <v>0</v>
      </c>
      <c r="V375" s="359">
        <f t="shared" ca="1" si="148"/>
        <v>1.1647039562864949</v>
      </c>
      <c r="W375" s="357">
        <f t="shared" ca="1" si="149"/>
        <v>167.17195937766354</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504.63191103556687</v>
      </c>
      <c r="AF375" s="344"/>
      <c r="AG375" s="359">
        <f t="shared" ca="1" si="172"/>
        <v>39.911766439335061</v>
      </c>
      <c r="AH375" s="357">
        <f t="shared" ca="1" si="173"/>
        <v>49.452396414807176</v>
      </c>
    </row>
    <row r="376" spans="1:34" x14ac:dyDescent="0.25">
      <c r="A376" s="402">
        <f t="shared" ca="1" si="151"/>
        <v>0.01</v>
      </c>
      <c r="B376" s="357">
        <f t="shared" ca="1" si="152"/>
        <v>3.7199999999999647</v>
      </c>
      <c r="C376" s="342"/>
      <c r="D376" s="359">
        <f t="shared" ca="1" si="153"/>
        <v>11.500314013518858</v>
      </c>
      <c r="E376" s="360">
        <f t="shared" ca="1" si="154"/>
        <v>38.228547101355872</v>
      </c>
      <c r="F376" s="357">
        <f t="shared" ca="1" si="155"/>
        <v>39.920909757796387</v>
      </c>
      <c r="G376" s="359">
        <f t="shared" ca="1" si="156"/>
        <v>58.485351292183196</v>
      </c>
      <c r="H376" s="360">
        <f t="shared" ca="1" si="157"/>
        <v>244.20403814041967</v>
      </c>
      <c r="I376" s="357">
        <f t="shared" ca="1" si="158"/>
        <v>251.10983365821744</v>
      </c>
      <c r="J376" s="359">
        <f t="shared" ca="1" si="159"/>
        <v>113.5017001870565</v>
      </c>
      <c r="K376" s="360">
        <f t="shared" ca="1" si="160"/>
        <v>507.07203998961597</v>
      </c>
      <c r="L376" s="357">
        <f t="shared" ca="1" si="145"/>
        <v>519.6197549021623</v>
      </c>
      <c r="M376" s="359">
        <f t="shared" ca="1" si="161"/>
        <v>1.3357300387706801</v>
      </c>
      <c r="N376" s="357">
        <f t="shared" ca="1" si="162"/>
        <v>76.531693790405782</v>
      </c>
      <c r="O376" s="343"/>
      <c r="P376" s="363">
        <f t="shared" ca="1" si="163"/>
        <v>12</v>
      </c>
      <c r="Q376" s="357">
        <f t="shared" ca="1" si="164"/>
        <v>653.62666666666746</v>
      </c>
      <c r="R376" s="359">
        <f t="shared" ca="1" si="165"/>
        <v>0.32742268390483475</v>
      </c>
      <c r="S376" s="360">
        <f t="shared" ca="1" si="166"/>
        <v>9.8480699677558778</v>
      </c>
      <c r="T376" s="357">
        <f t="shared" ca="1" si="146"/>
        <v>96.609566383685163</v>
      </c>
      <c r="U376" s="364">
        <f t="shared" ca="1" si="147"/>
        <v>0</v>
      </c>
      <c r="V376" s="359">
        <f t="shared" ca="1" si="148"/>
        <v>1.1644196062923087</v>
      </c>
      <c r="W376" s="357">
        <f t="shared" ca="1" si="149"/>
        <v>167.66294598022679</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507.07203998961597</v>
      </c>
      <c r="AF376" s="344"/>
      <c r="AG376" s="359">
        <f t="shared" ca="1" si="172"/>
        <v>39.85552142887073</v>
      </c>
      <c r="AH376" s="357">
        <f t="shared" ca="1" si="173"/>
        <v>49.395943457117255</v>
      </c>
    </row>
    <row r="377" spans="1:34" x14ac:dyDescent="0.25">
      <c r="A377" s="402">
        <f t="shared" ca="1" si="151"/>
        <v>0.01</v>
      </c>
      <c r="B377" s="357">
        <f t="shared" ca="1" si="152"/>
        <v>3.7299999999999645</v>
      </c>
      <c r="C377" s="342"/>
      <c r="D377" s="359">
        <f t="shared" ca="1" si="153"/>
        <v>11.49153004937437</v>
      </c>
      <c r="E377" s="360">
        <f t="shared" ca="1" si="154"/>
        <v>38.172579919021004</v>
      </c>
      <c r="F377" s="357">
        <f t="shared" ca="1" si="155"/>
        <v>39.864785469756633</v>
      </c>
      <c r="G377" s="359">
        <f t="shared" ca="1" si="156"/>
        <v>58.600266592676938</v>
      </c>
      <c r="H377" s="360">
        <f t="shared" ca="1" si="157"/>
        <v>244.58576393960988</v>
      </c>
      <c r="I377" s="357">
        <f t="shared" ca="1" si="158"/>
        <v>251.50782724729538</v>
      </c>
      <c r="J377" s="359">
        <f t="shared" ca="1" si="159"/>
        <v>114.0871282764808</v>
      </c>
      <c r="K377" s="360">
        <f t="shared" ca="1" si="160"/>
        <v>509.51598900001613</v>
      </c>
      <c r="L377" s="357">
        <f t="shared" ca="1" si="145"/>
        <v>522.13256543241846</v>
      </c>
      <c r="M377" s="359">
        <f t="shared" ca="1" si="161"/>
        <v>1.3356391938008436</v>
      </c>
      <c r="N377" s="357">
        <f t="shared" ca="1" si="162"/>
        <v>76.526488757044163</v>
      </c>
      <c r="O377" s="343"/>
      <c r="P377" s="363">
        <f t="shared" ca="1" si="163"/>
        <v>12</v>
      </c>
      <c r="Q377" s="357">
        <f t="shared" ca="1" si="164"/>
        <v>653.40000000000089</v>
      </c>
      <c r="R377" s="359">
        <f t="shared" ca="1" si="165"/>
        <v>0.32730913925903532</v>
      </c>
      <c r="S377" s="360">
        <f t="shared" ca="1" si="166"/>
        <v>9.8447968763632883</v>
      </c>
      <c r="T377" s="357">
        <f t="shared" ca="1" si="146"/>
        <v>96.577457357123862</v>
      </c>
      <c r="U377" s="364">
        <f t="shared" ca="1" si="147"/>
        <v>0</v>
      </c>
      <c r="V377" s="359">
        <f t="shared" ca="1" si="148"/>
        <v>1.1641348789644983</v>
      </c>
      <c r="W377" s="357">
        <f t="shared" ca="1" si="149"/>
        <v>168.15371049905539</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509.51598900001613</v>
      </c>
      <c r="AF377" s="344"/>
      <c r="AG377" s="359">
        <f t="shared" ca="1" si="172"/>
        <v>39.799255125499599</v>
      </c>
      <c r="AH377" s="357">
        <f t="shared" ca="1" si="173"/>
        <v>49.339469378590927</v>
      </c>
    </row>
    <row r="378" spans="1:34" x14ac:dyDescent="0.25">
      <c r="A378" s="402">
        <f t="shared" ca="1" si="151"/>
        <v>0.01</v>
      </c>
      <c r="B378" s="357">
        <f t="shared" ca="1" si="152"/>
        <v>3.7399999999999642</v>
      </c>
      <c r="C378" s="342"/>
      <c r="D378" s="359">
        <f t="shared" ca="1" si="153"/>
        <v>11.482725935721831</v>
      </c>
      <c r="E378" s="360">
        <f t="shared" ca="1" si="154"/>
        <v>38.116595874030821</v>
      </c>
      <c r="F378" s="357">
        <f t="shared" ca="1" si="155"/>
        <v>39.808640719560898</v>
      </c>
      <c r="G378" s="359">
        <f t="shared" ca="1" si="156"/>
        <v>58.715093852034158</v>
      </c>
      <c r="H378" s="360">
        <f t="shared" ca="1" si="157"/>
        <v>244.96692989835017</v>
      </c>
      <c r="I378" s="357">
        <f t="shared" ca="1" si="158"/>
        <v>251.9052579639345</v>
      </c>
      <c r="J378" s="359">
        <f t="shared" ca="1" si="159"/>
        <v>114.67370507870436</v>
      </c>
      <c r="K378" s="360">
        <f t="shared" ca="1" si="160"/>
        <v>511.96375246920593</v>
      </c>
      <c r="L378" s="357">
        <f t="shared" ca="1" si="145"/>
        <v>524.64935192834082</v>
      </c>
      <c r="M378" s="359">
        <f t="shared" ca="1" si="161"/>
        <v>1.3355484577523979</v>
      </c>
      <c r="N378" s="357">
        <f t="shared" ca="1" si="162"/>
        <v>76.521289964418528</v>
      </c>
      <c r="O378" s="343"/>
      <c r="P378" s="363">
        <f t="shared" ca="1" si="163"/>
        <v>12</v>
      </c>
      <c r="Q378" s="357">
        <f t="shared" ca="1" si="164"/>
        <v>653.1733333333342</v>
      </c>
      <c r="R378" s="359">
        <f t="shared" ca="1" si="165"/>
        <v>0.32719559461323577</v>
      </c>
      <c r="S378" s="360">
        <f t="shared" ca="1" si="166"/>
        <v>9.8415249204171555</v>
      </c>
      <c r="T378" s="357">
        <f t="shared" ca="1" si="146"/>
        <v>96.545359469292308</v>
      </c>
      <c r="U378" s="364">
        <f t="shared" ca="1" si="147"/>
        <v>0</v>
      </c>
      <c r="V378" s="359">
        <f t="shared" ca="1" si="148"/>
        <v>1.1638497752489174</v>
      </c>
      <c r="W378" s="357">
        <f t="shared" ca="1" si="149"/>
        <v>168.6442486364044</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511.96375246920593</v>
      </c>
      <c r="AF378" s="344"/>
      <c r="AG378" s="359">
        <f t="shared" ca="1" si="172"/>
        <v>39.742967966730127</v>
      </c>
      <c r="AH378" s="357">
        <f t="shared" ca="1" si="173"/>
        <v>49.282974615860667</v>
      </c>
    </row>
    <row r="379" spans="1:34" x14ac:dyDescent="0.25">
      <c r="A379" s="402">
        <f t="shared" ca="1" si="151"/>
        <v>0.01</v>
      </c>
      <c r="B379" s="357">
        <f t="shared" ca="1" si="152"/>
        <v>3.749999999999964</v>
      </c>
      <c r="C379" s="342"/>
      <c r="D379" s="359">
        <f t="shared" ca="1" si="153"/>
        <v>11.473901811555475</v>
      </c>
      <c r="E379" s="360">
        <f t="shared" ca="1" si="154"/>
        <v>38.060595384128597</v>
      </c>
      <c r="F379" s="357">
        <f t="shared" ca="1" si="155"/>
        <v>39.752475945223431</v>
      </c>
      <c r="G379" s="359">
        <f t="shared" ca="1" si="156"/>
        <v>58.829832870149716</v>
      </c>
      <c r="H379" s="360">
        <f t="shared" ca="1" si="157"/>
        <v>245.34753585219147</v>
      </c>
      <c r="I379" s="357">
        <f t="shared" ca="1" si="158"/>
        <v>252.30212560395151</v>
      </c>
      <c r="J379" s="359">
        <f t="shared" ca="1" si="159"/>
        <v>115.26142971231528</v>
      </c>
      <c r="K379" s="360">
        <f t="shared" ca="1" si="160"/>
        <v>514.41532479795865</v>
      </c>
      <c r="L379" s="357">
        <f t="shared" ca="1" si="145"/>
        <v>527.17010875647748</v>
      </c>
      <c r="M379" s="359">
        <f t="shared" ca="1" si="161"/>
        <v>1.3354578301218678</v>
      </c>
      <c r="N379" s="357">
        <f t="shared" ca="1" si="162"/>
        <v>76.516097383681881</v>
      </c>
      <c r="O379" s="343"/>
      <c r="P379" s="363">
        <f t="shared" ca="1" si="163"/>
        <v>12</v>
      </c>
      <c r="Q379" s="357">
        <f t="shared" ca="1" si="164"/>
        <v>652.94666666666751</v>
      </c>
      <c r="R379" s="359">
        <f t="shared" ca="1" si="165"/>
        <v>0.32708204996743628</v>
      </c>
      <c r="S379" s="360">
        <f t="shared" ca="1" si="166"/>
        <v>9.8382540999174815</v>
      </c>
      <c r="T379" s="357">
        <f t="shared" ca="1" si="146"/>
        <v>96.5132727201905</v>
      </c>
      <c r="U379" s="364">
        <f t="shared" ca="1" si="147"/>
        <v>0</v>
      </c>
      <c r="V379" s="359">
        <f t="shared" ca="1" si="148"/>
        <v>1.1635642960912702</v>
      </c>
      <c r="W379" s="357">
        <f t="shared" ca="1" si="149"/>
        <v>169.13455610897614</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514.41532479795865</v>
      </c>
      <c r="AF379" s="344"/>
      <c r="AG379" s="359">
        <f t="shared" ca="1" si="172"/>
        <v>39.686660389197293</v>
      </c>
      <c r="AH379" s="357">
        <f t="shared" ca="1" si="173"/>
        <v>49.226459604689943</v>
      </c>
    </row>
    <row r="380" spans="1:34" x14ac:dyDescent="0.25">
      <c r="A380" s="402">
        <f t="shared" ca="1" si="151"/>
        <v>0.01</v>
      </c>
      <c r="B380" s="357">
        <f t="shared" ca="1" si="152"/>
        <v>3.7599999999999638</v>
      </c>
      <c r="C380" s="342"/>
      <c r="D380" s="359">
        <f t="shared" ca="1" si="153"/>
        <v>11.465057815581051</v>
      </c>
      <c r="E380" s="360">
        <f t="shared" ca="1" si="154"/>
        <v>38.004578866209904</v>
      </c>
      <c r="F380" s="357">
        <f t="shared" ca="1" si="155"/>
        <v>39.696291583882051</v>
      </c>
      <c r="G380" s="359">
        <f t="shared" ca="1" si="156"/>
        <v>58.944483448305526</v>
      </c>
      <c r="H380" s="360">
        <f t="shared" ca="1" si="157"/>
        <v>245.72758164085357</v>
      </c>
      <c r="I380" s="357">
        <f t="shared" ca="1" si="158"/>
        <v>252.69842996752061</v>
      </c>
      <c r="J380" s="359">
        <f t="shared" ca="1" si="159"/>
        <v>115.85030129390755</v>
      </c>
      <c r="K380" s="360">
        <f t="shared" ca="1" si="160"/>
        <v>516.8707003854239</v>
      </c>
      <c r="L380" s="357">
        <f t="shared" ca="1" si="145"/>
        <v>529.69483028136847</v>
      </c>
      <c r="M380" s="359">
        <f t="shared" ca="1" si="161"/>
        <v>1.3353673104086103</v>
      </c>
      <c r="N380" s="357">
        <f t="shared" ca="1" si="162"/>
        <v>76.510910986149497</v>
      </c>
      <c r="O380" s="343"/>
      <c r="P380" s="363">
        <f t="shared" ca="1" si="163"/>
        <v>12</v>
      </c>
      <c r="Q380" s="357">
        <f t="shared" ca="1" si="164"/>
        <v>652.72000000000082</v>
      </c>
      <c r="R380" s="359">
        <f t="shared" ca="1" si="165"/>
        <v>0.32696850532163679</v>
      </c>
      <c r="S380" s="360">
        <f t="shared" ca="1" si="166"/>
        <v>9.8349844148642642</v>
      </c>
      <c r="T380" s="357">
        <f t="shared" ca="1" si="146"/>
        <v>96.481197109818439</v>
      </c>
      <c r="U380" s="364">
        <f t="shared" ca="1" si="147"/>
        <v>0</v>
      </c>
      <c r="V380" s="359">
        <f t="shared" ca="1" si="148"/>
        <v>1.1632784424371061</v>
      </c>
      <c r="W380" s="357">
        <f t="shared" ca="1" si="149"/>
        <v>169.6246286479614</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516.8707003854239</v>
      </c>
      <c r="AF380" s="344"/>
      <c r="AG380" s="359">
        <f t="shared" ca="1" si="172"/>
        <v>39.630332828656556</v>
      </c>
      <c r="AH380" s="357">
        <f t="shared" ca="1" si="173"/>
        <v>49.169924779967104</v>
      </c>
    </row>
    <row r="381" spans="1:34" x14ac:dyDescent="0.25">
      <c r="A381" s="402">
        <f t="shared" ca="1" si="151"/>
        <v>0.01</v>
      </c>
      <c r="B381" s="357">
        <f t="shared" ca="1" si="152"/>
        <v>3.7699999999999636</v>
      </c>
      <c r="C381" s="342"/>
      <c r="D381" s="359">
        <f t="shared" ca="1" si="153"/>
        <v>11.456194086215286</v>
      </c>
      <c r="E381" s="360">
        <f t="shared" ca="1" si="154"/>
        <v>37.948546736316423</v>
      </c>
      <c r="F381" s="357">
        <f t="shared" ca="1" si="155"/>
        <v>39.640088071791993</v>
      </c>
      <c r="G381" s="359">
        <f t="shared" ca="1" si="156"/>
        <v>59.059045389167679</v>
      </c>
      <c r="H381" s="360">
        <f t="shared" ca="1" si="157"/>
        <v>246.10706710821674</v>
      </c>
      <c r="I381" s="357">
        <f t="shared" ca="1" si="158"/>
        <v>253.09417085916473</v>
      </c>
      <c r="J381" s="359">
        <f t="shared" ca="1" si="159"/>
        <v>116.44031893809492</v>
      </c>
      <c r="K381" s="360">
        <f t="shared" ca="1" si="160"/>
        <v>519.32987362916924</v>
      </c>
      <c r="L381" s="357">
        <f t="shared" ca="1" si="145"/>
        <v>532.22351086558945</v>
      </c>
      <c r="M381" s="359">
        <f t="shared" ca="1" si="161"/>
        <v>1.3352768981147949</v>
      </c>
      <c r="N381" s="357">
        <f t="shared" ca="1" si="162"/>
        <v>76.505730743297775</v>
      </c>
      <c r="O381" s="343"/>
      <c r="P381" s="363">
        <f t="shared" ca="1" si="163"/>
        <v>12</v>
      </c>
      <c r="Q381" s="357">
        <f t="shared" ca="1" si="164"/>
        <v>652.49333333333425</v>
      </c>
      <c r="R381" s="359">
        <f t="shared" ca="1" si="165"/>
        <v>0.32685496067583736</v>
      </c>
      <c r="S381" s="360">
        <f t="shared" ca="1" si="166"/>
        <v>9.8317158652575056</v>
      </c>
      <c r="T381" s="357">
        <f t="shared" ca="1" si="146"/>
        <v>96.449132638176138</v>
      </c>
      <c r="U381" s="364">
        <f t="shared" ca="1" si="147"/>
        <v>0</v>
      </c>
      <c r="V381" s="359">
        <f t="shared" ca="1" si="148"/>
        <v>1.1629922152318113</v>
      </c>
      <c r="W381" s="357">
        <f t="shared" ca="1" si="149"/>
        <v>170.11446199907957</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519.32987362916924</v>
      </c>
      <c r="AF381" s="344"/>
      <c r="AG381" s="359">
        <f t="shared" ca="1" si="172"/>
        <v>39.573985719977657</v>
      </c>
      <c r="AH381" s="357">
        <f t="shared" ca="1" si="173"/>
        <v>49.113370575699186</v>
      </c>
    </row>
    <row r="382" spans="1:34" x14ac:dyDescent="0.25">
      <c r="A382" s="402">
        <f t="shared" ca="1" si="151"/>
        <v>0.01</v>
      </c>
      <c r="B382" s="357">
        <f t="shared" ca="1" si="152"/>
        <v>3.7799999999999634</v>
      </c>
      <c r="C382" s="342"/>
      <c r="D382" s="359">
        <f t="shared" ca="1" si="153"/>
        <v>11.447310761585292</v>
      </c>
      <c r="E382" s="360">
        <f t="shared" ca="1" si="154"/>
        <v>37.89249940963002</v>
      </c>
      <c r="F382" s="357">
        <f t="shared" ca="1" si="155"/>
        <v>39.583865844319931</v>
      </c>
      <c r="G382" s="359">
        <f t="shared" ca="1" si="156"/>
        <v>59.173518496783529</v>
      </c>
      <c r="H382" s="360">
        <f t="shared" ca="1" si="157"/>
        <v>246.48599210231305</v>
      </c>
      <c r="I382" s="357">
        <f t="shared" ca="1" si="158"/>
        <v>253.48934808774649</v>
      </c>
      <c r="J382" s="359">
        <f t="shared" ca="1" si="159"/>
        <v>117.03148175752467</v>
      </c>
      <c r="K382" s="360">
        <f t="shared" ca="1" si="160"/>
        <v>521.79283892522187</v>
      </c>
      <c r="L382" s="357">
        <f t="shared" ca="1" si="145"/>
        <v>534.75614486979418</v>
      </c>
      <c r="M382" s="359">
        <f t="shared" ca="1" si="161"/>
        <v>1.3351865927453801</v>
      </c>
      <c r="N382" s="357">
        <f t="shared" ca="1" si="162"/>
        <v>76.500556626762943</v>
      </c>
      <c r="O382" s="343"/>
      <c r="P382" s="363">
        <f t="shared" ca="1" si="163"/>
        <v>12</v>
      </c>
      <c r="Q382" s="357">
        <f t="shared" ca="1" si="164"/>
        <v>652.26666666666756</v>
      </c>
      <c r="R382" s="359">
        <f t="shared" ca="1" si="165"/>
        <v>0.32674141603003787</v>
      </c>
      <c r="S382" s="360">
        <f t="shared" ca="1" si="166"/>
        <v>9.8284484510972057</v>
      </c>
      <c r="T382" s="357">
        <f t="shared" ca="1" si="146"/>
        <v>96.417079305263599</v>
      </c>
      <c r="U382" s="364">
        <f t="shared" ca="1" si="147"/>
        <v>0</v>
      </c>
      <c r="V382" s="359">
        <f t="shared" ca="1" si="148"/>
        <v>1.1627056154205997</v>
      </c>
      <c r="W382" s="357">
        <f t="shared" ca="1" si="149"/>
        <v>170.60405192261808</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521.79283892522187</v>
      </c>
      <c r="AF382" s="344"/>
      <c r="AG382" s="359">
        <f t="shared" ca="1" si="172"/>
        <v>39.517619497138583</v>
      </c>
      <c r="AH382" s="357">
        <f t="shared" ca="1" si="173"/>
        <v>49.056797425005833</v>
      </c>
    </row>
    <row r="383" spans="1:34" x14ac:dyDescent="0.25">
      <c r="A383" s="402">
        <f t="shared" ca="1" si="151"/>
        <v>0.01</v>
      </c>
      <c r="B383" s="357">
        <f t="shared" ca="1" si="152"/>
        <v>3.7899999999999632</v>
      </c>
      <c r="C383" s="342"/>
      <c r="D383" s="359">
        <f t="shared" ca="1" si="153"/>
        <v>11.438407979528154</v>
      </c>
      <c r="E383" s="360">
        <f t="shared" ca="1" si="154"/>
        <v>37.836437300466841</v>
      </c>
      <c r="F383" s="357">
        <f t="shared" ca="1" si="155"/>
        <v>39.527625335938055</v>
      </c>
      <c r="G383" s="359">
        <f t="shared" ca="1" si="156"/>
        <v>59.287902576578809</v>
      </c>
      <c r="H383" s="360">
        <f t="shared" ca="1" si="157"/>
        <v>246.86435647531772</v>
      </c>
      <c r="I383" s="357">
        <f t="shared" ca="1" si="158"/>
        <v>253.8839614664594</v>
      </c>
      <c r="J383" s="359">
        <f t="shared" ca="1" si="159"/>
        <v>117.62378886289149</v>
      </c>
      <c r="K383" s="360">
        <f t="shared" ca="1" si="160"/>
        <v>524.25959066811004</v>
      </c>
      <c r="L383" s="357">
        <f t="shared" ca="1" si="145"/>
        <v>537.29272665275892</v>
      </c>
      <c r="M383" s="359">
        <f t="shared" ca="1" si="161"/>
        <v>1.3350963938080942</v>
      </c>
      <c r="N383" s="357">
        <f t="shared" ca="1" si="162"/>
        <v>76.495388608339894</v>
      </c>
      <c r="O383" s="343"/>
      <c r="P383" s="363">
        <f t="shared" ca="1" si="163"/>
        <v>12</v>
      </c>
      <c r="Q383" s="357">
        <f t="shared" ca="1" si="164"/>
        <v>652.04000000000087</v>
      </c>
      <c r="R383" s="359">
        <f t="shared" ca="1" si="165"/>
        <v>0.32662787138423838</v>
      </c>
      <c r="S383" s="360">
        <f t="shared" ca="1" si="166"/>
        <v>9.8251821723833626</v>
      </c>
      <c r="T383" s="357">
        <f t="shared" ca="1" si="146"/>
        <v>96.385037111080791</v>
      </c>
      <c r="U383" s="364">
        <f t="shared" ca="1" si="147"/>
        <v>0</v>
      </c>
      <c r="V383" s="359">
        <f t="shared" ca="1" si="148"/>
        <v>1.1624186439485074</v>
      </c>
      <c r="W383" s="357">
        <f t="shared" ca="1" si="149"/>
        <v>171.09339419347219</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524.25959066811004</v>
      </c>
      <c r="AF383" s="344"/>
      <c r="AG383" s="359">
        <f t="shared" ca="1" si="172"/>
        <v>39.461234593219721</v>
      </c>
      <c r="AH383" s="357">
        <f t="shared" ca="1" si="173"/>
        <v>49.00020576011341</v>
      </c>
    </row>
    <row r="384" spans="1:34" x14ac:dyDescent="0.25">
      <c r="A384" s="402">
        <f t="shared" ca="1" si="151"/>
        <v>0.01</v>
      </c>
      <c r="B384" s="357">
        <f t="shared" ca="1" si="152"/>
        <v>3.799999999999963</v>
      </c>
      <c r="C384" s="342"/>
      <c r="D384" s="359">
        <f t="shared" ca="1" si="153"/>
        <v>11.42948587759026</v>
      </c>
      <c r="E384" s="360">
        <f t="shared" ca="1" si="154"/>
        <v>37.780360822271291</v>
      </c>
      <c r="F384" s="357">
        <f t="shared" ca="1" si="155"/>
        <v>39.471366980218036</v>
      </c>
      <c r="G384" s="359">
        <f t="shared" ca="1" si="156"/>
        <v>59.402197435354708</v>
      </c>
      <c r="H384" s="360">
        <f t="shared" ca="1" si="157"/>
        <v>247.24216008354043</v>
      </c>
      <c r="I384" s="357">
        <f t="shared" ca="1" si="158"/>
        <v>254.27801081281859</v>
      </c>
      <c r="J384" s="359">
        <f t="shared" ca="1" si="159"/>
        <v>118.21723936295116</v>
      </c>
      <c r="K384" s="360">
        <f t="shared" ca="1" si="160"/>
        <v>526.73012325090428</v>
      </c>
      <c r="L384" s="357">
        <f t="shared" ca="1" si="145"/>
        <v>539.83325057142429</v>
      </c>
      <c r="M384" s="359">
        <f t="shared" ca="1" si="161"/>
        <v>1.3350063008134132</v>
      </c>
      <c r="N384" s="357">
        <f t="shared" ca="1" si="162"/>
        <v>76.490226659980976</v>
      </c>
      <c r="O384" s="343"/>
      <c r="P384" s="363">
        <f t="shared" ca="1" si="163"/>
        <v>12</v>
      </c>
      <c r="Q384" s="357">
        <f t="shared" ca="1" si="164"/>
        <v>651.81333333333419</v>
      </c>
      <c r="R384" s="359">
        <f t="shared" ca="1" si="165"/>
        <v>0.32651432673843889</v>
      </c>
      <c r="S384" s="360">
        <f t="shared" ca="1" si="166"/>
        <v>9.8219170291159781</v>
      </c>
      <c r="T384" s="357">
        <f t="shared" ca="1" si="146"/>
        <v>96.353006055627745</v>
      </c>
      <c r="U384" s="364">
        <f t="shared" ca="1" si="147"/>
        <v>0</v>
      </c>
      <c r="V384" s="359">
        <f t="shared" ca="1" si="148"/>
        <v>1.1621313017603832</v>
      </c>
      <c r="W384" s="357">
        <f t="shared" ca="1" si="149"/>
        <v>171.58248460118276</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526.73012325090428</v>
      </c>
      <c r="AF384" s="344"/>
      <c r="AG384" s="359">
        <f t="shared" ca="1" si="172"/>
        <v>39.404831440397714</v>
      </c>
      <c r="AH384" s="357">
        <f t="shared" ca="1" si="173"/>
        <v>48.943596012348841</v>
      </c>
    </row>
    <row r="385" spans="1:34" x14ac:dyDescent="0.25">
      <c r="A385" s="402">
        <f t="shared" ca="1" si="151"/>
        <v>0.01</v>
      </c>
      <c r="B385" s="357">
        <f t="shared" ca="1" si="152"/>
        <v>3.8099999999999627</v>
      </c>
      <c r="C385" s="342"/>
      <c r="D385" s="359">
        <f t="shared" ca="1" si="153"/>
        <v>11.406820841230362</v>
      </c>
      <c r="E385" s="360">
        <f t="shared" ca="1" si="154"/>
        <v>37.667149772799512</v>
      </c>
      <c r="F385" s="357">
        <f t="shared" ca="1" si="155"/>
        <v>39.35644462741061</v>
      </c>
      <c r="G385" s="359">
        <f t="shared" ca="1" si="156"/>
        <v>59.516265643767014</v>
      </c>
      <c r="H385" s="360">
        <f t="shared" ca="1" si="157"/>
        <v>247.61883158126841</v>
      </c>
      <c r="I385" s="357">
        <f t="shared" ca="1" si="158"/>
        <v>254.67090848750669</v>
      </c>
      <c r="J385" s="359">
        <f t="shared" ca="1" si="159"/>
        <v>118.81183167834676</v>
      </c>
      <c r="K385" s="360">
        <f t="shared" ca="1" si="160"/>
        <v>529.20442820922835</v>
      </c>
      <c r="L385" s="357">
        <f t="shared" ca="1" si="145"/>
        <v>542.37770804396098</v>
      </c>
      <c r="M385" s="359">
        <f t="shared" ca="1" si="161"/>
        <v>1.3349163130669628</v>
      </c>
      <c r="N385" s="357">
        <f t="shared" ca="1" si="162"/>
        <v>76.485070741901481</v>
      </c>
      <c r="O385" s="343"/>
      <c r="P385" s="363">
        <f t="shared" ca="1" si="163"/>
        <v>13</v>
      </c>
      <c r="Q385" s="357">
        <f t="shared" ca="1" si="164"/>
        <v>651.01000000000511</v>
      </c>
      <c r="R385" s="359">
        <f t="shared" ca="1" si="165"/>
        <v>0.32611191115553406</v>
      </c>
      <c r="S385" s="360">
        <f t="shared" ca="1" si="166"/>
        <v>9.8186559100044235</v>
      </c>
      <c r="T385" s="357">
        <f t="shared" ca="1" si="146"/>
        <v>96.321014477143393</v>
      </c>
      <c r="U385" s="364">
        <f t="shared" ca="1" si="147"/>
        <v>0</v>
      </c>
      <c r="V385" s="359">
        <f t="shared" ca="1" si="148"/>
        <v>1.1618435901329418</v>
      </c>
      <c r="W385" s="357">
        <f t="shared" ca="1" si="149"/>
        <v>172.07052515218481</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529.20442820922835</v>
      </c>
      <c r="AF385" s="344"/>
      <c r="AG385" s="359">
        <f t="shared" ca="1" si="172"/>
        <v>39.289664355176861</v>
      </c>
      <c r="AH385" s="357">
        <f t="shared" ca="1" si="173"/>
        <v>48.828222497370966</v>
      </c>
    </row>
    <row r="386" spans="1:34" x14ac:dyDescent="0.25">
      <c r="A386" s="402">
        <f t="shared" ca="1" si="151"/>
        <v>0.01</v>
      </c>
      <c r="B386" s="357">
        <f t="shared" ca="1" si="152"/>
        <v>3.8199999999999625</v>
      </c>
      <c r="C386" s="342"/>
      <c r="D386" s="359">
        <f t="shared" ca="1" si="153"/>
        <v>11.370399494960436</v>
      </c>
      <c r="E386" s="360">
        <f t="shared" ca="1" si="154"/>
        <v>37.496816163611399</v>
      </c>
      <c r="F386" s="357">
        <f t="shared" ca="1" si="155"/>
        <v>39.182868795975949</v>
      </c>
      <c r="G386" s="359">
        <f t="shared" ca="1" si="156"/>
        <v>59.629969638716616</v>
      </c>
      <c r="H386" s="360">
        <f t="shared" ca="1" si="157"/>
        <v>247.99379974290451</v>
      </c>
      <c r="I386" s="357">
        <f t="shared" ca="1" si="158"/>
        <v>255.06206693673226</v>
      </c>
      <c r="J386" s="359">
        <f t="shared" ca="1" si="159"/>
        <v>119.40756285475918</v>
      </c>
      <c r="K386" s="360">
        <f t="shared" ca="1" si="160"/>
        <v>531.68249136584927</v>
      </c>
      <c r="L386" s="357">
        <f t="shared" ca="1" si="145"/>
        <v>544.92608461323414</v>
      </c>
      <c r="M386" s="359">
        <f t="shared" ca="1" si="161"/>
        <v>1.3348264296716887</v>
      </c>
      <c r="N386" s="357">
        <f t="shared" ca="1" si="162"/>
        <v>76.479920802703973</v>
      </c>
      <c r="O386" s="343"/>
      <c r="P386" s="363">
        <f t="shared" ca="1" si="163"/>
        <v>13</v>
      </c>
      <c r="Q386" s="357">
        <f t="shared" ca="1" si="164"/>
        <v>649.63000000000523</v>
      </c>
      <c r="R386" s="359">
        <f t="shared" ca="1" si="165"/>
        <v>0.32542062463551963</v>
      </c>
      <c r="S386" s="360">
        <f t="shared" ca="1" si="166"/>
        <v>9.8154017037580683</v>
      </c>
      <c r="T386" s="357">
        <f t="shared" ca="1" si="146"/>
        <v>96.289090713866656</v>
      </c>
      <c r="U386" s="364">
        <f t="shared" ca="1" si="147"/>
        <v>0</v>
      </c>
      <c r="V386" s="359">
        <f t="shared" ca="1" si="148"/>
        <v>1.1615555110062648</v>
      </c>
      <c r="W386" s="357">
        <f t="shared" ca="1" si="149"/>
        <v>172.55671397709341</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531.68249136584927</v>
      </c>
      <c r="AF386" s="344"/>
      <c r="AG386" s="359">
        <f t="shared" ca="1" si="172"/>
        <v>39.115741889920571</v>
      </c>
      <c r="AH386" s="357">
        <f t="shared" ca="1" si="173"/>
        <v>48.654093766226097</v>
      </c>
    </row>
    <row r="387" spans="1:34" x14ac:dyDescent="0.25">
      <c r="A387" s="402">
        <f t="shared" ca="1" si="151"/>
        <v>0.01</v>
      </c>
      <c r="B387" s="357">
        <f t="shared" ca="1" si="152"/>
        <v>3.8299999999999623</v>
      </c>
      <c r="C387" s="342"/>
      <c r="D387" s="359">
        <f t="shared" ca="1" si="153"/>
        <v>11.333951799078262</v>
      </c>
      <c r="E387" s="360">
        <f t="shared" ca="1" si="154"/>
        <v>37.32652865808906</v>
      </c>
      <c r="F387" s="357">
        <f t="shared" ca="1" si="155"/>
        <v>39.009334844969779</v>
      </c>
      <c r="G387" s="359">
        <f t="shared" ca="1" si="156"/>
        <v>59.743309156707397</v>
      </c>
      <c r="H387" s="360">
        <f t="shared" ca="1" si="157"/>
        <v>248.36706502948542</v>
      </c>
      <c r="I387" s="357">
        <f t="shared" ca="1" si="158"/>
        <v>255.45148654951012</v>
      </c>
      <c r="J387" s="359">
        <f t="shared" ca="1" si="159"/>
        <v>120.0044292487363</v>
      </c>
      <c r="K387" s="360">
        <f t="shared" ca="1" si="160"/>
        <v>534.16429568971125</v>
      </c>
      <c r="L387" s="357">
        <f t="shared" ca="1" si="145"/>
        <v>547.47836288660778</v>
      </c>
      <c r="M387" s="359">
        <f t="shared" ca="1" si="161"/>
        <v>1.3347366497365882</v>
      </c>
      <c r="N387" s="357">
        <f t="shared" ca="1" si="162"/>
        <v>76.474776791337746</v>
      </c>
      <c r="O387" s="343"/>
      <c r="P387" s="363">
        <f t="shared" ca="1" si="163"/>
        <v>13</v>
      </c>
      <c r="Q387" s="357">
        <f t="shared" ca="1" si="164"/>
        <v>648.25000000000523</v>
      </c>
      <c r="R387" s="359">
        <f t="shared" ca="1" si="165"/>
        <v>0.32472933811550514</v>
      </c>
      <c r="S387" s="360">
        <f t="shared" ca="1" si="166"/>
        <v>9.8121544103769125</v>
      </c>
      <c r="T387" s="357">
        <f t="shared" ca="1" si="146"/>
        <v>96.25723476579752</v>
      </c>
      <c r="U387" s="364">
        <f t="shared" ca="1" si="147"/>
        <v>0</v>
      </c>
      <c r="V387" s="359">
        <f t="shared" ca="1" si="148"/>
        <v>1.1612670666507476</v>
      </c>
      <c r="W387" s="357">
        <f t="shared" ca="1" si="149"/>
        <v>173.04104175681411</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534.16429568971125</v>
      </c>
      <c r="AF387" s="344"/>
      <c r="AG387" s="359">
        <f t="shared" ca="1" si="172"/>
        <v>38.941858325257755</v>
      </c>
      <c r="AH387" s="357">
        <f t="shared" ca="1" si="173"/>
        <v>48.480004097758496</v>
      </c>
    </row>
    <row r="388" spans="1:34" x14ac:dyDescent="0.25">
      <c r="A388" s="402">
        <f t="shared" ca="1" si="151"/>
        <v>0.01</v>
      </c>
      <c r="B388" s="357">
        <f t="shared" ca="1" si="152"/>
        <v>3.8399999999999621</v>
      </c>
      <c r="C388" s="342"/>
      <c r="D388" s="359">
        <f t="shared" ca="1" si="153"/>
        <v>11.297478177283407</v>
      </c>
      <c r="E388" s="360">
        <f t="shared" ca="1" si="154"/>
        <v>37.156288555703782</v>
      </c>
      <c r="F388" s="357">
        <f t="shared" ca="1" si="155"/>
        <v>38.835844170056596</v>
      </c>
      <c r="G388" s="359">
        <f t="shared" ca="1" si="156"/>
        <v>59.856283938480232</v>
      </c>
      <c r="H388" s="360">
        <f t="shared" ca="1" si="157"/>
        <v>248.73862791504246</v>
      </c>
      <c r="I388" s="357">
        <f t="shared" ca="1" si="158"/>
        <v>255.83916772844205</v>
      </c>
      <c r="J388" s="359">
        <f t="shared" ca="1" si="159"/>
        <v>120.60242721421224</v>
      </c>
      <c r="K388" s="360">
        <f t="shared" ca="1" si="160"/>
        <v>536.64982415443387</v>
      </c>
      <c r="L388" s="357">
        <f t="shared" ref="L388:L451" ca="1" si="174">SQRT(pos_x^2+pos_z^2)</f>
        <v>550.03452547539609</v>
      </c>
      <c r="M388" s="359">
        <f t="shared" ca="1" si="161"/>
        <v>1.3346469723766436</v>
      </c>
      <c r="N388" s="357">
        <f t="shared" ca="1" si="162"/>
        <v>76.469638657095047</v>
      </c>
      <c r="O388" s="343"/>
      <c r="P388" s="363">
        <f t="shared" ca="1" si="163"/>
        <v>13</v>
      </c>
      <c r="Q388" s="357">
        <f t="shared" ca="1" si="164"/>
        <v>646.87000000000523</v>
      </c>
      <c r="R388" s="359">
        <f t="shared" ca="1" si="165"/>
        <v>0.32403805159549065</v>
      </c>
      <c r="S388" s="360">
        <f t="shared" ca="1" si="166"/>
        <v>9.8089140298609578</v>
      </c>
      <c r="T388" s="357">
        <f t="shared" ref="T388:T451" ca="1" si="175">m*g</f>
        <v>96.225446632935999</v>
      </c>
      <c r="U388" s="364">
        <f t="shared" ref="U388:U451" ca="1" si="176">IF(pos_xz&lt;L_rampe,Poids*COS(Beta),0)</f>
        <v>0</v>
      </c>
      <c r="V388" s="359">
        <f t="shared" ref="V388:V451" ca="1" si="177">Rho_moyen*(20000-Alt_rampe-pos_z)/(20000+Alt_rampe+pos_z)</f>
        <v>1.1609782593345896</v>
      </c>
      <c r="W388" s="357">
        <f t="shared" ref="W388:W451" ca="1" si="178">1/2*Rho*Sref*Cx*vit_xz^2</f>
        <v>173.52349925893623</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536.64982415443387</v>
      </c>
      <c r="AF388" s="344"/>
      <c r="AG388" s="359">
        <f t="shared" ca="1" si="172"/>
        <v>38.768015019892999</v>
      </c>
      <c r="AH388" s="357">
        <f t="shared" ca="1" si="173"/>
        <v>48.305954848898566</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11.260979051145426</v>
      </c>
      <c r="E389" s="360">
        <f t="shared" ref="E389:E452" ca="1" si="183">IF(AND(L388&lt;L_rampe,Poussee&lt;Poids*SIN(M388)),0,(-W388+Poussee)/m*SIN(M388)+U388/m*COS(M388)-Poids/m)</f>
        <v>36.986097148978288</v>
      </c>
      <c r="F389" s="357">
        <f t="shared" ref="F389:F452" ca="1" si="184">SQRT(acc_x^2+acc_z^2)</f>
        <v>38.662398160279658</v>
      </c>
      <c r="G389" s="359">
        <f t="shared" ref="G389:G452" ca="1" si="185">G388+acc_x*pas</f>
        <v>59.968893728991688</v>
      </c>
      <c r="H389" s="360">
        <f t="shared" ref="H389:H452" ca="1" si="186">H388+acc_z*pas</f>
        <v>249.10848888653223</v>
      </c>
      <c r="I389" s="357">
        <f t="shared" ref="I389:I452" ca="1" si="187">SQRT(vit_x^2+vit_z^2)</f>
        <v>256.22511088964455</v>
      </c>
      <c r="J389" s="359">
        <f t="shared" ref="J389:J452" ca="1" si="188">J388+0.5*(vit_x+G388)*pas*(K388&gt;=0)</f>
        <v>121.2015531025496</v>
      </c>
      <c r="K389" s="360">
        <f t="shared" ref="K389:K452" ca="1" si="189">K388+0.5*(vit_z+H388)*pas</f>
        <v>539.1390597384418</v>
      </c>
      <c r="L389" s="357">
        <f t="shared" ca="1" si="174"/>
        <v>552.59455499499927</v>
      </c>
      <c r="M389" s="359">
        <f t="shared" ref="M389:M452" ca="1" si="190">IF(AND(L388&gt;L_rampe,G389&gt;0),ATAN2(G389,H389),$M$4)</f>
        <v>1.334557396712756</v>
      </c>
      <c r="N389" s="357">
        <f t="shared" ref="N389:N452" ca="1" si="191">DEGREES(Beta)</f>
        <v>76.464506349607205</v>
      </c>
      <c r="O389" s="343"/>
      <c r="P389" s="363">
        <f t="shared" ref="P389:P452" ca="1" si="192">MATCH(t-pas/2-T_ini,CdP_t)</f>
        <v>13</v>
      </c>
      <c r="Q389" s="357">
        <f t="shared" ref="Q389:Q452" ca="1" si="193">(INDEX(CdP,2,i_P+1)-INDEX(CdP,2,i_P+0))/(INDEX(CdP,1,i_P+1)-INDEX(CdP,1,i_P+0))*(t-pas/2-T_ini-INDEX(CdP,1,i_P+0))+INDEX(CdP,2,i_P+0)</f>
        <v>645.49000000000524</v>
      </c>
      <c r="R389" s="359">
        <f t="shared" ref="R389:R452" ca="1" si="194">Poussee/(g*ISP)</f>
        <v>0.32334676507547616</v>
      </c>
      <c r="S389" s="360">
        <f t="shared" ref="S389:S452" ca="1" si="195">S388-Débit*pas</f>
        <v>9.8056805622102026</v>
      </c>
      <c r="T389" s="357">
        <f t="shared" ca="1" si="175"/>
        <v>96.193726315282092</v>
      </c>
      <c r="U389" s="364">
        <f t="shared" ca="1" si="176"/>
        <v>0</v>
      </c>
      <c r="V389" s="359">
        <f t="shared" ca="1" si="177"/>
        <v>1.1606890913237722</v>
      </c>
      <c r="W389" s="357">
        <f t="shared" ca="1" si="178"/>
        <v>174.00407733764507</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539.1390597384418</v>
      </c>
      <c r="AF389" s="344"/>
      <c r="AG389" s="359">
        <f t="shared" ref="AG389:AG452" ca="1" si="201">IF(AND(L388&lt;L_rampe,Poussee&lt;Poids*SIN(M388)),0,(-W388+Poussee)/m-Poids*SIN(M388)/m)</f>
        <v>38.594213325304935</v>
      </c>
      <c r="AH389" s="357">
        <f t="shared" ref="AH389:AH452" ca="1" si="202">IF(AND(L388&lt;L_rampe,Poussee&lt;Poids*SIN(M388)), g*SIN(M388), (-W388+Poussee)/m)</f>
        <v>48.131947369361136</v>
      </c>
    </row>
    <row r="390" spans="1:34" x14ac:dyDescent="0.25">
      <c r="A390" s="402">
        <f t="shared" ca="1" si="180"/>
        <v>0.01</v>
      </c>
      <c r="B390" s="357">
        <f t="shared" ca="1" si="181"/>
        <v>3.8599999999999617</v>
      </c>
      <c r="C390" s="342"/>
      <c r="D390" s="359">
        <f t="shared" ca="1" si="182"/>
        <v>11.224454840105023</v>
      </c>
      <c r="E390" s="360">
        <f t="shared" ca="1" si="183"/>
        <v>36.815955723474012</v>
      </c>
      <c r="F390" s="357">
        <f t="shared" ca="1" si="184"/>
        <v>38.488998198061168</v>
      </c>
      <c r="G390" s="359">
        <f t="shared" ca="1" si="185"/>
        <v>60.081138277392739</v>
      </c>
      <c r="H390" s="360">
        <f t="shared" ca="1" si="186"/>
        <v>249.47664844376698</v>
      </c>
      <c r="I390" s="357">
        <f t="shared" ca="1" si="187"/>
        <v>256.60931646267659</v>
      </c>
      <c r="J390" s="359">
        <f t="shared" ca="1" si="188"/>
        <v>121.80180326258152</v>
      </c>
      <c r="K390" s="360">
        <f t="shared" ca="1" si="189"/>
        <v>541.63198542509326</v>
      </c>
      <c r="L390" s="357">
        <f t="shared" ca="1" si="174"/>
        <v>555.15843406503791</v>
      </c>
      <c r="M390" s="359">
        <f t="shared" ca="1" si="190"/>
        <v>1.3344679218716802</v>
      </c>
      <c r="N390" s="357">
        <f t="shared" ca="1" si="191"/>
        <v>76.459379818840958</v>
      </c>
      <c r="O390" s="343"/>
      <c r="P390" s="363">
        <f t="shared" ca="1" si="192"/>
        <v>13</v>
      </c>
      <c r="Q390" s="357">
        <f t="shared" ca="1" si="193"/>
        <v>644.11000000000524</v>
      </c>
      <c r="R390" s="359">
        <f t="shared" ca="1" si="194"/>
        <v>0.32265547855546167</v>
      </c>
      <c r="S390" s="360">
        <f t="shared" ca="1" si="195"/>
        <v>9.8024540074246485</v>
      </c>
      <c r="T390" s="357">
        <f t="shared" ca="1" si="175"/>
        <v>96.1620738128358</v>
      </c>
      <c r="U390" s="364">
        <f t="shared" ca="1" si="176"/>
        <v>0</v>
      </c>
      <c r="V390" s="359">
        <f t="shared" ca="1" si="177"/>
        <v>1.1603995648820393</v>
      </c>
      <c r="W390" s="357">
        <f t="shared" ca="1" si="178"/>
        <v>174.48276693363047</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541.63198542509326</v>
      </c>
      <c r="AF390" s="344"/>
      <c r="AG390" s="359">
        <f t="shared" ca="1" si="201"/>
        <v>38.420454585733864</v>
      </c>
      <c r="AH390" s="357">
        <f t="shared" ca="1" si="202"/>
        <v>47.957983001632961</v>
      </c>
    </row>
    <row r="391" spans="1:34" x14ac:dyDescent="0.25">
      <c r="A391" s="402">
        <f t="shared" ca="1" si="180"/>
        <v>0.01</v>
      </c>
      <c r="B391" s="357">
        <f t="shared" ca="1" si="181"/>
        <v>3.8699999999999615</v>
      </c>
      <c r="C391" s="342"/>
      <c r="D391" s="359">
        <f t="shared" ca="1" si="182"/>
        <v>11.187905961475202</v>
      </c>
      <c r="E391" s="360">
        <f t="shared" ca="1" si="183"/>
        <v>36.645865557778777</v>
      </c>
      <c r="F391" s="357">
        <f t="shared" ca="1" si="184"/>
        <v>38.315645659203099</v>
      </c>
      <c r="G391" s="359">
        <f t="shared" ca="1" si="185"/>
        <v>60.19301733700749</v>
      </c>
      <c r="H391" s="360">
        <f t="shared" ca="1" si="186"/>
        <v>249.84310709934476</v>
      </c>
      <c r="I391" s="357">
        <f t="shared" ca="1" si="187"/>
        <v>256.99178489046676</v>
      </c>
      <c r="J391" s="359">
        <f t="shared" ca="1" si="188"/>
        <v>122.40317404065351</v>
      </c>
      <c r="K391" s="360">
        <f t="shared" ca="1" si="189"/>
        <v>544.12858420280884</v>
      </c>
      <c r="L391" s="357">
        <f t="shared" ca="1" si="174"/>
        <v>557.72614530948761</v>
      </c>
      <c r="M391" s="359">
        <f t="shared" ca="1" si="190"/>
        <v>1.3343785469859606</v>
      </c>
      <c r="N391" s="357">
        <f t="shared" ca="1" si="191"/>
        <v>76.454259015094763</v>
      </c>
      <c r="O391" s="343"/>
      <c r="P391" s="363">
        <f t="shared" ca="1" si="192"/>
        <v>13</v>
      </c>
      <c r="Q391" s="357">
        <f t="shared" ca="1" si="193"/>
        <v>642.73000000000536</v>
      </c>
      <c r="R391" s="359">
        <f t="shared" ca="1" si="194"/>
        <v>0.32196419203544724</v>
      </c>
      <c r="S391" s="360">
        <f t="shared" ca="1" si="195"/>
        <v>9.7992343655042937</v>
      </c>
      <c r="T391" s="357">
        <f t="shared" ca="1" si="175"/>
        <v>96.130489125597123</v>
      </c>
      <c r="U391" s="364">
        <f t="shared" ca="1" si="176"/>
        <v>0</v>
      </c>
      <c r="V391" s="359">
        <f t="shared" ca="1" si="177"/>
        <v>1.160109682270877</v>
      </c>
      <c r="W391" s="357">
        <f t="shared" ca="1" si="178"/>
        <v>174.95955907399127</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544.12858420280884</v>
      </c>
      <c r="AF391" s="344"/>
      <c r="AG391" s="359">
        <f t="shared" ca="1" si="201"/>
        <v>38.246740138169862</v>
      </c>
      <c r="AH391" s="357">
        <f t="shared" ca="1" si="202"/>
        <v>47.784063080960678</v>
      </c>
    </row>
    <row r="392" spans="1:34" x14ac:dyDescent="0.25">
      <c r="A392" s="402">
        <f t="shared" ca="1" si="180"/>
        <v>0.01</v>
      </c>
      <c r="B392" s="357">
        <f t="shared" ca="1" si="181"/>
        <v>3.8799999999999613</v>
      </c>
      <c r="C392" s="342"/>
      <c r="D392" s="359">
        <f t="shared" ca="1" si="182"/>
        <v>11.151332830442476</v>
      </c>
      <c r="E392" s="360">
        <f t="shared" ca="1" si="183"/>
        <v>36.475827923494997</v>
      </c>
      <c r="F392" s="357">
        <f t="shared" ca="1" si="184"/>
        <v>38.142341912888902</v>
      </c>
      <c r="G392" s="359">
        <f t="shared" ca="1" si="185"/>
        <v>60.304530665311916</v>
      </c>
      <c r="H392" s="360">
        <f t="shared" ca="1" si="186"/>
        <v>250.20786537857973</v>
      </c>
      <c r="I392" s="357">
        <f t="shared" ca="1" si="187"/>
        <v>257.37251662924115</v>
      </c>
      <c r="J392" s="359">
        <f t="shared" ca="1" si="188"/>
        <v>123.00566178066511</v>
      </c>
      <c r="K392" s="360">
        <f t="shared" ca="1" si="189"/>
        <v>546.62883906519846</v>
      </c>
      <c r="L392" s="357">
        <f t="shared" ca="1" si="174"/>
        <v>560.29767135681197</v>
      </c>
      <c r="M392" s="359">
        <f t="shared" ca="1" si="190"/>
        <v>1.334289271193867</v>
      </c>
      <c r="N392" s="357">
        <f t="shared" ca="1" si="191"/>
        <v>76.44914388899511</v>
      </c>
      <c r="O392" s="343"/>
      <c r="P392" s="363">
        <f t="shared" ca="1" si="192"/>
        <v>13</v>
      </c>
      <c r="Q392" s="357">
        <f t="shared" ca="1" si="193"/>
        <v>641.35000000000537</v>
      </c>
      <c r="R392" s="359">
        <f t="shared" ca="1" si="194"/>
        <v>0.32127290551543275</v>
      </c>
      <c r="S392" s="360">
        <f t="shared" ca="1" si="195"/>
        <v>9.7960216364491401</v>
      </c>
      <c r="T392" s="357">
        <f t="shared" ca="1" si="175"/>
        <v>96.098972253566075</v>
      </c>
      <c r="U392" s="364">
        <f t="shared" ca="1" si="176"/>
        <v>0</v>
      </c>
      <c r="V392" s="359">
        <f t="shared" ca="1" si="177"/>
        <v>1.1598194457494926</v>
      </c>
      <c r="W392" s="357">
        <f t="shared" ca="1" si="178"/>
        <v>175.43444487213711</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546.62883906519846</v>
      </c>
      <c r="AF392" s="344"/>
      <c r="AG392" s="359">
        <f t="shared" ca="1" si="201"/>
        <v>38.073071312341213</v>
      </c>
      <c r="AH392" s="357">
        <f t="shared" ca="1" si="202"/>
        <v>47.610188935339181</v>
      </c>
    </row>
    <row r="393" spans="1:34" x14ac:dyDescent="0.25">
      <c r="A393" s="402">
        <f t="shared" ca="1" si="180"/>
        <v>0.01</v>
      </c>
      <c r="B393" s="357">
        <f t="shared" ca="1" si="181"/>
        <v>3.889999999999961</v>
      </c>
      <c r="C393" s="342"/>
      <c r="D393" s="359">
        <f t="shared" ca="1" si="182"/>
        <v>11.114735860068073</v>
      </c>
      <c r="E393" s="360">
        <f t="shared" ca="1" si="183"/>
        <v>36.305844085228152</v>
      </c>
      <c r="F393" s="357">
        <f t="shared" ca="1" si="184"/>
        <v>37.969088321685824</v>
      </c>
      <c r="G393" s="359">
        <f t="shared" ca="1" si="185"/>
        <v>60.415678023912598</v>
      </c>
      <c r="H393" s="360">
        <f t="shared" ca="1" si="186"/>
        <v>250.57092381943201</v>
      </c>
      <c r="I393" s="357">
        <f t="shared" ca="1" si="187"/>
        <v>257.75151214845022</v>
      </c>
      <c r="J393" s="359">
        <f t="shared" ca="1" si="188"/>
        <v>123.60926282411123</v>
      </c>
      <c r="K393" s="360">
        <f t="shared" ca="1" si="189"/>
        <v>549.13273301118852</v>
      </c>
      <c r="L393" s="357">
        <f t="shared" ca="1" si="174"/>
        <v>562.87299484009486</v>
      </c>
      <c r="M393" s="359">
        <f t="shared" ca="1" si="190"/>
        <v>1.334200093639333</v>
      </c>
      <c r="N393" s="357">
        <f t="shared" ca="1" si="191"/>
        <v>76.44403439149302</v>
      </c>
      <c r="O393" s="343"/>
      <c r="P393" s="363">
        <f t="shared" ca="1" si="192"/>
        <v>13</v>
      </c>
      <c r="Q393" s="357">
        <f t="shared" ca="1" si="193"/>
        <v>639.97000000000537</v>
      </c>
      <c r="R393" s="359">
        <f t="shared" ca="1" si="194"/>
        <v>0.32058161899541826</v>
      </c>
      <c r="S393" s="360">
        <f t="shared" ca="1" si="195"/>
        <v>9.792815820259186</v>
      </c>
      <c r="T393" s="357">
        <f t="shared" ca="1" si="175"/>
        <v>96.067523196742613</v>
      </c>
      <c r="U393" s="364">
        <f t="shared" ca="1" si="176"/>
        <v>0</v>
      </c>
      <c r="V393" s="359">
        <f t="shared" ca="1" si="177"/>
        <v>1.1595288575747953</v>
      </c>
      <c r="W393" s="357">
        <f t="shared" ca="1" si="178"/>
        <v>175.9074155276856</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549.13273301118852</v>
      </c>
      <c r="AF393" s="344"/>
      <c r="AG393" s="359">
        <f t="shared" ca="1" si="201"/>
        <v>37.899449430703378</v>
      </c>
      <c r="AH393" s="357">
        <f t="shared" ca="1" si="202"/>
        <v>47.436361885500411</v>
      </c>
    </row>
    <row r="394" spans="1:34" x14ac:dyDescent="0.25">
      <c r="A394" s="402">
        <f t="shared" ca="1" si="180"/>
        <v>0.01</v>
      </c>
      <c r="B394" s="357">
        <f t="shared" ca="1" si="181"/>
        <v>3.8999999999999608</v>
      </c>
      <c r="C394" s="342"/>
      <c r="D394" s="359">
        <f t="shared" ca="1" si="182"/>
        <v>11.078115461289128</v>
      </c>
      <c r="E394" s="360">
        <f t="shared" ca="1" si="183"/>
        <v>36.135915300575839</v>
      </c>
      <c r="F394" s="357">
        <f t="shared" ca="1" si="184"/>
        <v>37.795886241548089</v>
      </c>
      <c r="G394" s="359">
        <f t="shared" ca="1" si="185"/>
        <v>60.526459178525492</v>
      </c>
      <c r="H394" s="360">
        <f t="shared" ca="1" si="186"/>
        <v>250.93228297243778</v>
      </c>
      <c r="I394" s="357">
        <f t="shared" ca="1" si="187"/>
        <v>258.12877193069608</v>
      </c>
      <c r="J394" s="359">
        <f t="shared" ca="1" si="188"/>
        <v>124.21397351012342</v>
      </c>
      <c r="K394" s="360">
        <f t="shared" ca="1" si="189"/>
        <v>551.64024904514793</v>
      </c>
      <c r="L394" s="357">
        <f t="shared" ca="1" si="174"/>
        <v>565.45209839717324</v>
      </c>
      <c r="M394" s="359">
        <f t="shared" ca="1" si="190"/>
        <v>1.334111013471893</v>
      </c>
      <c r="N394" s="357">
        <f t="shared" ca="1" si="191"/>
        <v>76.438930473860381</v>
      </c>
      <c r="O394" s="343"/>
      <c r="P394" s="363">
        <f t="shared" ca="1" si="192"/>
        <v>13</v>
      </c>
      <c r="Q394" s="357">
        <f t="shared" ca="1" si="193"/>
        <v>638.59000000000538</v>
      </c>
      <c r="R394" s="359">
        <f t="shared" ca="1" si="194"/>
        <v>0.31989033247540377</v>
      </c>
      <c r="S394" s="360">
        <f t="shared" ca="1" si="195"/>
        <v>9.7896169169344311</v>
      </c>
      <c r="T394" s="357">
        <f t="shared" ca="1" si="175"/>
        <v>96.03614195512678</v>
      </c>
      <c r="U394" s="364">
        <f t="shared" ca="1" si="176"/>
        <v>0</v>
      </c>
      <c r="V394" s="359">
        <f t="shared" ca="1" si="177"/>
        <v>1.1592379200013778</v>
      </c>
      <c r="W394" s="357">
        <f t="shared" ca="1" si="178"/>
        <v>176.3784623263569</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551.64024904514793</v>
      </c>
      <c r="AF394" s="344"/>
      <c r="AG394" s="359">
        <f t="shared" ca="1" si="201"/>
        <v>37.725875808428214</v>
      </c>
      <c r="AH394" s="357">
        <f t="shared" ca="1" si="202"/>
        <v>47.262583244902544</v>
      </c>
    </row>
    <row r="395" spans="1:34" x14ac:dyDescent="0.25">
      <c r="A395" s="402">
        <f t="shared" ca="1" si="180"/>
        <v>0.01</v>
      </c>
      <c r="B395" s="357">
        <f t="shared" ca="1" si="181"/>
        <v>3.9099999999999606</v>
      </c>
      <c r="C395" s="342"/>
      <c r="D395" s="359">
        <f t="shared" ca="1" si="182"/>
        <v>11.041472042919972</v>
      </c>
      <c r="E395" s="360">
        <f t="shared" ca="1" si="183"/>
        <v>35.966042820117124</v>
      </c>
      <c r="F395" s="357">
        <f t="shared" ca="1" si="184"/>
        <v>37.622737021820747</v>
      </c>
      <c r="G395" s="359">
        <f t="shared" ca="1" si="185"/>
        <v>60.63687389895469</v>
      </c>
      <c r="H395" s="360">
        <f t="shared" ca="1" si="186"/>
        <v>251.29194340063896</v>
      </c>
      <c r="I395" s="357">
        <f t="shared" ca="1" si="187"/>
        <v>258.50429647165959</v>
      </c>
      <c r="J395" s="359">
        <f t="shared" ca="1" si="188"/>
        <v>124.81979017551082</v>
      </c>
      <c r="K395" s="360">
        <f t="shared" ca="1" si="189"/>
        <v>554.15137017701329</v>
      </c>
      <c r="L395" s="357">
        <f t="shared" ca="1" si="174"/>
        <v>568.03496467076729</v>
      </c>
      <c r="M395" s="359">
        <f t="shared" ca="1" si="190"/>
        <v>1.3340220298466214</v>
      </c>
      <c r="N395" s="357">
        <f t="shared" ca="1" si="191"/>
        <v>76.433832087686554</v>
      </c>
      <c r="O395" s="343"/>
      <c r="P395" s="363">
        <f t="shared" ca="1" si="192"/>
        <v>13</v>
      </c>
      <c r="Q395" s="357">
        <f t="shared" ca="1" si="193"/>
        <v>637.21000000000549</v>
      </c>
      <c r="R395" s="359">
        <f t="shared" ca="1" si="194"/>
        <v>0.31919904595538934</v>
      </c>
      <c r="S395" s="360">
        <f t="shared" ca="1" si="195"/>
        <v>9.7864249264748775</v>
      </c>
      <c r="T395" s="357">
        <f t="shared" ca="1" si="175"/>
        <v>96.004828528718548</v>
      </c>
      <c r="U395" s="364">
        <f t="shared" ca="1" si="176"/>
        <v>0</v>
      </c>
      <c r="V395" s="359">
        <f t="shared" ca="1" si="177"/>
        <v>1.1589466352814941</v>
      </c>
      <c r="W395" s="357">
        <f t="shared" ca="1" si="178"/>
        <v>176.84757663986417</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554.15137017701329</v>
      </c>
      <c r="AF395" s="344"/>
      <c r="AG395" s="359">
        <f t="shared" ca="1" si="201"/>
        <v>37.552351753393836</v>
      </c>
      <c r="AH395" s="357">
        <f t="shared" ca="1" si="202"/>
        <v>47.088854319719651</v>
      </c>
    </row>
    <row r="396" spans="1:34" x14ac:dyDescent="0.25">
      <c r="A396" s="402">
        <f t="shared" ca="1" si="180"/>
        <v>0.01</v>
      </c>
      <c r="B396" s="357">
        <f t="shared" ca="1" si="181"/>
        <v>3.9199999999999604</v>
      </c>
      <c r="C396" s="342"/>
      <c r="D396" s="359">
        <f t="shared" ca="1" si="182"/>
        <v>11.004806011653352</v>
      </c>
      <c r="E396" s="360">
        <f t="shared" ca="1" si="183"/>
        <v>35.79622788740231</v>
      </c>
      <c r="F396" s="357">
        <f t="shared" ca="1" si="184"/>
        <v>37.449642005244328</v>
      </c>
      <c r="G396" s="359">
        <f t="shared" ca="1" si="185"/>
        <v>60.746921959071223</v>
      </c>
      <c r="H396" s="360">
        <f t="shared" ca="1" si="186"/>
        <v>251.64990567951298</v>
      </c>
      <c r="I396" s="357">
        <f t="shared" ca="1" si="187"/>
        <v>258.87808628002733</v>
      </c>
      <c r="J396" s="359">
        <f t="shared" ca="1" si="188"/>
        <v>125.42670915480095</v>
      </c>
      <c r="K396" s="360">
        <f t="shared" ca="1" si="189"/>
        <v>556.6660794224141</v>
      </c>
      <c r="L396" s="357">
        <f t="shared" ca="1" si="174"/>
        <v>570.62157630861145</v>
      </c>
      <c r="M396" s="359">
        <f t="shared" ca="1" si="190"/>
        <v>1.3339331419240725</v>
      </c>
      <c r="N396" s="357">
        <f t="shared" ca="1" si="191"/>
        <v>76.428739184874814</v>
      </c>
      <c r="O396" s="343"/>
      <c r="P396" s="363">
        <f t="shared" ca="1" si="192"/>
        <v>13</v>
      </c>
      <c r="Q396" s="357">
        <f t="shared" ca="1" si="193"/>
        <v>635.8300000000055</v>
      </c>
      <c r="R396" s="359">
        <f t="shared" ca="1" si="194"/>
        <v>0.31850775943537485</v>
      </c>
      <c r="S396" s="360">
        <f t="shared" ca="1" si="195"/>
        <v>9.7832398488805232</v>
      </c>
      <c r="T396" s="357">
        <f t="shared" ca="1" si="175"/>
        <v>95.973582917517945</v>
      </c>
      <c r="U396" s="364">
        <f t="shared" ca="1" si="176"/>
        <v>0</v>
      </c>
      <c r="V396" s="359">
        <f t="shared" ca="1" si="177"/>
        <v>1.1586550056650413</v>
      </c>
      <c r="W396" s="357">
        <f t="shared" ca="1" si="178"/>
        <v>177.3147499258009</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556.6660794224141</v>
      </c>
      <c r="AF396" s="344"/>
      <c r="AG396" s="359">
        <f t="shared" ca="1" si="201"/>
        <v>37.378878566174592</v>
      </c>
      <c r="AH396" s="357">
        <f t="shared" ca="1" si="202"/>
        <v>46.915176408831655</v>
      </c>
    </row>
    <row r="397" spans="1:34" x14ac:dyDescent="0.25">
      <c r="A397" s="402">
        <f t="shared" ca="1" si="180"/>
        <v>0.01</v>
      </c>
      <c r="B397" s="357">
        <f t="shared" ca="1" si="181"/>
        <v>3.9299999999999602</v>
      </c>
      <c r="C397" s="342"/>
      <c r="D397" s="359">
        <f t="shared" ca="1" si="182"/>
        <v>10.968117772061756</v>
      </c>
      <c r="E397" s="360">
        <f t="shared" ca="1" si="183"/>
        <v>35.626471738943266</v>
      </c>
      <c r="F397" s="357">
        <f t="shared" ca="1" si="184"/>
        <v>37.276602527960357</v>
      </c>
      <c r="G397" s="359">
        <f t="shared" ca="1" si="185"/>
        <v>60.85660313679184</v>
      </c>
      <c r="H397" s="360">
        <f t="shared" ca="1" si="186"/>
        <v>252.00617039690241</v>
      </c>
      <c r="I397" s="357">
        <f t="shared" ca="1" si="187"/>
        <v>259.25014187741846</v>
      </c>
      <c r="J397" s="359">
        <f t="shared" ca="1" si="188"/>
        <v>126.03472678028027</v>
      </c>
      <c r="K397" s="360">
        <f t="shared" ca="1" si="189"/>
        <v>559.18435980279617</v>
      </c>
      <c r="L397" s="357">
        <f t="shared" ca="1" si="174"/>
        <v>573.21191596358403</v>
      </c>
      <c r="M397" s="359">
        <f t="shared" ca="1" si="190"/>
        <v>1.3338443488702201</v>
      </c>
      <c r="N397" s="357">
        <f t="shared" ca="1" si="191"/>
        <v>76.42365171763899</v>
      </c>
      <c r="O397" s="343"/>
      <c r="P397" s="363">
        <f t="shared" ca="1" si="192"/>
        <v>13</v>
      </c>
      <c r="Q397" s="357">
        <f t="shared" ca="1" si="193"/>
        <v>634.4500000000055</v>
      </c>
      <c r="R397" s="359">
        <f t="shared" ca="1" si="194"/>
        <v>0.31781647291536036</v>
      </c>
      <c r="S397" s="360">
        <f t="shared" ca="1" si="195"/>
        <v>9.7800616841513701</v>
      </c>
      <c r="T397" s="357">
        <f t="shared" ca="1" si="175"/>
        <v>95.942405121524942</v>
      </c>
      <c r="U397" s="364">
        <f t="shared" ca="1" si="176"/>
        <v>0</v>
      </c>
      <c r="V397" s="359">
        <f t="shared" ca="1" si="177"/>
        <v>1.1583630333995416</v>
      </c>
      <c r="W397" s="357">
        <f t="shared" ca="1" si="178"/>
        <v>177.77997372752486</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559.18435980279617</v>
      </c>
      <c r="AF397" s="344"/>
      <c r="AG397" s="359">
        <f t="shared" ca="1" si="201"/>
        <v>37.205457540031801</v>
      </c>
      <c r="AH397" s="357">
        <f t="shared" ca="1" si="202"/>
        <v>46.741550803814881</v>
      </c>
    </row>
    <row r="398" spans="1:34" x14ac:dyDescent="0.25">
      <c r="A398" s="402">
        <f t="shared" ca="1" si="180"/>
        <v>0.01</v>
      </c>
      <c r="B398" s="357">
        <f t="shared" ca="1" si="181"/>
        <v>3.93999999999996</v>
      </c>
      <c r="C398" s="342"/>
      <c r="D398" s="359">
        <f t="shared" ca="1" si="182"/>
        <v>10.931407726598712</v>
      </c>
      <c r="E398" s="360">
        <f t="shared" ca="1" si="183"/>
        <v>35.456775604203962</v>
      </c>
      <c r="F398" s="357">
        <f t="shared" ca="1" si="184"/>
        <v>37.103619919517492</v>
      </c>
      <c r="G398" s="359">
        <f t="shared" ca="1" si="185"/>
        <v>60.965917214057825</v>
      </c>
      <c r="H398" s="360">
        <f t="shared" ca="1" si="186"/>
        <v>252.36073815294444</v>
      </c>
      <c r="I398" s="357">
        <f t="shared" ca="1" si="187"/>
        <v>259.62046379831145</v>
      </c>
      <c r="J398" s="359">
        <f t="shared" ca="1" si="188"/>
        <v>126.64383938203451</v>
      </c>
      <c r="K398" s="360">
        <f t="shared" ca="1" si="189"/>
        <v>561.70619434554544</v>
      </c>
      <c r="L398" s="357">
        <f t="shared" ca="1" si="174"/>
        <v>575.80596629383604</v>
      </c>
      <c r="M398" s="359">
        <f t="shared" ca="1" si="190"/>
        <v>1.3337556498563992</v>
      </c>
      <c r="N398" s="357">
        <f t="shared" ca="1" si="191"/>
        <v>76.418569638500074</v>
      </c>
      <c r="O398" s="343"/>
      <c r="P398" s="363">
        <f t="shared" ca="1" si="192"/>
        <v>13</v>
      </c>
      <c r="Q398" s="357">
        <f t="shared" ca="1" si="193"/>
        <v>633.07000000000551</v>
      </c>
      <c r="R398" s="359">
        <f t="shared" ca="1" si="194"/>
        <v>0.31712518639534587</v>
      </c>
      <c r="S398" s="360">
        <f t="shared" ca="1" si="195"/>
        <v>9.7768904322874164</v>
      </c>
      <c r="T398" s="357">
        <f t="shared" ca="1" si="175"/>
        <v>95.911295140739554</v>
      </c>
      <c r="U398" s="364">
        <f t="shared" ca="1" si="176"/>
        <v>0</v>
      </c>
      <c r="V398" s="359">
        <f t="shared" ca="1" si="177"/>
        <v>1.1580707207301195</v>
      </c>
      <c r="W398" s="357">
        <f t="shared" ca="1" si="178"/>
        <v>178.24323967403831</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561.70619434554544</v>
      </c>
      <c r="AF398" s="344"/>
      <c r="AG398" s="359">
        <f t="shared" ca="1" si="201"/>
        <v>37.032089960904571</v>
      </c>
      <c r="AH398" s="357">
        <f t="shared" ca="1" si="202"/>
        <v>46.56797878893282</v>
      </c>
    </row>
    <row r="399" spans="1:34" x14ac:dyDescent="0.25">
      <c r="A399" s="402">
        <f t="shared" ca="1" si="180"/>
        <v>0.01</v>
      </c>
      <c r="B399" s="357">
        <f t="shared" ca="1" si="181"/>
        <v>3.9499999999999598</v>
      </c>
      <c r="C399" s="342"/>
      <c r="D399" s="359">
        <f t="shared" ca="1" si="182"/>
        <v>10.8946762756001</v>
      </c>
      <c r="E399" s="360">
        <f t="shared" ca="1" si="183"/>
        <v>35.28714070559154</v>
      </c>
      <c r="F399" s="357">
        <f t="shared" ca="1" si="184"/>
        <v>36.930695502878621</v>
      </c>
      <c r="G399" s="359">
        <f t="shared" ca="1" si="185"/>
        <v>61.074863976813823</v>
      </c>
      <c r="H399" s="360">
        <f t="shared" ca="1" si="186"/>
        <v>252.71360956000035</v>
      </c>
      <c r="I399" s="357">
        <f t="shared" ca="1" si="187"/>
        <v>259.98905258997081</v>
      </c>
      <c r="J399" s="359">
        <f t="shared" ca="1" si="188"/>
        <v>127.25404328798888</v>
      </c>
      <c r="K399" s="360">
        <f t="shared" ca="1" si="189"/>
        <v>564.23156608411011</v>
      </c>
      <c r="L399" s="357">
        <f t="shared" ca="1" si="174"/>
        <v>578.40370996291927</v>
      </c>
      <c r="M399" s="359">
        <f t="shared" ca="1" si="190"/>
        <v>1.3336670440592482</v>
      </c>
      <c r="N399" s="357">
        <f t="shared" ca="1" si="191"/>
        <v>76.413492900282932</v>
      </c>
      <c r="O399" s="343"/>
      <c r="P399" s="363">
        <f t="shared" ca="1" si="192"/>
        <v>13</v>
      </c>
      <c r="Q399" s="357">
        <f t="shared" ca="1" si="193"/>
        <v>631.69000000000551</v>
      </c>
      <c r="R399" s="359">
        <f t="shared" ca="1" si="194"/>
        <v>0.31643389987533138</v>
      </c>
      <c r="S399" s="360">
        <f t="shared" ca="1" si="195"/>
        <v>9.7737260932886638</v>
      </c>
      <c r="T399" s="357">
        <f t="shared" ca="1" si="175"/>
        <v>95.880252975161795</v>
      </c>
      <c r="U399" s="364">
        <f t="shared" ca="1" si="176"/>
        <v>0</v>
      </c>
      <c r="V399" s="359">
        <f t="shared" ca="1" si="177"/>
        <v>1.1577780698994873</v>
      </c>
      <c r="W399" s="357">
        <f t="shared" ca="1" si="178"/>
        <v>178.70453947986519</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564.23156608411011</v>
      </c>
      <c r="AF399" s="344"/>
      <c r="AG399" s="359">
        <f t="shared" ca="1" si="201"/>
        <v>36.858777107401224</v>
      </c>
      <c r="AH399" s="357">
        <f t="shared" ca="1" si="202"/>
        <v>46.394461641127435</v>
      </c>
    </row>
    <row r="400" spans="1:34" x14ac:dyDescent="0.25">
      <c r="A400" s="402">
        <f t="shared" ca="1" si="180"/>
        <v>0.01</v>
      </c>
      <c r="B400" s="357">
        <f t="shared" ca="1" si="181"/>
        <v>3.9599999999999596</v>
      </c>
      <c r="C400" s="342"/>
      <c r="D400" s="359">
        <f t="shared" ca="1" si="182"/>
        <v>10.857923817285506</v>
      </c>
      <c r="E400" s="360">
        <f t="shared" ca="1" si="183"/>
        <v>35.117568258447797</v>
      </c>
      <c r="F400" s="357">
        <f t="shared" ca="1" si="184"/>
        <v>36.757830594428668</v>
      </c>
      <c r="G400" s="359">
        <f t="shared" ca="1" si="185"/>
        <v>61.183443214986681</v>
      </c>
      <c r="H400" s="360">
        <f t="shared" ca="1" si="186"/>
        <v>253.06478524258483</v>
      </c>
      <c r="I400" s="357">
        <f t="shared" ca="1" si="187"/>
        <v>260.3559088123738</v>
      </c>
      <c r="J400" s="359">
        <f t="shared" ca="1" si="188"/>
        <v>127.86533482394788</v>
      </c>
      <c r="K400" s="360">
        <f t="shared" ca="1" si="189"/>
        <v>566.76045805812305</v>
      </c>
      <c r="L400" s="357">
        <f t="shared" ca="1" si="174"/>
        <v>581.00512963991446</v>
      </c>
      <c r="M400" s="359">
        <f t="shared" ca="1" si="190"/>
        <v>1.33357853066065</v>
      </c>
      <c r="N400" s="357">
        <f t="shared" ca="1" si="191"/>
        <v>76.408421456112904</v>
      </c>
      <c r="O400" s="343"/>
      <c r="P400" s="363">
        <f t="shared" ca="1" si="192"/>
        <v>13</v>
      </c>
      <c r="Q400" s="357">
        <f t="shared" ca="1" si="193"/>
        <v>630.31000000000563</v>
      </c>
      <c r="R400" s="359">
        <f t="shared" ca="1" si="194"/>
        <v>0.31574261335531695</v>
      </c>
      <c r="S400" s="360">
        <f t="shared" ca="1" si="195"/>
        <v>9.7705686671551106</v>
      </c>
      <c r="T400" s="357">
        <f t="shared" ca="1" si="175"/>
        <v>95.849278624791637</v>
      </c>
      <c r="U400" s="364">
        <f t="shared" ca="1" si="176"/>
        <v>0</v>
      </c>
      <c r="V400" s="359">
        <f t="shared" ca="1" si="177"/>
        <v>1.1574850831479218</v>
      </c>
      <c r="W400" s="357">
        <f t="shared" ca="1" si="178"/>
        <v>179.16386494492488</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566.76045805812305</v>
      </c>
      <c r="AF400" s="344"/>
      <c r="AG400" s="359">
        <f t="shared" ca="1" si="201"/>
        <v>36.685520250791065</v>
      </c>
      <c r="AH400" s="357">
        <f t="shared" ca="1" si="202"/>
        <v>46.221000630010835</v>
      </c>
    </row>
    <row r="401" spans="1:34" x14ac:dyDescent="0.25">
      <c r="A401" s="402">
        <f t="shared" ca="1" si="180"/>
        <v>0.01</v>
      </c>
      <c r="B401" s="357">
        <f t="shared" ca="1" si="181"/>
        <v>3.9699999999999593</v>
      </c>
      <c r="C401" s="342"/>
      <c r="D401" s="359">
        <f t="shared" ca="1" si="182"/>
        <v>10.821150747759647</v>
      </c>
      <c r="E401" s="360">
        <f t="shared" ca="1" si="183"/>
        <v>34.948059471040949</v>
      </c>
      <c r="F401" s="357">
        <f t="shared" ca="1" si="184"/>
        <v>36.585026503983215</v>
      </c>
      <c r="G401" s="359">
        <f t="shared" ca="1" si="185"/>
        <v>61.29165472246428</v>
      </c>
      <c r="H401" s="360">
        <f t="shared" ca="1" si="186"/>
        <v>253.41426583729523</v>
      </c>
      <c r="I401" s="357">
        <f t="shared" ca="1" si="187"/>
        <v>260.72103303813662</v>
      </c>
      <c r="J401" s="359">
        <f t="shared" ca="1" si="188"/>
        <v>128.47771031363513</v>
      </c>
      <c r="K401" s="360">
        <f t="shared" ca="1" si="189"/>
        <v>569.29285331352241</v>
      </c>
      <c r="L401" s="357">
        <f t="shared" ca="1" si="174"/>
        <v>583.61020799955691</v>
      </c>
      <c r="M401" s="359">
        <f t="shared" ca="1" si="190"/>
        <v>1.3334901088476767</v>
      </c>
      <c r="N401" s="357">
        <f t="shared" ca="1" si="191"/>
        <v>76.403355259412635</v>
      </c>
      <c r="O401" s="343"/>
      <c r="P401" s="363">
        <f t="shared" ca="1" si="192"/>
        <v>13</v>
      </c>
      <c r="Q401" s="357">
        <f t="shared" ca="1" si="193"/>
        <v>628.93000000000563</v>
      </c>
      <c r="R401" s="359">
        <f t="shared" ca="1" si="194"/>
        <v>0.31505132683530246</v>
      </c>
      <c r="S401" s="360">
        <f t="shared" ca="1" si="195"/>
        <v>9.7674181538867568</v>
      </c>
      <c r="T401" s="357">
        <f t="shared" ca="1" si="175"/>
        <v>95.818372089629094</v>
      </c>
      <c r="U401" s="364">
        <f t="shared" ca="1" si="176"/>
        <v>0</v>
      </c>
      <c r="V401" s="359">
        <f t="shared" ca="1" si="177"/>
        <v>1.1571917627132502</v>
      </c>
      <c r="W401" s="357">
        <f t="shared" ca="1" si="178"/>
        <v>179.62120795440242</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569.29285331352241</v>
      </c>
      <c r="AF401" s="344"/>
      <c r="AG401" s="359">
        <f t="shared" ca="1" si="201"/>
        <v>36.512320654996515</v>
      </c>
      <c r="AH401" s="357">
        <f t="shared" ca="1" si="202"/>
        <v>46.047597017857271</v>
      </c>
    </row>
    <row r="402" spans="1:34" x14ac:dyDescent="0.25">
      <c r="A402" s="402">
        <f t="shared" ca="1" si="180"/>
        <v>0.01</v>
      </c>
      <c r="B402" s="357">
        <f t="shared" ca="1" si="181"/>
        <v>3.9799999999999591</v>
      </c>
      <c r="C402" s="342"/>
      <c r="D402" s="359">
        <f t="shared" ca="1" si="182"/>
        <v>10.784357461013734</v>
      </c>
      <c r="E402" s="360">
        <f t="shared" ca="1" si="183"/>
        <v>34.778615544557994</v>
      </c>
      <c r="F402" s="357">
        <f t="shared" ca="1" si="184"/>
        <v>36.412284534798054</v>
      </c>
      <c r="G402" s="359">
        <f t="shared" ca="1" si="185"/>
        <v>61.399498297074416</v>
      </c>
      <c r="H402" s="360">
        <f t="shared" ca="1" si="186"/>
        <v>253.76205199274082</v>
      </c>
      <c r="I402" s="357">
        <f t="shared" ca="1" si="187"/>
        <v>261.08442585244137</v>
      </c>
      <c r="J402" s="359">
        <f t="shared" ca="1" si="188"/>
        <v>129.09116607873281</v>
      </c>
      <c r="K402" s="360">
        <f t="shared" ca="1" si="189"/>
        <v>571.82873490267264</v>
      </c>
      <c r="L402" s="357">
        <f t="shared" ca="1" si="174"/>
        <v>586.21892772236379</v>
      </c>
      <c r="M402" s="359">
        <f t="shared" ca="1" si="190"/>
        <v>1.3334017778125327</v>
      </c>
      <c r="N402" s="357">
        <f t="shared" ca="1" si="191"/>
        <v>76.398294263898862</v>
      </c>
      <c r="O402" s="343"/>
      <c r="P402" s="363">
        <f t="shared" ca="1" si="192"/>
        <v>13</v>
      </c>
      <c r="Q402" s="357">
        <f t="shared" ca="1" si="193"/>
        <v>627.55000000000564</v>
      </c>
      <c r="R402" s="359">
        <f t="shared" ca="1" si="194"/>
        <v>0.31436004031528797</v>
      </c>
      <c r="S402" s="360">
        <f t="shared" ca="1" si="195"/>
        <v>9.7642745534836042</v>
      </c>
      <c r="T402" s="357">
        <f t="shared" ca="1" si="175"/>
        <v>95.787533369674165</v>
      </c>
      <c r="U402" s="364">
        <f t="shared" ca="1" si="176"/>
        <v>0</v>
      </c>
      <c r="V402" s="359">
        <f t="shared" ca="1" si="177"/>
        <v>1.1568981108308272</v>
      </c>
      <c r="W402" s="357">
        <f t="shared" ca="1" si="178"/>
        <v>180.07656047861605</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571.82873490267264</v>
      </c>
      <c r="AF402" s="344"/>
      <c r="AG402" s="359">
        <f t="shared" ca="1" si="201"/>
        <v>36.339179576585757</v>
      </c>
      <c r="AH402" s="357">
        <f t="shared" ca="1" si="202"/>
        <v>45.874252059595712</v>
      </c>
    </row>
    <row r="403" spans="1:34" x14ac:dyDescent="0.25">
      <c r="A403" s="402">
        <f t="shared" ca="1" si="180"/>
        <v>0.01</v>
      </c>
      <c r="B403" s="357">
        <f t="shared" ca="1" si="181"/>
        <v>3.9899999999999589</v>
      </c>
      <c r="C403" s="342"/>
      <c r="D403" s="359">
        <f t="shared" ca="1" si="182"/>
        <v>10.747544348926915</v>
      </c>
      <c r="E403" s="360">
        <f t="shared" ca="1" si="183"/>
        <v>34.609237673097283</v>
      </c>
      <c r="F403" s="357">
        <f t="shared" ca="1" si="184"/>
        <v>36.239605983579445</v>
      </c>
      <c r="G403" s="359">
        <f t="shared" ca="1" si="185"/>
        <v>61.506973740563687</v>
      </c>
      <c r="H403" s="360">
        <f t="shared" ca="1" si="186"/>
        <v>254.1081443694718</v>
      </c>
      <c r="I403" s="357">
        <f t="shared" ca="1" si="187"/>
        <v>261.44608785296197</v>
      </c>
      <c r="J403" s="359">
        <f t="shared" ca="1" si="188"/>
        <v>129.70569843892099</v>
      </c>
      <c r="K403" s="360">
        <f t="shared" ca="1" si="189"/>
        <v>574.36808588448366</v>
      </c>
      <c r="L403" s="357">
        <f t="shared" ca="1" si="174"/>
        <v>588.83127149475843</v>
      </c>
      <c r="M403" s="359">
        <f t="shared" ca="1" si="190"/>
        <v>1.3333135367524991</v>
      </c>
      <c r="N403" s="357">
        <f t="shared" ca="1" si="191"/>
        <v>76.393238423579177</v>
      </c>
      <c r="O403" s="343"/>
      <c r="P403" s="363">
        <f t="shared" ca="1" si="192"/>
        <v>13</v>
      </c>
      <c r="Q403" s="357">
        <f t="shared" ca="1" si="193"/>
        <v>626.17000000000564</v>
      </c>
      <c r="R403" s="359">
        <f t="shared" ca="1" si="194"/>
        <v>0.31366875379527348</v>
      </c>
      <c r="S403" s="360">
        <f t="shared" ca="1" si="195"/>
        <v>9.7611378659456509</v>
      </c>
      <c r="T403" s="357">
        <f t="shared" ca="1" si="175"/>
        <v>95.756762464926837</v>
      </c>
      <c r="U403" s="364">
        <f t="shared" ca="1" si="176"/>
        <v>0</v>
      </c>
      <c r="V403" s="359">
        <f t="shared" ca="1" si="177"/>
        <v>1.1566041297335192</v>
      </c>
      <c r="W403" s="357">
        <f t="shared" ca="1" si="178"/>
        <v>180.52991457288064</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574.36808588448366</v>
      </c>
      <c r="AF403" s="344"/>
      <c r="AG403" s="359">
        <f t="shared" ca="1" si="201"/>
        <v>36.166098264765623</v>
      </c>
      <c r="AH403" s="357">
        <f t="shared" ca="1" si="202"/>
        <v>45.700967002802642</v>
      </c>
    </row>
    <row r="404" spans="1:34" x14ac:dyDescent="0.25">
      <c r="A404" s="402">
        <f t="shared" ca="1" si="180"/>
        <v>0.01</v>
      </c>
      <c r="B404" s="357">
        <f t="shared" ca="1" si="181"/>
        <v>3.9999999999999587</v>
      </c>
      <c r="C404" s="342"/>
      <c r="D404" s="359">
        <f t="shared" ca="1" si="182"/>
        <v>10.710711801267763</v>
      </c>
      <c r="E404" s="360">
        <f t="shared" ca="1" si="183"/>
        <v>34.439927043661605</v>
      </c>
      <c r="F404" s="357">
        <f t="shared" ca="1" si="184"/>
        <v>36.066992140495316</v>
      </c>
      <c r="G404" s="359">
        <f t="shared" ca="1" si="185"/>
        <v>61.614080858576365</v>
      </c>
      <c r="H404" s="360">
        <f t="shared" ca="1" si="186"/>
        <v>254.45254363990841</v>
      </c>
      <c r="I404" s="357">
        <f t="shared" ca="1" si="187"/>
        <v>261.80601964979087</v>
      </c>
      <c r="J404" s="359">
        <f t="shared" ca="1" si="188"/>
        <v>130.3213037119167</v>
      </c>
      <c r="K404" s="360">
        <f t="shared" ca="1" si="189"/>
        <v>576.91088932453056</v>
      </c>
      <c r="L404" s="357">
        <f t="shared" ca="1" si="174"/>
        <v>591.44722200919534</v>
      </c>
      <c r="M404" s="359">
        <f t="shared" ca="1" si="190"/>
        <v>1.3332253848698801</v>
      </c>
      <c r="N404" s="357">
        <f t="shared" ca="1" si="191"/>
        <v>76.388187692748971</v>
      </c>
      <c r="O404" s="343"/>
      <c r="P404" s="363">
        <f t="shared" ca="1" si="192"/>
        <v>13</v>
      </c>
      <c r="Q404" s="357">
        <f t="shared" ca="1" si="193"/>
        <v>624.79000000000565</v>
      </c>
      <c r="R404" s="359">
        <f t="shared" ca="1" si="194"/>
        <v>0.31297746727525899</v>
      </c>
      <c r="S404" s="360">
        <f t="shared" ca="1" si="195"/>
        <v>9.7580080912728988</v>
      </c>
      <c r="T404" s="357">
        <f t="shared" ca="1" si="175"/>
        <v>95.726059375387138</v>
      </c>
      <c r="U404" s="364">
        <f t="shared" ca="1" si="176"/>
        <v>0</v>
      </c>
      <c r="V404" s="359">
        <f t="shared" ca="1" si="177"/>
        <v>1.1563098216516843</v>
      </c>
      <c r="W404" s="357">
        <f t="shared" ca="1" si="178"/>
        <v>180.98126237736889</v>
      </c>
      <c r="X404" s="343"/>
      <c r="Y404" s="367" t="str">
        <f t="shared" ca="1" si="196"/>
        <v/>
      </c>
      <c r="Z404" s="368" t="str">
        <f t="shared" ca="1" si="197"/>
        <v/>
      </c>
      <c r="AA404" s="369" t="str">
        <f t="shared" ca="1" si="198"/>
        <v/>
      </c>
      <c r="AB404" s="344"/>
      <c r="AC404" s="363">
        <f t="shared" ca="1" si="199"/>
        <v>3.9999999999999587</v>
      </c>
      <c r="AD404" s="376">
        <f t="shared" ca="1" si="200"/>
        <v>130.3213037119167</v>
      </c>
      <c r="AE404" s="377">
        <f t="shared" ca="1" si="179"/>
        <v>576.91088932453056</v>
      </c>
      <c r="AF404" s="344"/>
      <c r="AG404" s="359">
        <f t="shared" ca="1" si="201"/>
        <v>35.993077961375022</v>
      </c>
      <c r="AH404" s="357">
        <f t="shared" ca="1" si="202"/>
        <v>45.527743087695349</v>
      </c>
    </row>
    <row r="405" spans="1:34" x14ac:dyDescent="0.25">
      <c r="A405" s="402">
        <f t="shared" ca="1" si="180"/>
        <v>0.01</v>
      </c>
      <c r="B405" s="357">
        <f t="shared" ca="1" si="181"/>
        <v>4.0099999999999589</v>
      </c>
      <c r="C405" s="342"/>
      <c r="D405" s="359">
        <f t="shared" ca="1" si="182"/>
        <v>10.663001220171619</v>
      </c>
      <c r="E405" s="360">
        <f t="shared" ca="1" si="183"/>
        <v>34.225839624643989</v>
      </c>
      <c r="F405" s="357">
        <f t="shared" ca="1" si="184"/>
        <v>35.848398751314292</v>
      </c>
      <c r="G405" s="359">
        <f t="shared" ca="1" si="185"/>
        <v>61.720710870778085</v>
      </c>
      <c r="H405" s="360">
        <f t="shared" ca="1" si="186"/>
        <v>254.79480203615486</v>
      </c>
      <c r="I405" s="357">
        <f t="shared" ca="1" si="187"/>
        <v>262.16376045334249</v>
      </c>
      <c r="J405" s="359">
        <f t="shared" ca="1" si="188"/>
        <v>130.93797767056347</v>
      </c>
      <c r="K405" s="360">
        <f t="shared" ca="1" si="189"/>
        <v>579.45712605291089</v>
      </c>
      <c r="L405" s="357">
        <f t="shared" ca="1" si="174"/>
        <v>594.06675965749514</v>
      </c>
      <c r="M405" s="359">
        <f t="shared" ca="1" si="190"/>
        <v>1.3331373212169546</v>
      </c>
      <c r="N405" s="357">
        <f t="shared" ca="1" si="191"/>
        <v>76.383142017107829</v>
      </c>
      <c r="O405" s="343"/>
      <c r="P405" s="363">
        <f t="shared" ca="1" si="192"/>
        <v>14</v>
      </c>
      <c r="Q405" s="357">
        <f t="shared" ca="1" si="193"/>
        <v>622.96000000000936</v>
      </c>
      <c r="R405" s="359">
        <f t="shared" ca="1" si="194"/>
        <v>0.31206076123785031</v>
      </c>
      <c r="S405" s="360">
        <f t="shared" ca="1" si="195"/>
        <v>9.7548874836605197</v>
      </c>
      <c r="T405" s="357">
        <f t="shared" ca="1" si="175"/>
        <v>95.695446214709705</v>
      </c>
      <c r="U405" s="364">
        <f t="shared" ca="1" si="176"/>
        <v>0</v>
      </c>
      <c r="V405" s="359">
        <f t="shared" ca="1" si="177"/>
        <v>1.1560151890725836</v>
      </c>
      <c r="W405" s="357">
        <f t="shared" ca="1" si="178"/>
        <v>181.42995751840661</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579.45712605291089</v>
      </c>
      <c r="AF405" s="344"/>
      <c r="AG405" s="359">
        <f t="shared" ca="1" si="201"/>
        <v>35.773978698447642</v>
      </c>
      <c r="AH405" s="357">
        <f t="shared" ca="1" si="202"/>
        <v>45.308440344694574</v>
      </c>
    </row>
    <row r="406" spans="1:34" x14ac:dyDescent="0.25">
      <c r="A406" s="402">
        <f t="shared" ca="1" si="180"/>
        <v>0.01</v>
      </c>
      <c r="B406" s="357">
        <f t="shared" ca="1" si="181"/>
        <v>4.0199999999999587</v>
      </c>
      <c r="C406" s="342"/>
      <c r="D406" s="359">
        <f t="shared" ca="1" si="182"/>
        <v>10.60440374657586</v>
      </c>
      <c r="E406" s="360">
        <f t="shared" ca="1" si="183"/>
        <v>33.96699017396611</v>
      </c>
      <c r="F406" s="357">
        <f t="shared" ca="1" si="184"/>
        <v>35.583841842874449</v>
      </c>
      <c r="G406" s="359">
        <f t="shared" ca="1" si="185"/>
        <v>61.826754908243842</v>
      </c>
      <c r="H406" s="360">
        <f t="shared" ca="1" si="186"/>
        <v>255.13447193789452</v>
      </c>
      <c r="I406" s="357">
        <f t="shared" ca="1" si="187"/>
        <v>262.51884959658105</v>
      </c>
      <c r="J406" s="359">
        <f t="shared" ca="1" si="188"/>
        <v>131.55571499945859</v>
      </c>
      <c r="K406" s="360">
        <f t="shared" ca="1" si="189"/>
        <v>582.00677242278118</v>
      </c>
      <c r="L406" s="357">
        <f t="shared" ca="1" si="174"/>
        <v>596.68986022472495</v>
      </c>
      <c r="M406" s="359">
        <f t="shared" ca="1" si="190"/>
        <v>1.3330493446973586</v>
      </c>
      <c r="N406" s="357">
        <f t="shared" ca="1" si="191"/>
        <v>76.378101333838728</v>
      </c>
      <c r="O406" s="343"/>
      <c r="P406" s="363">
        <f t="shared" ca="1" si="192"/>
        <v>14</v>
      </c>
      <c r="Q406" s="357">
        <f t="shared" ca="1" si="193"/>
        <v>620.68000000000939</v>
      </c>
      <c r="R406" s="359">
        <f t="shared" ca="1" si="194"/>
        <v>0.31091863568304379</v>
      </c>
      <c r="S406" s="360">
        <f t="shared" ca="1" si="195"/>
        <v>9.7517782973036891</v>
      </c>
      <c r="T406" s="357">
        <f t="shared" ca="1" si="175"/>
        <v>95.664945096549189</v>
      </c>
      <c r="U406" s="364">
        <f t="shared" ca="1" si="176"/>
        <v>0</v>
      </c>
      <c r="V406" s="359">
        <f t="shared" ca="1" si="177"/>
        <v>1.1557202349993221</v>
      </c>
      <c r="W406" s="357">
        <f t="shared" ca="1" si="178"/>
        <v>181.87535112761529</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582.00677242278118</v>
      </c>
      <c r="AF406" s="344"/>
      <c r="AG406" s="359">
        <f t="shared" ca="1" si="201"/>
        <v>35.50881273079645</v>
      </c>
      <c r="AH406" s="357">
        <f t="shared" ca="1" si="202"/>
        <v>45.0430710266509</v>
      </c>
    </row>
    <row r="407" spans="1:34" x14ac:dyDescent="0.25">
      <c r="A407" s="402">
        <f t="shared" ca="1" si="180"/>
        <v>0.01</v>
      </c>
      <c r="B407" s="357">
        <f t="shared" ca="1" si="181"/>
        <v>4.0299999999999585</v>
      </c>
      <c r="C407" s="342"/>
      <c r="D407" s="359">
        <f t="shared" ca="1" si="182"/>
        <v>10.545784513286687</v>
      </c>
      <c r="E407" s="360">
        <f t="shared" ca="1" si="183"/>
        <v>33.708265950740795</v>
      </c>
      <c r="F407" s="357">
        <f t="shared" ca="1" si="184"/>
        <v>35.31941058973873</v>
      </c>
      <c r="G407" s="359">
        <f t="shared" ca="1" si="185"/>
        <v>61.93221275337671</v>
      </c>
      <c r="H407" s="360">
        <f t="shared" ca="1" si="186"/>
        <v>255.47155459740193</v>
      </c>
      <c r="I407" s="357">
        <f t="shared" ca="1" si="187"/>
        <v>262.87128824758105</v>
      </c>
      <c r="J407" s="359">
        <f t="shared" ca="1" si="188"/>
        <v>132.17450983776669</v>
      </c>
      <c r="K407" s="360">
        <f t="shared" ca="1" si="189"/>
        <v>584.55980255545762</v>
      </c>
      <c r="L407" s="357">
        <f t="shared" ca="1" si="174"/>
        <v>599.31649719870848</v>
      </c>
      <c r="M407" s="359">
        <f t="shared" ca="1" si="190"/>
        <v>1.3329614542217991</v>
      </c>
      <c r="N407" s="357">
        <f t="shared" ca="1" si="191"/>
        <v>76.373065580529783</v>
      </c>
      <c r="O407" s="343"/>
      <c r="P407" s="363">
        <f t="shared" ca="1" si="192"/>
        <v>14</v>
      </c>
      <c r="Q407" s="357">
        <f t="shared" ca="1" si="193"/>
        <v>618.40000000000941</v>
      </c>
      <c r="R407" s="359">
        <f t="shared" ca="1" si="194"/>
        <v>0.30977651012823726</v>
      </c>
      <c r="S407" s="360">
        <f t="shared" ca="1" si="195"/>
        <v>9.7486805322024068</v>
      </c>
      <c r="T407" s="357">
        <f t="shared" ca="1" si="175"/>
        <v>95.63455602090562</v>
      </c>
      <c r="U407" s="364">
        <f t="shared" ca="1" si="176"/>
        <v>0</v>
      </c>
      <c r="V407" s="359">
        <f t="shared" ca="1" si="177"/>
        <v>1.1554249626905759</v>
      </c>
      <c r="W407" s="357">
        <f t="shared" ca="1" si="178"/>
        <v>182.31743231948971</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584.55980255545762</v>
      </c>
      <c r="AF407" s="344"/>
      <c r="AG407" s="359">
        <f t="shared" ca="1" si="201"/>
        <v>35.243763569436993</v>
      </c>
      <c r="AH407" s="357">
        <f t="shared" ca="1" si="202"/>
        <v>44.777818642270674</v>
      </c>
    </row>
    <row r="408" spans="1:34" x14ac:dyDescent="0.25">
      <c r="A408" s="402">
        <f t="shared" ca="1" si="180"/>
        <v>0.01</v>
      </c>
      <c r="B408" s="357">
        <f t="shared" ca="1" si="181"/>
        <v>4.0399999999999583</v>
      </c>
      <c r="C408" s="342"/>
      <c r="D408" s="359">
        <f t="shared" ca="1" si="182"/>
        <v>10.487144175614105</v>
      </c>
      <c r="E408" s="360">
        <f t="shared" ca="1" si="183"/>
        <v>33.449669027167914</v>
      </c>
      <c r="F408" s="357">
        <f t="shared" ca="1" si="184"/>
        <v>35.05510734525275</v>
      </c>
      <c r="G408" s="359">
        <f t="shared" ca="1" si="185"/>
        <v>62.037084195132849</v>
      </c>
      <c r="H408" s="360">
        <f t="shared" ca="1" si="186"/>
        <v>255.80605128767363</v>
      </c>
      <c r="I408" s="357">
        <f t="shared" ca="1" si="187"/>
        <v>263.22107759605029</v>
      </c>
      <c r="J408" s="359">
        <f t="shared" ca="1" si="188"/>
        <v>132.79435632250923</v>
      </c>
      <c r="K408" s="360">
        <f t="shared" ca="1" si="189"/>
        <v>587.11619058488304</v>
      </c>
      <c r="L408" s="357">
        <f t="shared" ca="1" si="174"/>
        <v>601.94664407903645</v>
      </c>
      <c r="M408" s="359">
        <f t="shared" ca="1" si="190"/>
        <v>1.3328736487079582</v>
      </c>
      <c r="N408" s="357">
        <f t="shared" ca="1" si="191"/>
        <v>76.368034695168717</v>
      </c>
      <c r="O408" s="343"/>
      <c r="P408" s="363">
        <f t="shared" ca="1" si="192"/>
        <v>14</v>
      </c>
      <c r="Q408" s="357">
        <f t="shared" ca="1" si="193"/>
        <v>616.12000000000944</v>
      </c>
      <c r="R408" s="359">
        <f t="shared" ca="1" si="194"/>
        <v>0.30863438457343073</v>
      </c>
      <c r="S408" s="360">
        <f t="shared" ca="1" si="195"/>
        <v>9.745594188356673</v>
      </c>
      <c r="T408" s="357">
        <f t="shared" ca="1" si="175"/>
        <v>95.604278987778969</v>
      </c>
      <c r="U408" s="364">
        <f t="shared" ca="1" si="176"/>
        <v>0</v>
      </c>
      <c r="V408" s="359">
        <f t="shared" ca="1" si="177"/>
        <v>1.1551293754007761</v>
      </c>
      <c r="W408" s="357">
        <f t="shared" ca="1" si="178"/>
        <v>182.75619038187298</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587.11619058488304</v>
      </c>
      <c r="AF408" s="344"/>
      <c r="AG408" s="359">
        <f t="shared" ca="1" si="201"/>
        <v>34.978833377719539</v>
      </c>
      <c r="AH408" s="357">
        <f t="shared" ca="1" si="202"/>
        <v>44.512685352607384</v>
      </c>
    </row>
    <row r="409" spans="1:34" x14ac:dyDescent="0.25">
      <c r="A409" s="402">
        <f t="shared" ca="1" si="180"/>
        <v>0.01</v>
      </c>
      <c r="B409" s="357">
        <f t="shared" ca="1" si="181"/>
        <v>4.0499999999999581</v>
      </c>
      <c r="C409" s="342"/>
      <c r="D409" s="359">
        <f t="shared" ca="1" si="182"/>
        <v>10.428483384369443</v>
      </c>
      <c r="E409" s="360">
        <f t="shared" ca="1" si="183"/>
        <v>33.191201460141393</v>
      </c>
      <c r="F409" s="357">
        <f t="shared" ca="1" si="184"/>
        <v>34.790934452321942</v>
      </c>
      <c r="G409" s="359">
        <f t="shared" ca="1" si="185"/>
        <v>62.141369028976541</v>
      </c>
      <c r="H409" s="360">
        <f t="shared" ca="1" si="186"/>
        <v>256.13796330227501</v>
      </c>
      <c r="I409" s="357">
        <f t="shared" ca="1" si="187"/>
        <v>263.56821885317095</v>
      </c>
      <c r="J409" s="359">
        <f t="shared" ca="1" si="188"/>
        <v>133.41524858862977</v>
      </c>
      <c r="K409" s="360">
        <f t="shared" ca="1" si="189"/>
        <v>589.67591065783279</v>
      </c>
      <c r="L409" s="357">
        <f t="shared" ca="1" si="174"/>
        <v>604.58027437728265</v>
      </c>
      <c r="M409" s="359">
        <f t="shared" ca="1" si="190"/>
        <v>1.3327859270803992</v>
      </c>
      <c r="N409" s="357">
        <f t="shared" ca="1" si="191"/>
        <v>76.363008616137563</v>
      </c>
      <c r="O409" s="343"/>
      <c r="P409" s="363">
        <f t="shared" ca="1" si="192"/>
        <v>14</v>
      </c>
      <c r="Q409" s="357">
        <f t="shared" ca="1" si="193"/>
        <v>613.84000000000947</v>
      </c>
      <c r="R409" s="359">
        <f t="shared" ca="1" si="194"/>
        <v>0.3074922590186242</v>
      </c>
      <c r="S409" s="360">
        <f t="shared" ca="1" si="195"/>
        <v>9.7425192657664876</v>
      </c>
      <c r="T409" s="357">
        <f t="shared" ca="1" si="175"/>
        <v>95.574113997169249</v>
      </c>
      <c r="U409" s="364">
        <f t="shared" ca="1" si="176"/>
        <v>0</v>
      </c>
      <c r="V409" s="359">
        <f t="shared" ca="1" si="177"/>
        <v>1.1548334763800792</v>
      </c>
      <c r="W409" s="357">
        <f t="shared" ca="1" si="178"/>
        <v>183.19161477551592</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589.67591065783279</v>
      </c>
      <c r="AF409" s="344"/>
      <c r="AG409" s="359">
        <f t="shared" ca="1" si="201"/>
        <v>34.714024303094867</v>
      </c>
      <c r="AH409" s="357">
        <f t="shared" ca="1" si="202"/>
        <v>44.247673302827302</v>
      </c>
    </row>
    <row r="410" spans="1:34" x14ac:dyDescent="0.25">
      <c r="A410" s="402">
        <f t="shared" ca="1" si="180"/>
        <v>0.01</v>
      </c>
      <c r="B410" s="357">
        <f t="shared" ca="1" si="181"/>
        <v>4.0599999999999579</v>
      </c>
      <c r="C410" s="342"/>
      <c r="D410" s="359">
        <f t="shared" ca="1" si="182"/>
        <v>10.369802785869982</v>
      </c>
      <c r="E410" s="360">
        <f t="shared" ca="1" si="183"/>
        <v>32.932865291243488</v>
      </c>
      <c r="F410" s="357">
        <f t="shared" ca="1" si="184"/>
        <v>34.526894243604168</v>
      </c>
      <c r="G410" s="359">
        <f t="shared" ca="1" si="185"/>
        <v>62.245067056835239</v>
      </c>
      <c r="H410" s="360">
        <f t="shared" ca="1" si="186"/>
        <v>256.46729195518742</v>
      </c>
      <c r="I410" s="357">
        <f t="shared" ca="1" si="187"/>
        <v>263.91271325144089</v>
      </c>
      <c r="J410" s="359">
        <f t="shared" ca="1" si="188"/>
        <v>134.03718076905884</v>
      </c>
      <c r="K410" s="360">
        <f t="shared" ca="1" si="189"/>
        <v>592.23893693412015</v>
      </c>
      <c r="L410" s="357">
        <f t="shared" ca="1" si="174"/>
        <v>607.21736161721697</v>
      </c>
      <c r="M410" s="359">
        <f t="shared" ca="1" si="190"/>
        <v>1.3326982882704732</v>
      </c>
      <c r="N410" s="357">
        <f t="shared" ca="1" si="191"/>
        <v>76.357987282207262</v>
      </c>
      <c r="O410" s="343"/>
      <c r="P410" s="363">
        <f t="shared" ca="1" si="192"/>
        <v>14</v>
      </c>
      <c r="Q410" s="357">
        <f t="shared" ca="1" si="193"/>
        <v>611.5600000000095</v>
      </c>
      <c r="R410" s="359">
        <f t="shared" ca="1" si="194"/>
        <v>0.30635013346381768</v>
      </c>
      <c r="S410" s="360">
        <f t="shared" ca="1" si="195"/>
        <v>9.7394557644318489</v>
      </c>
      <c r="T410" s="357">
        <f t="shared" ca="1" si="175"/>
        <v>95.544061049076447</v>
      </c>
      <c r="U410" s="364">
        <f t="shared" ca="1" si="176"/>
        <v>0</v>
      </c>
      <c r="V410" s="359">
        <f t="shared" ca="1" si="177"/>
        <v>1.1545372688743369</v>
      </c>
      <c r="W410" s="357">
        <f t="shared" ca="1" si="178"/>
        <v>183.62369513363001</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592.23893693412015</v>
      </c>
      <c r="AF410" s="344"/>
      <c r="AG410" s="359">
        <f t="shared" ca="1" si="201"/>
        <v>34.44933847710945</v>
      </c>
      <c r="AH410" s="357">
        <f t="shared" ca="1" si="202"/>
        <v>43.982784622204449</v>
      </c>
    </row>
    <row r="411" spans="1:34" x14ac:dyDescent="0.25">
      <c r="A411" s="402">
        <f t="shared" ca="1" si="180"/>
        <v>0.01</v>
      </c>
      <c r="B411" s="357">
        <f t="shared" ca="1" si="181"/>
        <v>4.0699999999999577</v>
      </c>
      <c r="C411" s="342"/>
      <c r="D411" s="359">
        <f t="shared" ca="1" si="182"/>
        <v>10.311103021943666</v>
      </c>
      <c r="E411" s="360">
        <f t="shared" ca="1" si="183"/>
        <v>32.674662546739881</v>
      </c>
      <c r="F411" s="357">
        <f t="shared" ca="1" si="184"/>
        <v>34.262989041711783</v>
      </c>
      <c r="G411" s="359">
        <f t="shared" ca="1" si="185"/>
        <v>62.348178087054677</v>
      </c>
      <c r="H411" s="360">
        <f t="shared" ca="1" si="186"/>
        <v>256.79403858065484</v>
      </c>
      <c r="I411" s="357">
        <f t="shared" ca="1" si="187"/>
        <v>264.25456204451405</v>
      </c>
      <c r="J411" s="359">
        <f t="shared" ca="1" si="188"/>
        <v>134.66014699477827</v>
      </c>
      <c r="K411" s="360">
        <f t="shared" ca="1" si="189"/>
        <v>594.80524358679941</v>
      </c>
      <c r="L411" s="357">
        <f t="shared" ca="1" si="174"/>
        <v>609.85787933501945</v>
      </c>
      <c r="M411" s="359">
        <f t="shared" ca="1" si="190"/>
        <v>1.3326107312162279</v>
      </c>
      <c r="N411" s="357">
        <f t="shared" ca="1" si="191"/>
        <v>76.352970632532404</v>
      </c>
      <c r="O411" s="343"/>
      <c r="P411" s="363">
        <f t="shared" ca="1" si="192"/>
        <v>14</v>
      </c>
      <c r="Q411" s="357">
        <f t="shared" ca="1" si="193"/>
        <v>609.28000000000952</v>
      </c>
      <c r="R411" s="359">
        <f t="shared" ca="1" si="194"/>
        <v>0.30520800790901115</v>
      </c>
      <c r="S411" s="360">
        <f t="shared" ca="1" si="195"/>
        <v>9.7364036843527586</v>
      </c>
      <c r="T411" s="357">
        <f t="shared" ca="1" si="175"/>
        <v>95.514120143500563</v>
      </c>
      <c r="U411" s="364">
        <f t="shared" ca="1" si="176"/>
        <v>0</v>
      </c>
      <c r="V411" s="359">
        <f t="shared" ca="1" si="177"/>
        <v>1.1542407561250692</v>
      </c>
      <c r="W411" s="357">
        <f t="shared" ca="1" si="178"/>
        <v>184.05242126143187</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594.80524358679941</v>
      </c>
      <c r="AF411" s="344"/>
      <c r="AG411" s="359">
        <f t="shared" ca="1" si="201"/>
        <v>34.184778015401378</v>
      </c>
      <c r="AH411" s="357">
        <f t="shared" ca="1" si="202"/>
        <v>43.718021424116372</v>
      </c>
    </row>
    <row r="412" spans="1:34" x14ac:dyDescent="0.25">
      <c r="A412" s="402">
        <f t="shared" ca="1" si="180"/>
        <v>0.01</v>
      </c>
      <c r="B412" s="357">
        <f t="shared" ca="1" si="181"/>
        <v>4.0799999999999574</v>
      </c>
      <c r="C412" s="342"/>
      <c r="D412" s="359">
        <f t="shared" ca="1" si="182"/>
        <v>10.252384729933919</v>
      </c>
      <c r="E412" s="360">
        <f t="shared" ca="1" si="183"/>
        <v>32.416595237576068</v>
      </c>
      <c r="F412" s="357">
        <f t="shared" ca="1" si="184"/>
        <v>33.999221159423961</v>
      </c>
      <c r="G412" s="359">
        <f t="shared" ca="1" si="185"/>
        <v>62.450701934354015</v>
      </c>
      <c r="H412" s="360">
        <f t="shared" ca="1" si="186"/>
        <v>257.11820453303062</v>
      </c>
      <c r="I412" s="357">
        <f t="shared" ca="1" si="187"/>
        <v>264.59376650704166</v>
      </c>
      <c r="J412" s="359">
        <f t="shared" ca="1" si="188"/>
        <v>135.28414139488532</v>
      </c>
      <c r="K412" s="360">
        <f t="shared" ca="1" si="189"/>
        <v>597.37480480236786</v>
      </c>
      <c r="L412" s="357">
        <f t="shared" ca="1" si="174"/>
        <v>612.50180107948938</v>
      </c>
      <c r="M412" s="359">
        <f t="shared" ca="1" si="190"/>
        <v>1.3325232548623156</v>
      </c>
      <c r="N412" s="357">
        <f t="shared" ca="1" si="191"/>
        <v>76.347958606646031</v>
      </c>
      <c r="O412" s="343"/>
      <c r="P412" s="363">
        <f t="shared" ca="1" si="192"/>
        <v>14</v>
      </c>
      <c r="Q412" s="357">
        <f t="shared" ca="1" si="193"/>
        <v>607.00000000000955</v>
      </c>
      <c r="R412" s="359">
        <f t="shared" ca="1" si="194"/>
        <v>0.30406588235420456</v>
      </c>
      <c r="S412" s="360">
        <f t="shared" ca="1" si="195"/>
        <v>9.7333630255292167</v>
      </c>
      <c r="T412" s="357">
        <f t="shared" ca="1" si="175"/>
        <v>95.484291280441624</v>
      </c>
      <c r="U412" s="364">
        <f t="shared" ca="1" si="176"/>
        <v>0</v>
      </c>
      <c r="V412" s="359">
        <f t="shared" ca="1" si="177"/>
        <v>1.1539439413694332</v>
      </c>
      <c r="W412" s="357">
        <f t="shared" ca="1" si="178"/>
        <v>184.47778313568188</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597.37480480236786</v>
      </c>
      <c r="AF412" s="344"/>
      <c r="AG412" s="359">
        <f t="shared" ca="1" si="201"/>
        <v>33.920345017697628</v>
      </c>
      <c r="AH412" s="357">
        <f t="shared" ca="1" si="202"/>
        <v>43.453385806041219</v>
      </c>
    </row>
    <row r="413" spans="1:34" x14ac:dyDescent="0.25">
      <c r="A413" s="402">
        <f t="shared" ca="1" si="180"/>
        <v>0.01</v>
      </c>
      <c r="B413" s="357">
        <f t="shared" ca="1" si="181"/>
        <v>4.0899999999999572</v>
      </c>
      <c r="C413" s="342"/>
      <c r="D413" s="359">
        <f t="shared" ca="1" si="182"/>
        <v>10.193648542704578</v>
      </c>
      <c r="E413" s="360">
        <f t="shared" ca="1" si="183"/>
        <v>32.158665359374481</v>
      </c>
      <c r="F413" s="357">
        <f t="shared" ca="1" si="184"/>
        <v>33.735592899909371</v>
      </c>
      <c r="G413" s="359">
        <f t="shared" ca="1" si="185"/>
        <v>62.552638419781061</v>
      </c>
      <c r="H413" s="360">
        <f t="shared" ca="1" si="186"/>
        <v>257.43979118662435</v>
      </c>
      <c r="I413" s="357">
        <f t="shared" ca="1" si="187"/>
        <v>264.93032793451306</v>
      </c>
      <c r="J413" s="359">
        <f t="shared" ca="1" si="188"/>
        <v>135.909158096656</v>
      </c>
      <c r="K413" s="360">
        <f t="shared" ca="1" si="189"/>
        <v>599.94759478096614</v>
      </c>
      <c r="L413" s="357">
        <f t="shared" ca="1" si="174"/>
        <v>615.1491004122563</v>
      </c>
      <c r="M413" s="359">
        <f t="shared" ca="1" si="190"/>
        <v>1.3324358581599061</v>
      </c>
      <c r="N413" s="357">
        <f t="shared" ca="1" si="191"/>
        <v>76.342951144454616</v>
      </c>
      <c r="O413" s="343"/>
      <c r="P413" s="363">
        <f t="shared" ca="1" si="192"/>
        <v>14</v>
      </c>
      <c r="Q413" s="357">
        <f t="shared" ca="1" si="193"/>
        <v>604.72000000000958</v>
      </c>
      <c r="R413" s="359">
        <f t="shared" ca="1" si="194"/>
        <v>0.30292375679939804</v>
      </c>
      <c r="S413" s="360">
        <f t="shared" ca="1" si="195"/>
        <v>9.7303337879612233</v>
      </c>
      <c r="T413" s="357">
        <f t="shared" ca="1" si="175"/>
        <v>95.454574459899604</v>
      </c>
      <c r="U413" s="364">
        <f t="shared" ca="1" si="176"/>
        <v>0</v>
      </c>
      <c r="V413" s="359">
        <f t="shared" ca="1" si="177"/>
        <v>1.1536468278401952</v>
      </c>
      <c r="W413" s="357">
        <f t="shared" ca="1" si="178"/>
        <v>184.89977090421499</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599.94759478096614</v>
      </c>
      <c r="AF413" s="344"/>
      <c r="AG413" s="359">
        <f t="shared" ca="1" si="201"/>
        <v>33.656041567812011</v>
      </c>
      <c r="AH413" s="357">
        <f t="shared" ca="1" si="202"/>
        <v>43.188879849555519</v>
      </c>
    </row>
    <row r="414" spans="1:34" x14ac:dyDescent="0.25">
      <c r="A414" s="402">
        <f t="shared" ca="1" si="180"/>
        <v>0.01</v>
      </c>
      <c r="B414" s="357">
        <f t="shared" ca="1" si="181"/>
        <v>4.099999999999957</v>
      </c>
      <c r="C414" s="342"/>
      <c r="D414" s="359">
        <f t="shared" ca="1" si="182"/>
        <v>10.134895088644829</v>
      </c>
      <c r="E414" s="360">
        <f t="shared" ca="1" si="183"/>
        <v>31.900874892432768</v>
      </c>
      <c r="F414" s="357">
        <f t="shared" ca="1" si="184"/>
        <v>33.472106556959993</v>
      </c>
      <c r="G414" s="359">
        <f t="shared" ca="1" si="185"/>
        <v>62.653987370667508</v>
      </c>
      <c r="H414" s="360">
        <f t="shared" ca="1" si="186"/>
        <v>257.75879993554867</v>
      </c>
      <c r="I414" s="357">
        <f t="shared" ca="1" si="187"/>
        <v>265.26424764309638</v>
      </c>
      <c r="J414" s="359">
        <f t="shared" ca="1" si="188"/>
        <v>136.53519122560823</v>
      </c>
      <c r="K414" s="360">
        <f t="shared" ca="1" si="189"/>
        <v>602.52358773657704</v>
      </c>
      <c r="L414" s="357">
        <f t="shared" ca="1" si="174"/>
        <v>617.79975090798644</v>
      </c>
      <c r="M414" s="359">
        <f t="shared" ca="1" si="190"/>
        <v>1.3323485400665955</v>
      </c>
      <c r="N414" s="357">
        <f t="shared" ca="1" si="191"/>
        <v>76.337948186232794</v>
      </c>
      <c r="O414" s="343"/>
      <c r="P414" s="363">
        <f t="shared" ca="1" si="192"/>
        <v>14</v>
      </c>
      <c r="Q414" s="357">
        <f t="shared" ca="1" si="193"/>
        <v>602.4400000000096</v>
      </c>
      <c r="R414" s="359">
        <f t="shared" ca="1" si="194"/>
        <v>0.30178163124459151</v>
      </c>
      <c r="S414" s="360">
        <f t="shared" ca="1" si="195"/>
        <v>9.7273159716487765</v>
      </c>
      <c r="T414" s="357">
        <f t="shared" ca="1" si="175"/>
        <v>95.424969681874501</v>
      </c>
      <c r="U414" s="364">
        <f t="shared" ca="1" si="176"/>
        <v>0</v>
      </c>
      <c r="V414" s="359">
        <f t="shared" ca="1" si="177"/>
        <v>1.1533494187657043</v>
      </c>
      <c r="W414" s="357">
        <f t="shared" ca="1" si="178"/>
        <v>185.31837488546591</v>
      </c>
      <c r="X414" s="343"/>
      <c r="Y414" s="367" t="str">
        <f t="shared" ca="1" si="196"/>
        <v/>
      </c>
      <c r="Z414" s="368" t="str">
        <f t="shared" ca="1" si="197"/>
        <v/>
      </c>
      <c r="AA414" s="369" t="str">
        <f t="shared" ca="1" si="198"/>
        <v/>
      </c>
      <c r="AB414" s="344"/>
      <c r="AC414" s="363" t="e">
        <f t="shared" ca="1" si="199"/>
        <v>#N/A</v>
      </c>
      <c r="AD414" s="376" t="e">
        <f t="shared" ca="1" si="200"/>
        <v>#N/A</v>
      </c>
      <c r="AE414" s="377">
        <f t="shared" ca="1" si="179"/>
        <v>602.52358773657704</v>
      </c>
      <c r="AF414" s="344"/>
      <c r="AG414" s="359">
        <f t="shared" ca="1" si="201"/>
        <v>33.391869733644334</v>
      </c>
      <c r="AH414" s="357">
        <f t="shared" ca="1" si="202"/>
        <v>42.924505620333186</v>
      </c>
    </row>
    <row r="415" spans="1:34" x14ac:dyDescent="0.25">
      <c r="A415" s="402">
        <f t="shared" ca="1" si="180"/>
        <v>0.01</v>
      </c>
      <c r="B415" s="357">
        <f t="shared" ca="1" si="181"/>
        <v>4.1099999999999568</v>
      </c>
      <c r="C415" s="342"/>
      <c r="D415" s="359">
        <f t="shared" ca="1" si="182"/>
        <v>10.015956237040287</v>
      </c>
      <c r="E415" s="360">
        <f t="shared" ca="1" si="183"/>
        <v>31.395691261002561</v>
      </c>
      <c r="F415" s="357">
        <f t="shared" ca="1" si="184"/>
        <v>32.954647761711833</v>
      </c>
      <c r="G415" s="359">
        <f t="shared" ca="1" si="185"/>
        <v>62.754146933037909</v>
      </c>
      <c r="H415" s="360">
        <f t="shared" ca="1" si="186"/>
        <v>258.07275684815869</v>
      </c>
      <c r="I415" s="357">
        <f t="shared" ca="1" si="187"/>
        <v>265.5929795467157</v>
      </c>
      <c r="J415" s="359">
        <f t="shared" ca="1" si="188"/>
        <v>137.16223189712676</v>
      </c>
      <c r="K415" s="360">
        <f t="shared" ca="1" si="189"/>
        <v>605.10274552049555</v>
      </c>
      <c r="L415" s="357">
        <f t="shared" ca="1" si="174"/>
        <v>620.45371341901307</v>
      </c>
      <c r="M415" s="359">
        <f t="shared" ca="1" si="190"/>
        <v>1.3322612987095583</v>
      </c>
      <c r="N415" s="357">
        <f t="shared" ca="1" si="191"/>
        <v>76.332949624675564</v>
      </c>
      <c r="O415" s="343"/>
      <c r="P415" s="363">
        <f t="shared" ca="1" si="192"/>
        <v>15</v>
      </c>
      <c r="Q415" s="357">
        <f t="shared" ca="1" si="193"/>
        <v>597.6833333333642</v>
      </c>
      <c r="R415" s="359">
        <f t="shared" ca="1" si="194"/>
        <v>0.299398863457016</v>
      </c>
      <c r="S415" s="360">
        <f t="shared" ca="1" si="195"/>
        <v>9.7243219830142067</v>
      </c>
      <c r="T415" s="357">
        <f t="shared" ca="1" si="175"/>
        <v>95.395598653369376</v>
      </c>
      <c r="U415" s="364">
        <f t="shared" ca="1" si="176"/>
        <v>0</v>
      </c>
      <c r="V415" s="359">
        <f t="shared" ca="1" si="177"/>
        <v>1.1530517187982716</v>
      </c>
      <c r="W415" s="357">
        <f t="shared" ca="1" si="178"/>
        <v>185.73002293916005</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605.10274552049555</v>
      </c>
      <c r="AF415" s="344"/>
      <c r="AG415" s="359">
        <f t="shared" ca="1" si="201"/>
        <v>32.873089289802138</v>
      </c>
      <c r="AH415" s="357">
        <f t="shared" ca="1" si="202"/>
        <v>42.40552289076706</v>
      </c>
    </row>
    <row r="416" spans="1:34" x14ac:dyDescent="0.25">
      <c r="A416" s="402">
        <f t="shared" ca="1" si="180"/>
        <v>0.01</v>
      </c>
      <c r="B416" s="357">
        <f t="shared" ca="1" si="181"/>
        <v>4.1199999999999566</v>
      </c>
      <c r="C416" s="342"/>
      <c r="D416" s="359">
        <f t="shared" ca="1" si="182"/>
        <v>9.8367869625268103</v>
      </c>
      <c r="E416" s="360">
        <f t="shared" ca="1" si="183"/>
        <v>30.643210728147565</v>
      </c>
      <c r="F416" s="357">
        <f t="shared" ca="1" si="184"/>
        <v>32.183361251985403</v>
      </c>
      <c r="G416" s="359">
        <f t="shared" ca="1" si="185"/>
        <v>62.85251480266318</v>
      </c>
      <c r="H416" s="360">
        <f t="shared" ca="1" si="186"/>
        <v>258.37918895544016</v>
      </c>
      <c r="I416" s="357">
        <f t="shared" ca="1" si="187"/>
        <v>265.91397838829391</v>
      </c>
      <c r="J416" s="359">
        <f t="shared" ca="1" si="188"/>
        <v>137.79026520580527</v>
      </c>
      <c r="K416" s="360">
        <f t="shared" ca="1" si="189"/>
        <v>607.68500524951355</v>
      </c>
      <c r="L416" s="357">
        <f t="shared" ca="1" si="174"/>
        <v>623.11092334398006</v>
      </c>
      <c r="M416" s="359">
        <f t="shared" ca="1" si="190"/>
        <v>1.3321741313923987</v>
      </c>
      <c r="N416" s="357">
        <f t="shared" ca="1" si="191"/>
        <v>76.327955305290843</v>
      </c>
      <c r="O416" s="343"/>
      <c r="P416" s="363">
        <f t="shared" ca="1" si="192"/>
        <v>15</v>
      </c>
      <c r="Q416" s="357">
        <f t="shared" ca="1" si="193"/>
        <v>590.45000000003108</v>
      </c>
      <c r="R416" s="359">
        <f t="shared" ca="1" si="194"/>
        <v>0.29577545343665029</v>
      </c>
      <c r="S416" s="360">
        <f t="shared" ca="1" si="195"/>
        <v>9.7213642284798407</v>
      </c>
      <c r="T416" s="357">
        <f t="shared" ca="1" si="175"/>
        <v>95.366583081387247</v>
      </c>
      <c r="U416" s="364">
        <f t="shared" ca="1" si="176"/>
        <v>0</v>
      </c>
      <c r="V416" s="359">
        <f t="shared" ca="1" si="177"/>
        <v>1.1527537354398589</v>
      </c>
      <c r="W416" s="357">
        <f t="shared" ca="1" si="178"/>
        <v>186.13113094799135</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607.68500524951355</v>
      </c>
      <c r="AF416" s="344"/>
      <c r="AG416" s="359">
        <f t="shared" ca="1" si="201"/>
        <v>32.099783135223838</v>
      </c>
      <c r="AH416" s="357">
        <f t="shared" ca="1" si="202"/>
        <v>41.632014555652376</v>
      </c>
    </row>
    <row r="417" spans="1:34" x14ac:dyDescent="0.25">
      <c r="A417" s="402">
        <f t="shared" ca="1" si="180"/>
        <v>0.01</v>
      </c>
      <c r="B417" s="357">
        <f t="shared" ca="1" si="181"/>
        <v>4.1299999999999564</v>
      </c>
      <c r="C417" s="342"/>
      <c r="D417" s="359">
        <f t="shared" ca="1" si="182"/>
        <v>9.6575925846000992</v>
      </c>
      <c r="E417" s="360">
        <f t="shared" ca="1" si="183"/>
        <v>29.891210796506037</v>
      </c>
      <c r="F417" s="357">
        <f t="shared" ca="1" si="184"/>
        <v>31.412634041278391</v>
      </c>
      <c r="G417" s="359">
        <f t="shared" ca="1" si="185"/>
        <v>62.949090728509184</v>
      </c>
      <c r="H417" s="360">
        <f t="shared" ca="1" si="186"/>
        <v>258.67810106340522</v>
      </c>
      <c r="I417" s="357">
        <f t="shared" ca="1" si="187"/>
        <v>266.22724878065236</v>
      </c>
      <c r="J417" s="359">
        <f t="shared" ca="1" si="188"/>
        <v>138.41927323346113</v>
      </c>
      <c r="K417" s="360">
        <f t="shared" ca="1" si="189"/>
        <v>610.27029169960781</v>
      </c>
      <c r="L417" s="357">
        <f t="shared" ca="1" si="174"/>
        <v>625.7713033797603</v>
      </c>
      <c r="M417" s="359">
        <f t="shared" ca="1" si="190"/>
        <v>1.3320870354354677</v>
      </c>
      <c r="N417" s="357">
        <f t="shared" ca="1" si="191"/>
        <v>76.322965074546033</v>
      </c>
      <c r="O417" s="343"/>
      <c r="P417" s="363">
        <f t="shared" ca="1" si="192"/>
        <v>15</v>
      </c>
      <c r="Q417" s="357">
        <f t="shared" ca="1" si="193"/>
        <v>583.21666666669807</v>
      </c>
      <c r="R417" s="359">
        <f t="shared" ca="1" si="194"/>
        <v>0.29215204341628465</v>
      </c>
      <c r="S417" s="360">
        <f t="shared" ca="1" si="195"/>
        <v>9.7184427080456786</v>
      </c>
      <c r="T417" s="357">
        <f t="shared" ca="1" si="175"/>
        <v>95.337922965928115</v>
      </c>
      <c r="U417" s="364">
        <f t="shared" ca="1" si="176"/>
        <v>0</v>
      </c>
      <c r="V417" s="359">
        <f t="shared" ca="1" si="177"/>
        <v>1.1524554776088412</v>
      </c>
      <c r="W417" s="357">
        <f t="shared" ca="1" si="178"/>
        <v>186.52167524697788</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610.27029169960781</v>
      </c>
      <c r="AF417" s="344"/>
      <c r="AG417" s="359">
        <f t="shared" ca="1" si="201"/>
        <v>31.326938259766607</v>
      </c>
      <c r="AH417" s="357">
        <f t="shared" ca="1" si="202"/>
        <v>40.858967598787061</v>
      </c>
    </row>
    <row r="418" spans="1:34" x14ac:dyDescent="0.25">
      <c r="A418" s="402">
        <f t="shared" ca="1" si="180"/>
        <v>0.01</v>
      </c>
      <c r="B418" s="357">
        <f t="shared" ca="1" si="181"/>
        <v>4.1399999999999562</v>
      </c>
      <c r="C418" s="342"/>
      <c r="D418" s="359">
        <f t="shared" ca="1" si="182"/>
        <v>9.4783762154853441</v>
      </c>
      <c r="E418" s="360">
        <f t="shared" ca="1" si="183"/>
        <v>29.139702564581611</v>
      </c>
      <c r="F418" s="357">
        <f t="shared" ca="1" si="184"/>
        <v>30.642484906328377</v>
      </c>
      <c r="G418" s="359">
        <f t="shared" ca="1" si="185"/>
        <v>63.043874490664038</v>
      </c>
      <c r="H418" s="360">
        <f t="shared" ca="1" si="186"/>
        <v>258.96949808905106</v>
      </c>
      <c r="I418" s="357">
        <f t="shared" ca="1" si="187"/>
        <v>266.53279545168476</v>
      </c>
      <c r="J418" s="359">
        <f t="shared" ca="1" si="188"/>
        <v>139.04923805955698</v>
      </c>
      <c r="K418" s="360">
        <f t="shared" ca="1" si="189"/>
        <v>612.85852969537007</v>
      </c>
      <c r="L418" s="357">
        <f t="shared" ca="1" si="174"/>
        <v>628.43477626983224</v>
      </c>
      <c r="M418" s="359">
        <f t="shared" ca="1" si="190"/>
        <v>1.3320000081753567</v>
      </c>
      <c r="N418" s="357">
        <f t="shared" ca="1" si="191"/>
        <v>76.317978779839095</v>
      </c>
      <c r="O418" s="343"/>
      <c r="P418" s="363">
        <f t="shared" ca="1" si="192"/>
        <v>15</v>
      </c>
      <c r="Q418" s="357">
        <f t="shared" ca="1" si="193"/>
        <v>575.98333333336495</v>
      </c>
      <c r="R418" s="359">
        <f t="shared" ca="1" si="194"/>
        <v>0.28852863339591894</v>
      </c>
      <c r="S418" s="360">
        <f t="shared" ca="1" si="195"/>
        <v>9.7155574217117202</v>
      </c>
      <c r="T418" s="357">
        <f t="shared" ca="1" si="175"/>
        <v>95.309618306991979</v>
      </c>
      <c r="U418" s="364">
        <f t="shared" ca="1" si="176"/>
        <v>0</v>
      </c>
      <c r="V418" s="359">
        <f t="shared" ca="1" si="177"/>
        <v>1.1521569542094048</v>
      </c>
      <c r="W418" s="357">
        <f t="shared" ca="1" si="178"/>
        <v>186.90163336617951</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612.85852969537007</v>
      </c>
      <c r="AF418" s="344"/>
      <c r="AG418" s="359">
        <f t="shared" ca="1" si="201"/>
        <v>30.554566170677795</v>
      </c>
      <c r="AH418" s="357">
        <f t="shared" ca="1" si="202"/>
        <v>40.086393521388949</v>
      </c>
    </row>
    <row r="419" spans="1:34" x14ac:dyDescent="0.25">
      <c r="A419" s="402">
        <f t="shared" ca="1" si="180"/>
        <v>0.01</v>
      </c>
      <c r="B419" s="357">
        <f t="shared" ca="1" si="181"/>
        <v>4.1499999999999559</v>
      </c>
      <c r="C419" s="342"/>
      <c r="D419" s="359">
        <f t="shared" ca="1" si="182"/>
        <v>9.2991409340575082</v>
      </c>
      <c r="E419" s="360">
        <f t="shared" ca="1" si="183"/>
        <v>28.38869701550216</v>
      </c>
      <c r="F419" s="357">
        <f t="shared" ca="1" si="184"/>
        <v>29.872933239798282</v>
      </c>
      <c r="G419" s="359">
        <f t="shared" ca="1" si="185"/>
        <v>63.136865900004615</v>
      </c>
      <c r="H419" s="360">
        <f t="shared" ca="1" si="186"/>
        <v>259.2533850592061</v>
      </c>
      <c r="I419" s="357">
        <f t="shared" ca="1" si="187"/>
        <v>266.83062324315807</v>
      </c>
      <c r="J419" s="359">
        <f t="shared" ca="1" si="188"/>
        <v>139.68014176151033</v>
      </c>
      <c r="K419" s="360">
        <f t="shared" ca="1" si="189"/>
        <v>615.4496441111113</v>
      </c>
      <c r="L419" s="357">
        <f t="shared" ca="1" si="174"/>
        <v>631.10126480542658</v>
      </c>
      <c r="M419" s="359">
        <f t="shared" ca="1" si="190"/>
        <v>1.3319130469643978</v>
      </c>
      <c r="N419" s="357">
        <f t="shared" ca="1" si="191"/>
        <v>76.312996269469792</v>
      </c>
      <c r="O419" s="343"/>
      <c r="P419" s="363">
        <f t="shared" ca="1" si="192"/>
        <v>15</v>
      </c>
      <c r="Q419" s="357">
        <f t="shared" ca="1" si="193"/>
        <v>568.75000000003183</v>
      </c>
      <c r="R419" s="359">
        <f t="shared" ca="1" si="194"/>
        <v>0.28490522337555324</v>
      </c>
      <c r="S419" s="360">
        <f t="shared" ca="1" si="195"/>
        <v>9.7127083694779639</v>
      </c>
      <c r="T419" s="357">
        <f t="shared" ca="1" si="175"/>
        <v>95.281669104578825</v>
      </c>
      <c r="U419" s="364">
        <f t="shared" ca="1" si="176"/>
        <v>0</v>
      </c>
      <c r="V419" s="359">
        <f t="shared" ca="1" si="177"/>
        <v>1.151858174131412</v>
      </c>
      <c r="W419" s="357">
        <f t="shared" ca="1" si="178"/>
        <v>187.27098402580097</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615.4496441111113</v>
      </c>
      <c r="AF419" s="344"/>
      <c r="AG419" s="359">
        <f t="shared" ca="1" si="201"/>
        <v>29.782678255304653</v>
      </c>
      <c r="AH419" s="357">
        <f t="shared" ca="1" si="202"/>
        <v>39.314303704804409</v>
      </c>
    </row>
    <row r="420" spans="1:34" x14ac:dyDescent="0.25">
      <c r="A420" s="402">
        <f t="shared" ca="1" si="180"/>
        <v>0.01</v>
      </c>
      <c r="B420" s="357">
        <f t="shared" ca="1" si="181"/>
        <v>4.1599999999999557</v>
      </c>
      <c r="C420" s="342"/>
      <c r="D420" s="359">
        <f t="shared" ca="1" si="182"/>
        <v>9.1198897858523171</v>
      </c>
      <c r="E420" s="360">
        <f t="shared" ca="1" si="183"/>
        <v>27.638205016918931</v>
      </c>
      <c r="F420" s="357">
        <f t="shared" ca="1" si="184"/>
        <v>29.103999145535589</v>
      </c>
      <c r="G420" s="359">
        <f t="shared" ca="1" si="185"/>
        <v>63.228064797863141</v>
      </c>
      <c r="H420" s="360">
        <f t="shared" ca="1" si="186"/>
        <v>259.52976710937526</v>
      </c>
      <c r="I420" s="357">
        <f t="shared" ca="1" si="187"/>
        <v>267.12073710951256</v>
      </c>
      <c r="J420" s="359">
        <f t="shared" ca="1" si="188"/>
        <v>140.31196641499966</v>
      </c>
      <c r="K420" s="360">
        <f t="shared" ca="1" si="189"/>
        <v>618.04355987195424</v>
      </c>
      <c r="L420" s="357">
        <f t="shared" ca="1" si="174"/>
        <v>633.77069182665889</v>
      </c>
      <c r="M420" s="359">
        <f t="shared" ca="1" si="190"/>
        <v>1.3318261491701702</v>
      </c>
      <c r="N420" s="357">
        <f t="shared" ca="1" si="191"/>
        <v>76.308017392611561</v>
      </c>
      <c r="O420" s="343"/>
      <c r="P420" s="363">
        <f t="shared" ca="1" si="192"/>
        <v>15</v>
      </c>
      <c r="Q420" s="357">
        <f t="shared" ca="1" si="193"/>
        <v>561.51666666669871</v>
      </c>
      <c r="R420" s="359">
        <f t="shared" ca="1" si="194"/>
        <v>0.28128181335518754</v>
      </c>
      <c r="S420" s="360">
        <f t="shared" ca="1" si="195"/>
        <v>9.7098955513444114</v>
      </c>
      <c r="T420" s="357">
        <f t="shared" ca="1" si="175"/>
        <v>95.254075358688681</v>
      </c>
      <c r="U420" s="364">
        <f t="shared" ca="1" si="176"/>
        <v>0</v>
      </c>
      <c r="V420" s="359">
        <f t="shared" ca="1" si="177"/>
        <v>1.1515591462502617</v>
      </c>
      <c r="W420" s="357">
        <f t="shared" ca="1" si="178"/>
        <v>187.62970713121086</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618.04355987195424</v>
      </c>
      <c r="AF420" s="344"/>
      <c r="AG420" s="359">
        <f t="shared" ca="1" si="201"/>
        <v>29.011285780996804</v>
      </c>
      <c r="AH420" s="357">
        <f t="shared" ca="1" si="202"/>
        <v>38.542709410409721</v>
      </c>
    </row>
    <row r="421" spans="1:34" x14ac:dyDescent="0.25">
      <c r="A421" s="402">
        <f t="shared" ca="1" si="180"/>
        <v>0.01</v>
      </c>
      <c r="B421" s="357">
        <f t="shared" ca="1" si="181"/>
        <v>4.1699999999999555</v>
      </c>
      <c r="C421" s="342"/>
      <c r="D421" s="359">
        <f t="shared" ca="1" si="182"/>
        <v>8.940625783078973</v>
      </c>
      <c r="E421" s="360">
        <f t="shared" ca="1" si="183"/>
        <v>26.888237320921135</v>
      </c>
      <c r="F421" s="357">
        <f t="shared" ca="1" si="184"/>
        <v>28.33570354904273</v>
      </c>
      <c r="G421" s="359">
        <f t="shared" ca="1" si="185"/>
        <v>63.317471055693929</v>
      </c>
      <c r="H421" s="360">
        <f t="shared" ca="1" si="186"/>
        <v>259.79864948258449</v>
      </c>
      <c r="I421" s="357">
        <f t="shared" ca="1" si="187"/>
        <v>267.40314211666146</v>
      </c>
      <c r="J421" s="359">
        <f t="shared" ca="1" si="188"/>
        <v>140.94469409426745</v>
      </c>
      <c r="K421" s="360">
        <f t="shared" ca="1" si="189"/>
        <v>620.64020195491401</v>
      </c>
      <c r="L421" s="357">
        <f t="shared" ca="1" si="174"/>
        <v>636.44298022365138</v>
      </c>
      <c r="M421" s="359">
        <f t="shared" ca="1" si="190"/>
        <v>1.331739312175015</v>
      </c>
      <c r="N421" s="357">
        <f t="shared" ca="1" si="191"/>
        <v>76.303041999283565</v>
      </c>
      <c r="O421" s="343"/>
      <c r="P421" s="363">
        <f t="shared" ca="1" si="192"/>
        <v>15</v>
      </c>
      <c r="Q421" s="357">
        <f t="shared" ca="1" si="193"/>
        <v>554.28333333336559</v>
      </c>
      <c r="R421" s="359">
        <f t="shared" ca="1" si="194"/>
        <v>0.27765840333482183</v>
      </c>
      <c r="S421" s="360">
        <f t="shared" ca="1" si="195"/>
        <v>9.7071189673110627</v>
      </c>
      <c r="T421" s="357">
        <f t="shared" ca="1" si="175"/>
        <v>95.226837069321533</v>
      </c>
      <c r="U421" s="364">
        <f t="shared" ca="1" si="176"/>
        <v>0</v>
      </c>
      <c r="V421" s="359">
        <f t="shared" ca="1" si="177"/>
        <v>1.151259879426761</v>
      </c>
      <c r="W421" s="357">
        <f t="shared" ca="1" si="178"/>
        <v>187.97778376788011</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620.64020195491401</v>
      </c>
      <c r="AF421" s="344"/>
      <c r="AG421" s="359">
        <f t="shared" ca="1" si="201"/>
        <v>28.24039989502409</v>
      </c>
      <c r="AH421" s="357">
        <f t="shared" ca="1" si="202"/>
        <v>37.771621779527884</v>
      </c>
    </row>
    <row r="422" spans="1:34" x14ac:dyDescent="0.25">
      <c r="A422" s="402">
        <f t="shared" ca="1" si="180"/>
        <v>0.01</v>
      </c>
      <c r="B422" s="357">
        <f t="shared" ca="1" si="181"/>
        <v>4.1799999999999553</v>
      </c>
      <c r="C422" s="342"/>
      <c r="D422" s="359">
        <f t="shared" ca="1" si="182"/>
        <v>8.7613519046343171</v>
      </c>
      <c r="E422" s="360">
        <f t="shared" ca="1" si="183"/>
        <v>26.138804563965202</v>
      </c>
      <c r="F422" s="357">
        <f t="shared" ca="1" si="184"/>
        <v>27.568068326054465</v>
      </c>
      <c r="G422" s="359">
        <f t="shared" ca="1" si="185"/>
        <v>63.405084574740272</v>
      </c>
      <c r="H422" s="360">
        <f t="shared" ca="1" si="186"/>
        <v>260.06003752822414</v>
      </c>
      <c r="I422" s="357">
        <f t="shared" ca="1" si="187"/>
        <v>267.67784344078859</v>
      </c>
      <c r="J422" s="359">
        <f t="shared" ca="1" si="188"/>
        <v>141.57830687241963</v>
      </c>
      <c r="K422" s="360">
        <f t="shared" ca="1" si="189"/>
        <v>623.23949538996806</v>
      </c>
      <c r="L422" s="357">
        <f t="shared" ca="1" si="174"/>
        <v>639.11805293764235</v>
      </c>
      <c r="M422" s="359">
        <f t="shared" ca="1" si="190"/>
        <v>1.331652533375556</v>
      </c>
      <c r="N422" s="357">
        <f t="shared" ca="1" si="191"/>
        <v>76.298069940323359</v>
      </c>
      <c r="O422" s="343"/>
      <c r="P422" s="363">
        <f t="shared" ca="1" si="192"/>
        <v>15</v>
      </c>
      <c r="Q422" s="357">
        <f t="shared" ca="1" si="193"/>
        <v>547.05000000003247</v>
      </c>
      <c r="R422" s="359">
        <f t="shared" ca="1" si="194"/>
        <v>0.27403499331445613</v>
      </c>
      <c r="S422" s="360">
        <f t="shared" ca="1" si="195"/>
        <v>9.7043786173779178</v>
      </c>
      <c r="T422" s="357">
        <f t="shared" ca="1" si="175"/>
        <v>95.199954236477382</v>
      </c>
      <c r="U422" s="364">
        <f t="shared" ca="1" si="176"/>
        <v>0</v>
      </c>
      <c r="V422" s="359">
        <f t="shared" ca="1" si="177"/>
        <v>1.1509603825069896</v>
      </c>
      <c r="W422" s="357">
        <f t="shared" ca="1" si="178"/>
        <v>188.31519619623717</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623.23949538996806</v>
      </c>
      <c r="AF422" s="344"/>
      <c r="AG422" s="359">
        <f t="shared" ca="1" si="201"/>
        <v>27.470031624509168</v>
      </c>
      <c r="AH422" s="357">
        <f t="shared" ca="1" si="202"/>
        <v>37.001051833360158</v>
      </c>
    </row>
    <row r="423" spans="1:34" x14ac:dyDescent="0.25">
      <c r="A423" s="402">
        <f t="shared" ca="1" si="180"/>
        <v>0.01</v>
      </c>
      <c r="B423" s="357">
        <f t="shared" ca="1" si="181"/>
        <v>4.1899999999999551</v>
      </c>
      <c r="C423" s="342"/>
      <c r="D423" s="359">
        <f t="shared" ca="1" si="182"/>
        <v>8.5820710961188222</v>
      </c>
      <c r="E423" s="360">
        <f t="shared" ca="1" si="183"/>
        <v>25.389917266819474</v>
      </c>
      <c r="F423" s="357">
        <f t="shared" ca="1" si="184"/>
        <v>26.801116452766959</v>
      </c>
      <c r="G423" s="359">
        <f t="shared" ca="1" si="185"/>
        <v>63.490905285701459</v>
      </c>
      <c r="H423" s="360">
        <f t="shared" ca="1" si="186"/>
        <v>260.31393670089233</v>
      </c>
      <c r="I423" s="357">
        <f t="shared" ca="1" si="187"/>
        <v>267.94484636714714</v>
      </c>
      <c r="J423" s="359">
        <f t="shared" ca="1" si="188"/>
        <v>142.21278682172183</v>
      </c>
      <c r="K423" s="360">
        <f t="shared" ca="1" si="189"/>
        <v>625.84136526111365</v>
      </c>
      <c r="L423" s="357">
        <f t="shared" ca="1" si="174"/>
        <v>641.79583296208398</v>
      </c>
      <c r="M423" s="359">
        <f t="shared" ca="1" si="190"/>
        <v>1.331565810182227</v>
      </c>
      <c r="N423" s="357">
        <f t="shared" ca="1" si="191"/>
        <v>76.2931010673597</v>
      </c>
      <c r="O423" s="343"/>
      <c r="P423" s="363">
        <f t="shared" ca="1" si="192"/>
        <v>15</v>
      </c>
      <c r="Q423" s="357">
        <f t="shared" ca="1" si="193"/>
        <v>539.81666666669935</v>
      </c>
      <c r="R423" s="359">
        <f t="shared" ca="1" si="194"/>
        <v>0.27041158329409043</v>
      </c>
      <c r="S423" s="360">
        <f t="shared" ca="1" si="195"/>
        <v>9.7016745015449768</v>
      </c>
      <c r="T423" s="357">
        <f t="shared" ca="1" si="175"/>
        <v>95.173426860156226</v>
      </c>
      <c r="U423" s="364">
        <f t="shared" ca="1" si="176"/>
        <v>0</v>
      </c>
      <c r="V423" s="359">
        <f t="shared" ca="1" si="177"/>
        <v>1.1506606643221746</v>
      </c>
      <c r="W423" s="357">
        <f t="shared" ca="1" si="178"/>
        <v>188.64192784644828</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625.84136526111365</v>
      </c>
      <c r="AF423" s="344"/>
      <c r="AG423" s="359">
        <f t="shared" ca="1" si="201"/>
        <v>26.700191876375392</v>
      </c>
      <c r="AH423" s="357">
        <f t="shared" ca="1" si="202"/>
        <v>36.231010472932908</v>
      </c>
    </row>
    <row r="424" spans="1:34" x14ac:dyDescent="0.25">
      <c r="A424" s="402">
        <f t="shared" ca="1" si="180"/>
        <v>0.01</v>
      </c>
      <c r="B424" s="357">
        <f t="shared" ca="1" si="181"/>
        <v>4.1999999999999549</v>
      </c>
      <c r="C424" s="342"/>
      <c r="D424" s="359">
        <f t="shared" ca="1" si="182"/>
        <v>8.3684751936725803</v>
      </c>
      <c r="E424" s="360">
        <f t="shared" ca="1" si="183"/>
        <v>24.500909760161633</v>
      </c>
      <c r="F424" s="357">
        <f t="shared" ca="1" si="184"/>
        <v>25.890653837682372</v>
      </c>
      <c r="G424" s="359">
        <f t="shared" ca="1" si="185"/>
        <v>63.574590037638181</v>
      </c>
      <c r="H424" s="360">
        <f t="shared" ca="1" si="186"/>
        <v>260.55894579849394</v>
      </c>
      <c r="I424" s="357">
        <f t="shared" ca="1" si="187"/>
        <v>268.20270828997286</v>
      </c>
      <c r="J424" s="359">
        <f t="shared" ca="1" si="188"/>
        <v>142.84811429833854</v>
      </c>
      <c r="K424" s="360">
        <f t="shared" ca="1" si="189"/>
        <v>628.44572967361057</v>
      </c>
      <c r="L424" s="357">
        <f t="shared" ca="1" si="174"/>
        <v>644.4762361046279</v>
      </c>
      <c r="M424" s="359">
        <f t="shared" ca="1" si="190"/>
        <v>1.3314791395508823</v>
      </c>
      <c r="N424" s="357">
        <f t="shared" ca="1" si="191"/>
        <v>76.288135205975919</v>
      </c>
      <c r="O424" s="343"/>
      <c r="P424" s="363">
        <f t="shared" ca="1" si="192"/>
        <v>16</v>
      </c>
      <c r="Q424" s="357">
        <f t="shared" ca="1" si="193"/>
        <v>531.17916666671226</v>
      </c>
      <c r="R424" s="359">
        <f t="shared" ca="1" si="194"/>
        <v>0.26608478089074533</v>
      </c>
      <c r="S424" s="360">
        <f t="shared" ca="1" si="195"/>
        <v>9.6990136537360687</v>
      </c>
      <c r="T424" s="357">
        <f t="shared" ca="1" si="175"/>
        <v>95.147323943150838</v>
      </c>
      <c r="U424" s="364">
        <f t="shared" ca="1" si="176"/>
        <v>0</v>
      </c>
      <c r="V424" s="359">
        <f t="shared" ca="1" si="177"/>
        <v>1.1503607344985023</v>
      </c>
      <c r="W424" s="357">
        <f t="shared" ca="1" si="178"/>
        <v>188.95592313339645</v>
      </c>
      <c r="X424" s="343"/>
      <c r="Y424" s="367" t="str">
        <f t="shared" ca="1" si="196"/>
        <v/>
      </c>
      <c r="Z424" s="368" t="str">
        <f t="shared" ca="1" si="197"/>
        <v/>
      </c>
      <c r="AA424" s="369" t="str">
        <f t="shared" ca="1" si="198"/>
        <v/>
      </c>
      <c r="AB424" s="344"/>
      <c r="AC424" s="363" t="e">
        <f t="shared" ca="1" si="199"/>
        <v>#N/A</v>
      </c>
      <c r="AD424" s="376" t="e">
        <f t="shared" ca="1" si="200"/>
        <v>#N/A</v>
      </c>
      <c r="AE424" s="377">
        <f t="shared" ca="1" si="179"/>
        <v>628.44572967361057</v>
      </c>
      <c r="AF424" s="344"/>
      <c r="AG424" s="359">
        <f t="shared" ca="1" si="201"/>
        <v>25.786091548336444</v>
      </c>
      <c r="AH424" s="357">
        <f t="shared" ca="1" si="202"/>
        <v>35.316708590086201</v>
      </c>
    </row>
    <row r="425" spans="1:34" x14ac:dyDescent="0.25">
      <c r="A425" s="402">
        <f t="shared" ca="1" si="180"/>
        <v>0.01</v>
      </c>
      <c r="B425" s="357">
        <f t="shared" ca="1" si="181"/>
        <v>4.2099999999999547</v>
      </c>
      <c r="C425" s="342"/>
      <c r="D425" s="359">
        <f t="shared" ca="1" si="182"/>
        <v>8.1205470983467851</v>
      </c>
      <c r="E425" s="360">
        <f t="shared" ca="1" si="183"/>
        <v>23.471869218497318</v>
      </c>
      <c r="F425" s="357">
        <f t="shared" ca="1" si="184"/>
        <v>24.836906606635022</v>
      </c>
      <c r="G425" s="359">
        <f t="shared" ca="1" si="185"/>
        <v>63.655795508621651</v>
      </c>
      <c r="H425" s="360">
        <f t="shared" ca="1" si="186"/>
        <v>260.79366449067891</v>
      </c>
      <c r="I425" s="357">
        <f t="shared" ca="1" si="187"/>
        <v>268.4499874097823</v>
      </c>
      <c r="J425" s="359">
        <f t="shared" ca="1" si="188"/>
        <v>143.48426622606985</v>
      </c>
      <c r="K425" s="360">
        <f t="shared" ca="1" si="189"/>
        <v>631.05249272505648</v>
      </c>
      <c r="L425" s="357">
        <f t="shared" ca="1" si="174"/>
        <v>647.15916375258189</v>
      </c>
      <c r="M425" s="359">
        <f t="shared" ca="1" si="190"/>
        <v>1.3313925179852089</v>
      </c>
      <c r="N425" s="357">
        <f t="shared" ca="1" si="191"/>
        <v>76.283172155848021</v>
      </c>
      <c r="O425" s="343"/>
      <c r="P425" s="363">
        <f t="shared" ca="1" si="192"/>
        <v>16</v>
      </c>
      <c r="Q425" s="357">
        <f t="shared" ca="1" si="193"/>
        <v>521.13750000004575</v>
      </c>
      <c r="R425" s="359">
        <f t="shared" ca="1" si="194"/>
        <v>0.26105458610440807</v>
      </c>
      <c r="S425" s="360">
        <f t="shared" ca="1" si="195"/>
        <v>9.6964031078750246</v>
      </c>
      <c r="T425" s="357">
        <f t="shared" ca="1" si="175"/>
        <v>95.121714488254</v>
      </c>
      <c r="U425" s="364">
        <f t="shared" ca="1" si="176"/>
        <v>0</v>
      </c>
      <c r="V425" s="359">
        <f t="shared" ca="1" si="177"/>
        <v>1.1500606042652666</v>
      </c>
      <c r="W425" s="357">
        <f t="shared" ca="1" si="178"/>
        <v>189.25512342543439</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631.05249272505648</v>
      </c>
      <c r="AF425" s="344"/>
      <c r="AG425" s="359">
        <f t="shared" ca="1" si="201"/>
        <v>24.727811267961229</v>
      </c>
      <c r="AH425" s="357">
        <f t="shared" ca="1" si="202"/>
        <v>34.258226805449631</v>
      </c>
    </row>
    <row r="426" spans="1:34" x14ac:dyDescent="0.25">
      <c r="A426" s="402">
        <f t="shared" ca="1" si="180"/>
        <v>0.01</v>
      </c>
      <c r="B426" s="357">
        <f t="shared" ca="1" si="181"/>
        <v>4.2199999999999545</v>
      </c>
      <c r="C426" s="342"/>
      <c r="D426" s="359">
        <f t="shared" ca="1" si="182"/>
        <v>7.8726249801413255</v>
      </c>
      <c r="E426" s="360">
        <f t="shared" ca="1" si="183"/>
        <v>22.443633802343008</v>
      </c>
      <c r="F426" s="357">
        <f t="shared" ca="1" si="184"/>
        <v>23.784341957086365</v>
      </c>
      <c r="G426" s="359">
        <f t="shared" ca="1" si="185"/>
        <v>63.734521758423064</v>
      </c>
      <c r="H426" s="360">
        <f t="shared" ca="1" si="186"/>
        <v>261.01810082870236</v>
      </c>
      <c r="I426" s="357">
        <f t="shared" ca="1" si="187"/>
        <v>268.68669156472475</v>
      </c>
      <c r="J426" s="359">
        <f t="shared" ca="1" si="188"/>
        <v>144.12121781240506</v>
      </c>
      <c r="K426" s="360">
        <f t="shared" ca="1" si="189"/>
        <v>633.66155155165336</v>
      </c>
      <c r="L426" s="357">
        <f t="shared" ca="1" si="174"/>
        <v>649.8445101242138</v>
      </c>
      <c r="M426" s="359">
        <f t="shared" ca="1" si="190"/>
        <v>1.331305942005629</v>
      </c>
      <c r="N426" s="357">
        <f t="shared" ca="1" si="191"/>
        <v>76.278211717610887</v>
      </c>
      <c r="O426" s="343"/>
      <c r="P426" s="363">
        <f t="shared" ca="1" si="192"/>
        <v>16</v>
      </c>
      <c r="Q426" s="357">
        <f t="shared" ca="1" si="193"/>
        <v>511.09583333337923</v>
      </c>
      <c r="R426" s="359">
        <f t="shared" ca="1" si="194"/>
        <v>0.25602439131807087</v>
      </c>
      <c r="S426" s="360">
        <f t="shared" ca="1" si="195"/>
        <v>9.6938428639618444</v>
      </c>
      <c r="T426" s="357">
        <f t="shared" ca="1" si="175"/>
        <v>95.096598495465699</v>
      </c>
      <c r="U426" s="364">
        <f t="shared" ca="1" si="176"/>
        <v>0</v>
      </c>
      <c r="V426" s="359">
        <f t="shared" ca="1" si="177"/>
        <v>1.149760285641847</v>
      </c>
      <c r="W426" s="357">
        <f t="shared" ca="1" si="178"/>
        <v>189.53951176564172</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633.66155155165336</v>
      </c>
      <c r="AF426" s="344"/>
      <c r="AG426" s="359">
        <f t="shared" ca="1" si="201"/>
        <v>23.670314798533294</v>
      </c>
      <c r="AH426" s="357">
        <f t="shared" ca="1" si="202"/>
        <v>33.200528874305434</v>
      </c>
    </row>
    <row r="427" spans="1:34" x14ac:dyDescent="0.25">
      <c r="A427" s="402">
        <f t="shared" ca="1" si="180"/>
        <v>0.01</v>
      </c>
      <c r="B427" s="357">
        <f t="shared" ca="1" si="181"/>
        <v>4.2299999999999542</v>
      </c>
      <c r="C427" s="342"/>
      <c r="D427" s="359">
        <f t="shared" ca="1" si="182"/>
        <v>7.6247137717025115</v>
      </c>
      <c r="E427" s="360">
        <f t="shared" ca="1" si="183"/>
        <v>21.416221726363254</v>
      </c>
      <c r="F427" s="357">
        <f t="shared" ca="1" si="184"/>
        <v>22.733033522456772</v>
      </c>
      <c r="G427" s="359">
        <f t="shared" ca="1" si="185"/>
        <v>63.81076889614009</v>
      </c>
      <c r="H427" s="360">
        <f t="shared" ca="1" si="186"/>
        <v>261.23226304596596</v>
      </c>
      <c r="I427" s="357">
        <f t="shared" ca="1" si="187"/>
        <v>268.912828781435</v>
      </c>
      <c r="J427" s="359">
        <f t="shared" ca="1" si="188"/>
        <v>144.75894426567788</v>
      </c>
      <c r="K427" s="360">
        <f t="shared" ca="1" si="189"/>
        <v>636.27280337102673</v>
      </c>
      <c r="L427" s="357">
        <f t="shared" ca="1" si="174"/>
        <v>652.53216951698164</v>
      </c>
      <c r="M427" s="359">
        <f t="shared" ca="1" si="190"/>
        <v>1.3312194081484798</v>
      </c>
      <c r="N427" s="357">
        <f t="shared" ca="1" si="191"/>
        <v>76.273253692811252</v>
      </c>
      <c r="O427" s="343"/>
      <c r="P427" s="363">
        <f t="shared" ca="1" si="192"/>
        <v>16</v>
      </c>
      <c r="Q427" s="357">
        <f t="shared" ca="1" si="193"/>
        <v>501.05416666671272</v>
      </c>
      <c r="R427" s="359">
        <f t="shared" ca="1" si="194"/>
        <v>0.2509941965317336</v>
      </c>
      <c r="S427" s="360">
        <f t="shared" ca="1" si="195"/>
        <v>9.6913329219965263</v>
      </c>
      <c r="T427" s="357">
        <f t="shared" ca="1" si="175"/>
        <v>95.071975964785935</v>
      </c>
      <c r="U427" s="364">
        <f t="shared" ca="1" si="176"/>
        <v>0</v>
      </c>
      <c r="V427" s="359">
        <f t="shared" ca="1" si="177"/>
        <v>1.1494597906263206</v>
      </c>
      <c r="W427" s="357">
        <f t="shared" ca="1" si="178"/>
        <v>189.80907332078948</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636.27280337102673</v>
      </c>
      <c r="AF427" s="344"/>
      <c r="AG427" s="359">
        <f t="shared" ca="1" si="201"/>
        <v>22.613620988601852</v>
      </c>
      <c r="AH427" s="357">
        <f t="shared" ca="1" si="202"/>
        <v>32.143633637228859</v>
      </c>
    </row>
    <row r="428" spans="1:34" x14ac:dyDescent="0.25">
      <c r="A428" s="402">
        <f t="shared" ca="1" si="180"/>
        <v>0.01</v>
      </c>
      <c r="B428" s="357">
        <f t="shared" ca="1" si="181"/>
        <v>4.239999999999954</v>
      </c>
      <c r="C428" s="342"/>
      <c r="D428" s="359">
        <f t="shared" ca="1" si="182"/>
        <v>7.3768183437338157</v>
      </c>
      <c r="E428" s="360">
        <f t="shared" ca="1" si="183"/>
        <v>20.389650989147476</v>
      </c>
      <c r="F428" s="357">
        <f t="shared" ca="1" si="184"/>
        <v>21.683065196961667</v>
      </c>
      <c r="G428" s="359">
        <f t="shared" ca="1" si="185"/>
        <v>63.884537079577427</v>
      </c>
      <c r="H428" s="360">
        <f t="shared" ca="1" si="186"/>
        <v>261.43615955585744</v>
      </c>
      <c r="I428" s="357">
        <f t="shared" ca="1" si="187"/>
        <v>269.12840727278802</v>
      </c>
      <c r="J428" s="359">
        <f t="shared" ca="1" si="188"/>
        <v>145.39742079555646</v>
      </c>
      <c r="K428" s="360">
        <f t="shared" ca="1" si="189"/>
        <v>638.88614548403586</v>
      </c>
      <c r="L428" s="357">
        <f t="shared" ca="1" si="174"/>
        <v>655.22203630940919</v>
      </c>
      <c r="M428" s="359">
        <f t="shared" ca="1" si="190"/>
        <v>1.3311329129652045</v>
      </c>
      <c r="N428" s="357">
        <f t="shared" ca="1" si="191"/>
        <v>76.268297883861365</v>
      </c>
      <c r="O428" s="343"/>
      <c r="P428" s="363">
        <f t="shared" ca="1" si="192"/>
        <v>16</v>
      </c>
      <c r="Q428" s="357">
        <f t="shared" ca="1" si="193"/>
        <v>491.0125000000462</v>
      </c>
      <c r="R428" s="359">
        <f t="shared" ca="1" si="194"/>
        <v>0.24596400174539634</v>
      </c>
      <c r="S428" s="360">
        <f t="shared" ca="1" si="195"/>
        <v>9.6888732819790722</v>
      </c>
      <c r="T428" s="357">
        <f t="shared" ca="1" si="175"/>
        <v>95.047846896214708</v>
      </c>
      <c r="U428" s="364">
        <f t="shared" ca="1" si="176"/>
        <v>0</v>
      </c>
      <c r="V428" s="359">
        <f t="shared" ca="1" si="177"/>
        <v>1.1491591311952469</v>
      </c>
      <c r="W428" s="357">
        <f t="shared" ca="1" si="178"/>
        <v>190.06379537063947</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638.88614548403586</v>
      </c>
      <c r="AF428" s="344"/>
      <c r="AG428" s="359">
        <f t="shared" ca="1" si="201"/>
        <v>21.557748462216317</v>
      </c>
      <c r="AH428" s="357">
        <f t="shared" ca="1" si="202"/>
        <v>31.087559710320846</v>
      </c>
    </row>
    <row r="429" spans="1:34" x14ac:dyDescent="0.25">
      <c r="A429" s="402">
        <f t="shared" ca="1" si="180"/>
        <v>0.01</v>
      </c>
      <c r="B429" s="357">
        <f t="shared" ca="1" si="181"/>
        <v>4.2499999999999538</v>
      </c>
      <c r="C429" s="342"/>
      <c r="D429" s="359">
        <f t="shared" ca="1" si="182"/>
        <v>7.1289435049910983</v>
      </c>
      <c r="E429" s="360">
        <f t="shared" ca="1" si="183"/>
        <v>19.363939373059239</v>
      </c>
      <c r="F429" s="357">
        <f t="shared" ca="1" si="184"/>
        <v>20.634533761170097</v>
      </c>
      <c r="G429" s="359">
        <f t="shared" ca="1" si="185"/>
        <v>63.95582651462734</v>
      </c>
      <c r="H429" s="360">
        <f t="shared" ca="1" si="186"/>
        <v>261.62979894958806</v>
      </c>
      <c r="I429" s="357">
        <f t="shared" ca="1" si="187"/>
        <v>269.33343543565286</v>
      </c>
      <c r="J429" s="359">
        <f t="shared" ca="1" si="188"/>
        <v>146.03662261352747</v>
      </c>
      <c r="K429" s="360">
        <f t="shared" ca="1" si="189"/>
        <v>641.50147527656304</v>
      </c>
      <c r="L429" s="357">
        <f t="shared" ca="1" si="174"/>
        <v>657.91400496293784</v>
      </c>
      <c r="M429" s="359">
        <f t="shared" ca="1" si="190"/>
        <v>1.3310464530215491</v>
      </c>
      <c r="N429" s="357">
        <f t="shared" ca="1" si="191"/>
        <v>76.26334409399297</v>
      </c>
      <c r="O429" s="343"/>
      <c r="P429" s="363">
        <f t="shared" ca="1" si="192"/>
        <v>16</v>
      </c>
      <c r="Q429" s="357">
        <f t="shared" ca="1" si="193"/>
        <v>480.97083333337969</v>
      </c>
      <c r="R429" s="359">
        <f t="shared" ca="1" si="194"/>
        <v>0.24093380695905908</v>
      </c>
      <c r="S429" s="360">
        <f t="shared" ca="1" si="195"/>
        <v>9.686463943909482</v>
      </c>
      <c r="T429" s="357">
        <f t="shared" ca="1" si="175"/>
        <v>95.024211289752017</v>
      </c>
      <c r="U429" s="364">
        <f t="shared" ca="1" si="176"/>
        <v>0</v>
      </c>
      <c r="V429" s="359">
        <f t="shared" ca="1" si="177"/>
        <v>1.1488583193034643</v>
      </c>
      <c r="W429" s="357">
        <f t="shared" ca="1" si="178"/>
        <v>190.30366729708018</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641.50147527656304</v>
      </c>
      <c r="AF429" s="344"/>
      <c r="AG429" s="359">
        <f t="shared" ca="1" si="201"/>
        <v>20.502715618775191</v>
      </c>
      <c r="AH429" s="357">
        <f t="shared" ca="1" si="202"/>
        <v>30.032325485055114</v>
      </c>
    </row>
    <row r="430" spans="1:34" x14ac:dyDescent="0.25">
      <c r="A430" s="402">
        <f t="shared" ca="1" si="180"/>
        <v>0.01</v>
      </c>
      <c r="B430" s="357">
        <f t="shared" ca="1" si="181"/>
        <v>4.2599999999999536</v>
      </c>
      <c r="C430" s="342"/>
      <c r="D430" s="359">
        <f t="shared" ca="1" si="182"/>
        <v>6.8810940022819471</v>
      </c>
      <c r="E430" s="360">
        <f t="shared" ca="1" si="183"/>
        <v>18.339104444119663</v>
      </c>
      <c r="F430" s="357">
        <f t="shared" ca="1" si="184"/>
        <v>19.587552335107368</v>
      </c>
      <c r="G430" s="359">
        <f t="shared" ca="1" si="185"/>
        <v>64.024637454650161</v>
      </c>
      <c r="H430" s="360">
        <f t="shared" ca="1" si="186"/>
        <v>261.81318999402924</v>
      </c>
      <c r="I430" s="357">
        <f t="shared" ca="1" si="187"/>
        <v>269.52792184864455</v>
      </c>
      <c r="J430" s="359">
        <f t="shared" ca="1" si="188"/>
        <v>146.67652493337386</v>
      </c>
      <c r="K430" s="360">
        <f t="shared" ca="1" si="189"/>
        <v>644.1186902212811</v>
      </c>
      <c r="L430" s="357">
        <f t="shared" ca="1" si="174"/>
        <v>660.60797002375716</v>
      </c>
      <c r="M430" s="359">
        <f t="shared" ca="1" si="190"/>
        <v>1.3309600248967715</v>
      </c>
      <c r="N430" s="357">
        <f t="shared" ca="1" si="191"/>
        <v>76.258392127211977</v>
      </c>
      <c r="O430" s="343"/>
      <c r="P430" s="363">
        <f t="shared" ca="1" si="192"/>
        <v>16</v>
      </c>
      <c r="Q430" s="357">
        <f t="shared" ca="1" si="193"/>
        <v>470.92916666671312</v>
      </c>
      <c r="R430" s="359">
        <f t="shared" ca="1" si="194"/>
        <v>0.23590361217272182</v>
      </c>
      <c r="S430" s="360">
        <f t="shared" ca="1" si="195"/>
        <v>9.6841049077877539</v>
      </c>
      <c r="T430" s="357">
        <f t="shared" ca="1" si="175"/>
        <v>95.001069145397864</v>
      </c>
      <c r="U430" s="364">
        <f t="shared" ca="1" si="176"/>
        <v>0</v>
      </c>
      <c r="V430" s="359">
        <f t="shared" ca="1" si="177"/>
        <v>1.1485573668838842</v>
      </c>
      <c r="W430" s="357">
        <f t="shared" ca="1" si="178"/>
        <v>190.52868057309919</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644.1186902212811</v>
      </c>
      <c r="AF430" s="344"/>
      <c r="AG430" s="359">
        <f t="shared" ca="1" si="201"/>
        <v>19.448540632909165</v>
      </c>
      <c r="AH430" s="357">
        <f t="shared" ca="1" si="202"/>
        <v>28.977949128159466</v>
      </c>
    </row>
    <row r="431" spans="1:34" x14ac:dyDescent="0.25">
      <c r="A431" s="402">
        <f t="shared" ca="1" si="180"/>
        <v>0.01</v>
      </c>
      <c r="B431" s="357">
        <f t="shared" ca="1" si="181"/>
        <v>4.2699999999999534</v>
      </c>
      <c r="C431" s="342"/>
      <c r="D431" s="359">
        <f t="shared" ca="1" si="182"/>
        <v>6.6332745204689525</v>
      </c>
      <c r="E431" s="360">
        <f t="shared" ca="1" si="183"/>
        <v>17.315163551925025</v>
      </c>
      <c r="F431" s="357">
        <f t="shared" ca="1" si="184"/>
        <v>18.54225497866469</v>
      </c>
      <c r="G431" s="359">
        <f t="shared" ca="1" si="185"/>
        <v>64.090970199854851</v>
      </c>
      <c r="H431" s="360">
        <f t="shared" ca="1" si="186"/>
        <v>261.98634162954852</v>
      </c>
      <c r="I431" s="357">
        <f t="shared" ca="1" si="187"/>
        <v>269.71187526987609</v>
      </c>
      <c r="J431" s="359">
        <f t="shared" ca="1" si="188"/>
        <v>147.31710297164639</v>
      </c>
      <c r="K431" s="360">
        <f t="shared" ca="1" si="189"/>
        <v>646.737687879399</v>
      </c>
      <c r="L431" s="357">
        <f t="shared" ca="1" si="174"/>
        <v>663.3038261246121</v>
      </c>
      <c r="M431" s="359">
        <f t="shared" ca="1" si="190"/>
        <v>1.3308736251828572</v>
      </c>
      <c r="N431" s="357">
        <f t="shared" ca="1" si="191"/>
        <v>76.253441788253554</v>
      </c>
      <c r="O431" s="343"/>
      <c r="P431" s="363">
        <f t="shared" ca="1" si="192"/>
        <v>16</v>
      </c>
      <c r="Q431" s="357">
        <f t="shared" ca="1" si="193"/>
        <v>460.8875000000466</v>
      </c>
      <c r="R431" s="359">
        <f t="shared" ca="1" si="194"/>
        <v>0.23087341738638456</v>
      </c>
      <c r="S431" s="360">
        <f t="shared" ca="1" si="195"/>
        <v>9.6817961736138898</v>
      </c>
      <c r="T431" s="357">
        <f t="shared" ca="1" si="175"/>
        <v>94.978420463152261</v>
      </c>
      <c r="U431" s="364">
        <f t="shared" ca="1" si="176"/>
        <v>0</v>
      </c>
      <c r="V431" s="359">
        <f t="shared" ca="1" si="177"/>
        <v>1.1482562858472938</v>
      </c>
      <c r="W431" s="357">
        <f t="shared" ca="1" si="178"/>
        <v>190.73882875160044</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646.737687879399</v>
      </c>
      <c r="AF431" s="344"/>
      <c r="AG431" s="359">
        <f t="shared" ca="1" si="201"/>
        <v>18.395241454398374</v>
      </c>
      <c r="AH431" s="357">
        <f t="shared" ca="1" si="202"/>
        <v>27.924448581531287</v>
      </c>
    </row>
    <row r="432" spans="1:34" x14ac:dyDescent="0.25">
      <c r="A432" s="402">
        <f t="shared" ca="1" si="180"/>
        <v>0.01</v>
      </c>
      <c r="B432" s="357">
        <f t="shared" ca="1" si="181"/>
        <v>4.2799999999999532</v>
      </c>
      <c r="C432" s="342"/>
      <c r="D432" s="359">
        <f t="shared" ca="1" si="182"/>
        <v>6.3854896824769884</v>
      </c>
      <c r="E432" s="360">
        <f t="shared" ca="1" si="183"/>
        <v>16.292133829597766</v>
      </c>
      <c r="F432" s="357">
        <f t="shared" ca="1" si="184"/>
        <v>17.498802907814696</v>
      </c>
      <c r="G432" s="359">
        <f t="shared" ca="1" si="185"/>
        <v>64.154825096679616</v>
      </c>
      <c r="H432" s="360">
        <f t="shared" ca="1" si="186"/>
        <v>262.14926296784449</v>
      </c>
      <c r="I432" s="357">
        <f t="shared" ca="1" si="187"/>
        <v>269.88530463470892</v>
      </c>
      <c r="J432" s="359">
        <f t="shared" ca="1" si="188"/>
        <v>147.95833194812906</v>
      </c>
      <c r="K432" s="360">
        <f t="shared" ca="1" si="189"/>
        <v>649.35836590238591</v>
      </c>
      <c r="L432" s="357">
        <f t="shared" ca="1" si="174"/>
        <v>666.00146798658761</v>
      </c>
      <c r="M432" s="359">
        <f t="shared" ca="1" si="190"/>
        <v>1.3307872504837426</v>
      </c>
      <c r="N432" s="357">
        <f t="shared" ca="1" si="191"/>
        <v>76.248492882537576</v>
      </c>
      <c r="O432" s="343"/>
      <c r="P432" s="363">
        <f t="shared" ca="1" si="192"/>
        <v>16</v>
      </c>
      <c r="Q432" s="357">
        <f t="shared" ca="1" si="193"/>
        <v>450.84583333338009</v>
      </c>
      <c r="R432" s="359">
        <f t="shared" ca="1" si="194"/>
        <v>0.22584322260004733</v>
      </c>
      <c r="S432" s="360">
        <f t="shared" ca="1" si="195"/>
        <v>9.6795377413878896</v>
      </c>
      <c r="T432" s="357">
        <f t="shared" ca="1" si="175"/>
        <v>94.956265243015196</v>
      </c>
      <c r="U432" s="364">
        <f t="shared" ca="1" si="176"/>
        <v>0</v>
      </c>
      <c r="V432" s="359">
        <f t="shared" ca="1" si="177"/>
        <v>1.1479550880821607</v>
      </c>
      <c r="W432" s="357">
        <f t="shared" ca="1" si="178"/>
        <v>190.93410745406825</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649.35836590238591</v>
      </c>
      <c r="AF432" s="344"/>
      <c r="AG432" s="359">
        <f t="shared" ca="1" si="201"/>
        <v>17.342835808123098</v>
      </c>
      <c r="AH432" s="357">
        <f t="shared" ca="1" si="202"/>
        <v>26.871841562186468</v>
      </c>
    </row>
    <row r="433" spans="1:34" x14ac:dyDescent="0.25">
      <c r="A433" s="402">
        <f t="shared" ca="1" si="180"/>
        <v>0.01</v>
      </c>
      <c r="B433" s="357">
        <f t="shared" ca="1" si="181"/>
        <v>4.289999999999953</v>
      </c>
      <c r="C433" s="342"/>
      <c r="D433" s="359">
        <f t="shared" ca="1" si="182"/>
        <v>6.1377440493045192</v>
      </c>
      <c r="E433" s="360">
        <f t="shared" ca="1" si="183"/>
        <v>15.270032193770698</v>
      </c>
      <c r="F433" s="357">
        <f t="shared" ca="1" si="184"/>
        <v>16.457393026040503</v>
      </c>
      <c r="G433" s="359">
        <f t="shared" ca="1" si="185"/>
        <v>64.216202537172663</v>
      </c>
      <c r="H433" s="360">
        <f t="shared" ca="1" si="186"/>
        <v>262.30196328978218</v>
      </c>
      <c r="I433" s="357">
        <f t="shared" ca="1" si="187"/>
        <v>270.04821905350428</v>
      </c>
      <c r="J433" s="359">
        <f t="shared" ca="1" si="188"/>
        <v>148.60018708629832</v>
      </c>
      <c r="K433" s="360">
        <f t="shared" ca="1" si="189"/>
        <v>651.98062203367408</v>
      </c>
      <c r="L433" s="357">
        <f t="shared" ca="1" si="174"/>
        <v>668.70079042087241</v>
      </c>
      <c r="M433" s="359">
        <f t="shared" ca="1" si="190"/>
        <v>1.3307008974145458</v>
      </c>
      <c r="N433" s="357">
        <f t="shared" ca="1" si="191"/>
        <v>76.243545216124588</v>
      </c>
      <c r="O433" s="343"/>
      <c r="P433" s="363">
        <f t="shared" ca="1" si="192"/>
        <v>16</v>
      </c>
      <c r="Q433" s="357">
        <f t="shared" ca="1" si="193"/>
        <v>440.80416666671357</v>
      </c>
      <c r="R433" s="359">
        <f t="shared" ca="1" si="194"/>
        <v>0.22081302781371007</v>
      </c>
      <c r="S433" s="360">
        <f t="shared" ca="1" si="195"/>
        <v>9.6773296111097533</v>
      </c>
      <c r="T433" s="357">
        <f t="shared" ca="1" si="175"/>
        <v>94.934603484986681</v>
      </c>
      <c r="U433" s="364">
        <f t="shared" ca="1" si="176"/>
        <v>0</v>
      </c>
      <c r="V433" s="359">
        <f t="shared" ca="1" si="177"/>
        <v>1.1476537854544429</v>
      </c>
      <c r="W433" s="357">
        <f t="shared" ca="1" si="178"/>
        <v>191.11451435908484</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651.98062203367408</v>
      </c>
      <c r="AF433" s="344"/>
      <c r="AG433" s="359">
        <f t="shared" ca="1" si="201"/>
        <v>16.291341194047764</v>
      </c>
      <c r="AH433" s="357">
        <f t="shared" ca="1" si="202"/>
        <v>25.82014556224166</v>
      </c>
    </row>
    <row r="434" spans="1:34" x14ac:dyDescent="0.25">
      <c r="A434" s="402">
        <f t="shared" ca="1" si="180"/>
        <v>0.01</v>
      </c>
      <c r="B434" s="357">
        <f t="shared" ca="1" si="181"/>
        <v>4.2999999999999527</v>
      </c>
      <c r="C434" s="342"/>
      <c r="D434" s="359">
        <f t="shared" ca="1" si="182"/>
        <v>5.8900421200387525</v>
      </c>
      <c r="E434" s="360">
        <f t="shared" ca="1" si="183"/>
        <v>14.248875344603922</v>
      </c>
      <c r="F434" s="357">
        <f t="shared" ca="1" si="184"/>
        <v>15.418269836849145</v>
      </c>
      <c r="G434" s="359">
        <f t="shared" ca="1" si="185"/>
        <v>64.275102958373054</v>
      </c>
      <c r="H434" s="360">
        <f t="shared" ca="1" si="186"/>
        <v>262.44445204322824</v>
      </c>
      <c r="I434" s="357">
        <f t="shared" ca="1" si="187"/>
        <v>270.20062780937388</v>
      </c>
      <c r="J434" s="359">
        <f t="shared" ca="1" si="188"/>
        <v>149.24264361377604</v>
      </c>
      <c r="K434" s="360">
        <f t="shared" ca="1" si="189"/>
        <v>654.60435411033916</v>
      </c>
      <c r="L434" s="357">
        <f t="shared" ca="1" si="174"/>
        <v>671.40168833049779</v>
      </c>
      <c r="M434" s="359">
        <f t="shared" ca="1" si="190"/>
        <v>1.3306145626008055</v>
      </c>
      <c r="N434" s="357">
        <f t="shared" ca="1" si="191"/>
        <v>76.238598595672229</v>
      </c>
      <c r="O434" s="343"/>
      <c r="P434" s="363">
        <f t="shared" ca="1" si="192"/>
        <v>16</v>
      </c>
      <c r="Q434" s="357">
        <f t="shared" ca="1" si="193"/>
        <v>430.76250000004705</v>
      </c>
      <c r="R434" s="359">
        <f t="shared" ca="1" si="194"/>
        <v>0.21578283302737283</v>
      </c>
      <c r="S434" s="360">
        <f t="shared" ca="1" si="195"/>
        <v>9.6751717827794792</v>
      </c>
      <c r="T434" s="357">
        <f t="shared" ca="1" si="175"/>
        <v>94.913435189066689</v>
      </c>
      <c r="U434" s="364">
        <f t="shared" ca="1" si="176"/>
        <v>0</v>
      </c>
      <c r="V434" s="359">
        <f t="shared" ca="1" si="177"/>
        <v>1.1473523898074005</v>
      </c>
      <c r="W434" s="357">
        <f t="shared" ca="1" si="178"/>
        <v>191.28004919070275</v>
      </c>
      <c r="X434" s="343"/>
      <c r="Y434" s="367" t="str">
        <f t="shared" ca="1" si="196"/>
        <v/>
      </c>
      <c r="Z434" s="368" t="str">
        <f t="shared" ca="1" si="197"/>
        <v/>
      </c>
      <c r="AA434" s="369" t="str">
        <f t="shared" ca="1" si="198"/>
        <v/>
      </c>
      <c r="AB434" s="344"/>
      <c r="AC434" s="363" t="e">
        <f t="shared" ca="1" si="199"/>
        <v>#N/A</v>
      </c>
      <c r="AD434" s="376" t="e">
        <f t="shared" ca="1" si="200"/>
        <v>#N/A</v>
      </c>
      <c r="AE434" s="377">
        <f t="shared" ca="1" si="179"/>
        <v>654.60435411033916</v>
      </c>
      <c r="AF434" s="344"/>
      <c r="AG434" s="359">
        <f t="shared" ca="1" si="201"/>
        <v>15.24077488723753</v>
      </c>
      <c r="AH434" s="357">
        <f t="shared" ca="1" si="202"/>
        <v>24.769377848929132</v>
      </c>
    </row>
    <row r="435" spans="1:34" x14ac:dyDescent="0.25">
      <c r="A435" s="402">
        <f t="shared" ca="1" si="180"/>
        <v>0.01</v>
      </c>
      <c r="B435" s="357">
        <f t="shared" ca="1" si="181"/>
        <v>4.3099999999999525</v>
      </c>
      <c r="C435" s="342"/>
      <c r="D435" s="359">
        <f t="shared" ca="1" si="182"/>
        <v>5.6423883318747663</v>
      </c>
      <c r="E435" s="360">
        <f t="shared" ca="1" si="183"/>
        <v>13.228679765834174</v>
      </c>
      <c r="F435" s="357">
        <f t="shared" ca="1" si="184"/>
        <v>14.381742399120736</v>
      </c>
      <c r="G435" s="359">
        <f t="shared" ca="1" si="185"/>
        <v>64.331526841691797</v>
      </c>
      <c r="H435" s="360">
        <f t="shared" ca="1" si="186"/>
        <v>262.57673884088661</v>
      </c>
      <c r="I435" s="357">
        <f t="shared" ca="1" si="187"/>
        <v>270.34254035593153</v>
      </c>
      <c r="J435" s="359">
        <f t="shared" ca="1" si="188"/>
        <v>149.88567676277637</v>
      </c>
      <c r="K435" s="360">
        <f t="shared" ca="1" si="189"/>
        <v>657.22946006475968</v>
      </c>
      <c r="L435" s="357">
        <f t="shared" ca="1" si="174"/>
        <v>674.10405671205615</v>
      </c>
      <c r="M435" s="359">
        <f t="shared" ca="1" si="190"/>
        <v>1.3305282426777243</v>
      </c>
      <c r="N435" s="357">
        <f t="shared" ca="1" si="191"/>
        <v>76.233652828391783</v>
      </c>
      <c r="O435" s="343"/>
      <c r="P435" s="363">
        <f t="shared" ca="1" si="192"/>
        <v>16</v>
      </c>
      <c r="Q435" s="357">
        <f t="shared" ca="1" si="193"/>
        <v>420.72083333338054</v>
      </c>
      <c r="R435" s="359">
        <f t="shared" ca="1" si="194"/>
        <v>0.21075263824103557</v>
      </c>
      <c r="S435" s="360">
        <f t="shared" ca="1" si="195"/>
        <v>9.673064256397069</v>
      </c>
      <c r="T435" s="357">
        <f t="shared" ca="1" si="175"/>
        <v>94.892760355255248</v>
      </c>
      <c r="U435" s="364">
        <f t="shared" ca="1" si="176"/>
        <v>0</v>
      </c>
      <c r="V435" s="359">
        <f t="shared" ca="1" si="177"/>
        <v>1.1470509129614128</v>
      </c>
      <c r="W435" s="357">
        <f t="shared" ca="1" si="178"/>
        <v>191.43071370668005</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657.22946006475968</v>
      </c>
      <c r="AF435" s="344"/>
      <c r="AG435" s="359">
        <f t="shared" ca="1" si="201"/>
        <v>14.19115393790746</v>
      </c>
      <c r="AH435" s="357">
        <f t="shared" ca="1" si="202"/>
        <v>23.71955546464422</v>
      </c>
    </row>
    <row r="436" spans="1:34" x14ac:dyDescent="0.25">
      <c r="A436" s="402">
        <f t="shared" ca="1" si="180"/>
        <v>0.01</v>
      </c>
      <c r="B436" s="357">
        <f t="shared" ca="1" si="181"/>
        <v>4.3199999999999523</v>
      </c>
      <c r="C436" s="342"/>
      <c r="D436" s="359">
        <f t="shared" ca="1" si="182"/>
        <v>5.3393152160578623</v>
      </c>
      <c r="E436" s="360">
        <f t="shared" ca="1" si="183"/>
        <v>11.983046829527547</v>
      </c>
      <c r="F436" s="357">
        <f t="shared" ca="1" si="184"/>
        <v>13.118753686805665</v>
      </c>
      <c r="G436" s="359">
        <f t="shared" ca="1" si="185"/>
        <v>64.384919993852378</v>
      </c>
      <c r="H436" s="360">
        <f t="shared" ca="1" si="186"/>
        <v>262.69656930918188</v>
      </c>
      <c r="I436" s="357">
        <f t="shared" ca="1" si="187"/>
        <v>270.47163520308106</v>
      </c>
      <c r="J436" s="359">
        <f t="shared" ca="1" si="188"/>
        <v>150.5292589969541</v>
      </c>
      <c r="K436" s="360">
        <f t="shared" ca="1" si="189"/>
        <v>659.85582660551006</v>
      </c>
      <c r="L436" s="357">
        <f t="shared" ca="1" si="174"/>
        <v>676.80777900332453</v>
      </c>
      <c r="M436" s="359">
        <f t="shared" ca="1" si="190"/>
        <v>1.330441933545554</v>
      </c>
      <c r="N436" s="357">
        <f t="shared" ca="1" si="191"/>
        <v>76.228707679384982</v>
      </c>
      <c r="O436" s="343"/>
      <c r="P436" s="363">
        <f t="shared" ca="1" si="192"/>
        <v>17</v>
      </c>
      <c r="Q436" s="357">
        <f t="shared" ca="1" si="193"/>
        <v>408.42500000006868</v>
      </c>
      <c r="R436" s="359">
        <f t="shared" ca="1" si="194"/>
        <v>0.20459325864997518</v>
      </c>
      <c r="S436" s="360">
        <f t="shared" ca="1" si="195"/>
        <v>9.6710183238105696</v>
      </c>
      <c r="T436" s="357">
        <f t="shared" ca="1" si="175"/>
        <v>94.872689756581693</v>
      </c>
      <c r="U436" s="364">
        <f t="shared" ca="1" si="176"/>
        <v>0</v>
      </c>
      <c r="V436" s="359">
        <f t="shared" ca="1" si="177"/>
        <v>1.1467493680134202</v>
      </c>
      <c r="W436" s="357">
        <f t="shared" ca="1" si="178"/>
        <v>191.56320984049796</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659.85582660551006</v>
      </c>
      <c r="AF436" s="344"/>
      <c r="AG436" s="359">
        <f t="shared" ca="1" si="201"/>
        <v>12.909383974191377</v>
      </c>
      <c r="AH436" s="357">
        <f t="shared" ca="1" si="202"/>
        <v>22.437584029712461</v>
      </c>
    </row>
    <row r="437" spans="1:34" x14ac:dyDescent="0.25">
      <c r="A437" s="402">
        <f t="shared" ca="1" si="180"/>
        <v>0.01</v>
      </c>
      <c r="B437" s="357">
        <f t="shared" ca="1" si="181"/>
        <v>4.3299999999999521</v>
      </c>
      <c r="C437" s="342"/>
      <c r="D437" s="359">
        <f t="shared" ca="1" si="182"/>
        <v>4.9808106594230441</v>
      </c>
      <c r="E437" s="360">
        <f t="shared" ca="1" si="183"/>
        <v>10.512179055809503</v>
      </c>
      <c r="F437" s="357">
        <f t="shared" ca="1" si="184"/>
        <v>11.632471075675287</v>
      </c>
      <c r="G437" s="359">
        <f t="shared" ca="1" si="185"/>
        <v>64.434728100446605</v>
      </c>
      <c r="H437" s="360">
        <f t="shared" ca="1" si="186"/>
        <v>262.80169109973997</v>
      </c>
      <c r="I437" s="357">
        <f t="shared" ca="1" si="187"/>
        <v>270.58559279876977</v>
      </c>
      <c r="J437" s="359">
        <f t="shared" ca="1" si="188"/>
        <v>151.17335723742559</v>
      </c>
      <c r="K437" s="360">
        <f t="shared" ca="1" si="189"/>
        <v>662.48331790755469</v>
      </c>
      <c r="L437" s="357">
        <f t="shared" ca="1" si="174"/>
        <v>679.51271543970131</v>
      </c>
      <c r="M437" s="359">
        <f t="shared" ca="1" si="190"/>
        <v>1.3303556303706905</v>
      </c>
      <c r="N437" s="357">
        <f t="shared" ca="1" si="191"/>
        <v>76.223762871706725</v>
      </c>
      <c r="O437" s="343"/>
      <c r="P437" s="363">
        <f t="shared" ca="1" si="192"/>
        <v>17</v>
      </c>
      <c r="Q437" s="357">
        <f t="shared" ca="1" si="193"/>
        <v>393.87500000006906</v>
      </c>
      <c r="R437" s="359">
        <f t="shared" ca="1" si="194"/>
        <v>0.19730469425417044</v>
      </c>
      <c r="S437" s="360">
        <f t="shared" ca="1" si="195"/>
        <v>9.6690452768680277</v>
      </c>
      <c r="T437" s="357">
        <f t="shared" ca="1" si="175"/>
        <v>94.853334166075356</v>
      </c>
      <c r="U437" s="364">
        <f t="shared" ca="1" si="176"/>
        <v>0</v>
      </c>
      <c r="V437" s="359">
        <f t="shared" ca="1" si="177"/>
        <v>1.1464477706333185</v>
      </c>
      <c r="W437" s="357">
        <f t="shared" ca="1" si="178"/>
        <v>191.67424222042109</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662.48331790755469</v>
      </c>
      <c r="AF437" s="344"/>
      <c r="AG437" s="359">
        <f t="shared" ca="1" si="201"/>
        <v>11.395658799571455</v>
      </c>
      <c r="AH437" s="357">
        <f t="shared" ca="1" si="202"/>
        <v>20.923657338080375</v>
      </c>
    </row>
    <row r="438" spans="1:34" x14ac:dyDescent="0.25">
      <c r="A438" s="402">
        <f t="shared" ca="1" si="180"/>
        <v>0.01</v>
      </c>
      <c r="B438" s="357">
        <f t="shared" ca="1" si="181"/>
        <v>4.3399999999999519</v>
      </c>
      <c r="C438" s="342"/>
      <c r="D438" s="359">
        <f t="shared" ca="1" si="182"/>
        <v>4.6223988427762981</v>
      </c>
      <c r="E438" s="360">
        <f t="shared" ca="1" si="183"/>
        <v>9.0427874429049151</v>
      </c>
      <c r="F438" s="357">
        <f t="shared" ca="1" si="184"/>
        <v>10.15571640994659</v>
      </c>
      <c r="G438" s="359">
        <f t="shared" ca="1" si="185"/>
        <v>64.480952088874375</v>
      </c>
      <c r="H438" s="360">
        <f t="shared" ca="1" si="186"/>
        <v>262.89211897416902</v>
      </c>
      <c r="I438" s="357">
        <f t="shared" ca="1" si="187"/>
        <v>270.68442770321377</v>
      </c>
      <c r="J438" s="359">
        <f t="shared" ca="1" si="188"/>
        <v>151.81793563837221</v>
      </c>
      <c r="K438" s="360">
        <f t="shared" ca="1" si="189"/>
        <v>665.11178695792421</v>
      </c>
      <c r="L438" s="357">
        <f t="shared" ca="1" si="174"/>
        <v>682.21871473293675</v>
      </c>
      <c r="M438" s="359">
        <f t="shared" ca="1" si="190"/>
        <v>1.3302693283295743</v>
      </c>
      <c r="N438" s="357">
        <f t="shared" ca="1" si="191"/>
        <v>76.218818128987408</v>
      </c>
      <c r="O438" s="343"/>
      <c r="P438" s="363">
        <f t="shared" ca="1" si="192"/>
        <v>17</v>
      </c>
      <c r="Q438" s="357">
        <f t="shared" ca="1" si="193"/>
        <v>379.32500000006945</v>
      </c>
      <c r="R438" s="359">
        <f t="shared" ca="1" si="194"/>
        <v>0.19001612985836566</v>
      </c>
      <c r="S438" s="360">
        <f t="shared" ca="1" si="195"/>
        <v>9.6671451155694434</v>
      </c>
      <c r="T438" s="357">
        <f t="shared" ca="1" si="175"/>
        <v>94.834693583736239</v>
      </c>
      <c r="U438" s="364">
        <f t="shared" ca="1" si="176"/>
        <v>0</v>
      </c>
      <c r="V438" s="359">
        <f t="shared" ca="1" si="177"/>
        <v>1.1461461377588418</v>
      </c>
      <c r="W438" s="357">
        <f t="shared" ca="1" si="178"/>
        <v>191.76382405667033</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665.11178695792421</v>
      </c>
      <c r="AF438" s="344"/>
      <c r="AG438" s="359">
        <f t="shared" ca="1" si="201"/>
        <v>9.8833896409475592</v>
      </c>
      <c r="AH438" s="357">
        <f t="shared" ca="1" si="202"/>
        <v>19.411186605384355</v>
      </c>
    </row>
    <row r="439" spans="1:34" x14ac:dyDescent="0.25">
      <c r="A439" s="402">
        <f t="shared" ca="1" si="180"/>
        <v>0.01</v>
      </c>
      <c r="B439" s="357">
        <f t="shared" ca="1" si="181"/>
        <v>4.3499999999999517</v>
      </c>
      <c r="C439" s="342"/>
      <c r="D439" s="359">
        <f t="shared" ca="1" si="182"/>
        <v>4.2640882802016975</v>
      </c>
      <c r="E439" s="360">
        <f t="shared" ca="1" si="183"/>
        <v>7.5749046448643025</v>
      </c>
      <c r="F439" s="357">
        <f t="shared" ca="1" si="184"/>
        <v>8.6926192393397894</v>
      </c>
      <c r="G439" s="359">
        <f t="shared" ca="1" si="185"/>
        <v>64.523592971676393</v>
      </c>
      <c r="H439" s="360">
        <f t="shared" ca="1" si="186"/>
        <v>262.96786802061769</v>
      </c>
      <c r="I439" s="357">
        <f t="shared" ca="1" si="187"/>
        <v>270.76815481382511</v>
      </c>
      <c r="J439" s="359">
        <f t="shared" ca="1" si="188"/>
        <v>152.46295836367497</v>
      </c>
      <c r="K439" s="360">
        <f t="shared" ca="1" si="189"/>
        <v>667.74108689289812</v>
      </c>
      <c r="L439" s="357">
        <f t="shared" ca="1" si="174"/>
        <v>684.92562574188491</v>
      </c>
      <c r="M439" s="359">
        <f t="shared" ca="1" si="190"/>
        <v>1.3301830226071696</v>
      </c>
      <c r="N439" s="357">
        <f t="shared" ca="1" si="191"/>
        <v>76.213873175345782</v>
      </c>
      <c r="O439" s="343"/>
      <c r="P439" s="363">
        <f t="shared" ca="1" si="192"/>
        <v>17</v>
      </c>
      <c r="Q439" s="357">
        <f t="shared" ca="1" si="193"/>
        <v>364.77500000006984</v>
      </c>
      <c r="R439" s="359">
        <f t="shared" ca="1" si="194"/>
        <v>0.18272756546256091</v>
      </c>
      <c r="S439" s="360">
        <f t="shared" ca="1" si="195"/>
        <v>9.6653178399148185</v>
      </c>
      <c r="T439" s="357">
        <f t="shared" ca="1" si="175"/>
        <v>94.81676800956437</v>
      </c>
      <c r="U439" s="364">
        <f t="shared" ca="1" si="176"/>
        <v>0</v>
      </c>
      <c r="V439" s="359">
        <f t="shared" ca="1" si="177"/>
        <v>1.1458444862934201</v>
      </c>
      <c r="W439" s="357">
        <f t="shared" ca="1" si="178"/>
        <v>191.83197267395195</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667.74108689289812</v>
      </c>
      <c r="AF439" s="344"/>
      <c r="AG439" s="359">
        <f t="shared" ca="1" si="201"/>
        <v>8.3726102178989894</v>
      </c>
      <c r="AH439" s="357">
        <f t="shared" ca="1" si="202"/>
        <v>17.900205539947798</v>
      </c>
    </row>
    <row r="440" spans="1:34" x14ac:dyDescent="0.25">
      <c r="A440" s="402">
        <f t="shared" ca="1" si="180"/>
        <v>0.01</v>
      </c>
      <c r="B440" s="357">
        <f t="shared" ca="1" si="181"/>
        <v>4.3599999999999515</v>
      </c>
      <c r="C440" s="342"/>
      <c r="D440" s="359">
        <f t="shared" ca="1" si="182"/>
        <v>3.9058873572623298</v>
      </c>
      <c r="E440" s="360">
        <f t="shared" ca="1" si="183"/>
        <v>6.1085628661260483</v>
      </c>
      <c r="F440" s="357">
        <f t="shared" ca="1" si="184"/>
        <v>7.2505514505474542</v>
      </c>
      <c r="G440" s="359">
        <f t="shared" ca="1" si="185"/>
        <v>64.562651845249022</v>
      </c>
      <c r="H440" s="360">
        <f t="shared" ca="1" si="186"/>
        <v>263.02895364927895</v>
      </c>
      <c r="I440" s="357">
        <f t="shared" ca="1" si="187"/>
        <v>270.83678936053974</v>
      </c>
      <c r="J440" s="359">
        <f t="shared" ca="1" si="188"/>
        <v>153.1083895877596</v>
      </c>
      <c r="K440" s="360">
        <f t="shared" ca="1" si="189"/>
        <v>670.37107100124763</v>
      </c>
      <c r="L440" s="357">
        <f t="shared" ca="1" si="174"/>
        <v>687.63329747585442</v>
      </c>
      <c r="M440" s="359">
        <f t="shared" ca="1" si="190"/>
        <v>1.3300967083954498</v>
      </c>
      <c r="N440" s="357">
        <f t="shared" ca="1" si="191"/>
        <v>76.20892773530224</v>
      </c>
      <c r="O440" s="343"/>
      <c r="P440" s="363">
        <f t="shared" ca="1" si="192"/>
        <v>17</v>
      </c>
      <c r="Q440" s="357">
        <f t="shared" ca="1" si="193"/>
        <v>350.22500000007022</v>
      </c>
      <c r="R440" s="359">
        <f t="shared" ca="1" si="194"/>
        <v>0.17543900106675614</v>
      </c>
      <c r="S440" s="360">
        <f t="shared" ca="1" si="195"/>
        <v>9.6635634499041512</v>
      </c>
      <c r="T440" s="357">
        <f t="shared" ca="1" si="175"/>
        <v>94.799557443559735</v>
      </c>
      <c r="U440" s="364">
        <f t="shared" ca="1" si="176"/>
        <v>0</v>
      </c>
      <c r="V440" s="359">
        <f t="shared" ca="1" si="177"/>
        <v>1.1455428331058255</v>
      </c>
      <c r="W440" s="357">
        <f t="shared" ca="1" si="178"/>
        <v>191.87870948530244</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670.37107100124763</v>
      </c>
      <c r="AF440" s="344"/>
      <c r="AG440" s="359">
        <f t="shared" ca="1" si="201"/>
        <v>6.8633537828186491</v>
      </c>
      <c r="AH440" s="357">
        <f t="shared" ca="1" si="202"/>
        <v>16.390747382911766</v>
      </c>
    </row>
    <row r="441" spans="1:34" x14ac:dyDescent="0.25">
      <c r="A441" s="402">
        <f t="shared" ca="1" si="180"/>
        <v>0.01</v>
      </c>
      <c r="B441" s="357">
        <f t="shared" ca="1" si="181"/>
        <v>4.3699999999999513</v>
      </c>
      <c r="C441" s="342"/>
      <c r="D441" s="359">
        <f t="shared" ca="1" si="182"/>
        <v>3.5478043309044085</v>
      </c>
      <c r="E441" s="360">
        <f t="shared" ca="1" si="183"/>
        <v>4.6437938613008818</v>
      </c>
      <c r="F441" s="357">
        <f t="shared" ca="1" si="184"/>
        <v>5.8439487503433698</v>
      </c>
      <c r="G441" s="359">
        <f t="shared" ca="1" si="185"/>
        <v>64.598129888558063</v>
      </c>
      <c r="H441" s="360">
        <f t="shared" ca="1" si="186"/>
        <v>263.07539158789194</v>
      </c>
      <c r="I441" s="357">
        <f t="shared" ca="1" si="187"/>
        <v>270.89034690114323</v>
      </c>
      <c r="J441" s="359">
        <f t="shared" ca="1" si="188"/>
        <v>153.75419349642863</v>
      </c>
      <c r="K441" s="360">
        <f t="shared" ca="1" si="189"/>
        <v>673.00159272743349</v>
      </c>
      <c r="L441" s="357">
        <f t="shared" ca="1" si="174"/>
        <v>690.34157909791259</v>
      </c>
      <c r="M441" s="359">
        <f t="shared" ca="1" si="190"/>
        <v>1.3300103808918919</v>
      </c>
      <c r="N441" s="357">
        <f t="shared" ca="1" si="191"/>
        <v>76.203981533692485</v>
      </c>
      <c r="O441" s="343"/>
      <c r="P441" s="363">
        <f t="shared" ca="1" si="192"/>
        <v>17</v>
      </c>
      <c r="Q441" s="357">
        <f t="shared" ca="1" si="193"/>
        <v>335.67500000007061</v>
      </c>
      <c r="R441" s="359">
        <f t="shared" ca="1" si="194"/>
        <v>0.16815043667095139</v>
      </c>
      <c r="S441" s="360">
        <f t="shared" ca="1" si="195"/>
        <v>9.6618819455374414</v>
      </c>
      <c r="T441" s="357">
        <f t="shared" ca="1" si="175"/>
        <v>94.783061885722304</v>
      </c>
      <c r="U441" s="364">
        <f t="shared" ca="1" si="176"/>
        <v>0</v>
      </c>
      <c r="V441" s="359">
        <f t="shared" ca="1" si="177"/>
        <v>1.1452411950298373</v>
      </c>
      <c r="W441" s="357">
        <f t="shared" ca="1" si="178"/>
        <v>191.90405996557288</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673.00159272743349</v>
      </c>
      <c r="AF441" s="344"/>
      <c r="AG441" s="359">
        <f t="shared" ca="1" si="201"/>
        <v>5.3556531206742317</v>
      </c>
      <c r="AH441" s="357">
        <f t="shared" ca="1" si="202"/>
        <v>14.882844907992665</v>
      </c>
    </row>
    <row r="442" spans="1:34" x14ac:dyDescent="0.25">
      <c r="A442" s="402">
        <f t="shared" ca="1" si="180"/>
        <v>0.01</v>
      </c>
      <c r="B442" s="357">
        <f t="shared" ca="1" si="181"/>
        <v>4.379999999999951</v>
      </c>
      <c r="C442" s="342"/>
      <c r="D442" s="359">
        <f t="shared" ca="1" si="182"/>
        <v>3.189847329372177</v>
      </c>
      <c r="E442" s="360">
        <f t="shared" ca="1" si="183"/>
        <v>3.1806289350462311</v>
      </c>
      <c r="F442" s="357">
        <f t="shared" ca="1" si="184"/>
        <v>4.5046116821715207</v>
      </c>
      <c r="G442" s="359">
        <f t="shared" ca="1" si="185"/>
        <v>64.630028361851785</v>
      </c>
      <c r="H442" s="360">
        <f t="shared" ca="1" si="186"/>
        <v>263.10719787724241</v>
      </c>
      <c r="I442" s="357">
        <f t="shared" ca="1" si="187"/>
        <v>270.92884331659513</v>
      </c>
      <c r="J442" s="359">
        <f t="shared" ca="1" si="188"/>
        <v>154.40033428768066</v>
      </c>
      <c r="K442" s="360">
        <f t="shared" ca="1" si="189"/>
        <v>675.63250567475916</v>
      </c>
      <c r="L442" s="357">
        <f t="shared" ca="1" si="174"/>
        <v>693.0503199281427</v>
      </c>
      <c r="M442" s="359">
        <f t="shared" ca="1" si="190"/>
        <v>1.329924035297974</v>
      </c>
      <c r="N442" s="357">
        <f t="shared" ca="1" si="191"/>
        <v>76.199034295581427</v>
      </c>
      <c r="O442" s="343"/>
      <c r="P442" s="363">
        <f t="shared" ca="1" si="192"/>
        <v>17</v>
      </c>
      <c r="Q442" s="357">
        <f t="shared" ca="1" si="193"/>
        <v>321.125000000071</v>
      </c>
      <c r="R442" s="359">
        <f t="shared" ca="1" si="194"/>
        <v>0.16086187227514662</v>
      </c>
      <c r="S442" s="360">
        <f t="shared" ca="1" si="195"/>
        <v>9.6602733268146892</v>
      </c>
      <c r="T442" s="357">
        <f t="shared" ca="1" si="175"/>
        <v>94.767281336052108</v>
      </c>
      <c r="U442" s="364">
        <f t="shared" ca="1" si="176"/>
        <v>0</v>
      </c>
      <c r="V442" s="359">
        <f t="shared" ca="1" si="177"/>
        <v>1.1449395888639038</v>
      </c>
      <c r="W442" s="357">
        <f t="shared" ca="1" si="178"/>
        <v>191.90805362456402</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675.63250567475916</v>
      </c>
      <c r="AF442" s="344"/>
      <c r="AG442" s="359">
        <f t="shared" ca="1" si="201"/>
        <v>3.8495405488593306</v>
      </c>
      <c r="AH442" s="357">
        <f t="shared" ca="1" si="202"/>
        <v>13.376530421329861</v>
      </c>
    </row>
    <row r="443" spans="1:34" x14ac:dyDescent="0.25">
      <c r="A443" s="402">
        <f t="shared" ca="1" si="180"/>
        <v>0.01</v>
      </c>
      <c r="B443" s="357">
        <f t="shared" ca="1" si="181"/>
        <v>4.3899999999999508</v>
      </c>
      <c r="C443" s="342"/>
      <c r="D443" s="359">
        <f t="shared" ca="1" si="182"/>
        <v>2.8320243521335278</v>
      </c>
      <c r="E443" s="360">
        <f t="shared" ca="1" si="183"/>
        <v>1.7190989420295555</v>
      </c>
      <c r="F443" s="357">
        <f t="shared" ca="1" si="184"/>
        <v>3.3129538335999289</v>
      </c>
      <c r="G443" s="359">
        <f t="shared" ca="1" si="185"/>
        <v>64.658348605373121</v>
      </c>
      <c r="H443" s="360">
        <f t="shared" ca="1" si="186"/>
        <v>263.12438886666268</v>
      </c>
      <c r="I443" s="357">
        <f t="shared" ca="1" si="187"/>
        <v>270.95229480635277</v>
      </c>
      <c r="J443" s="359">
        <f t="shared" ca="1" si="188"/>
        <v>155.04677617251679</v>
      </c>
      <c r="K443" s="360">
        <f t="shared" ca="1" si="189"/>
        <v>678.26366360847874</v>
      </c>
      <c r="L443" s="357">
        <f t="shared" ca="1" si="174"/>
        <v>695.75936944685566</v>
      </c>
      <c r="M443" s="359">
        <f t="shared" ca="1" si="190"/>
        <v>1.3298376668176803</v>
      </c>
      <c r="N443" s="357">
        <f t="shared" ca="1" si="191"/>
        <v>76.194085746177649</v>
      </c>
      <c r="O443" s="343"/>
      <c r="P443" s="363">
        <f t="shared" ca="1" si="192"/>
        <v>17</v>
      </c>
      <c r="Q443" s="357">
        <f t="shared" ca="1" si="193"/>
        <v>306.57500000007138</v>
      </c>
      <c r="R443" s="359">
        <f t="shared" ca="1" si="194"/>
        <v>0.15357330787934187</v>
      </c>
      <c r="S443" s="360">
        <f t="shared" ca="1" si="195"/>
        <v>9.6587375937358964</v>
      </c>
      <c r="T443" s="357">
        <f t="shared" ca="1" si="175"/>
        <v>94.752215794549144</v>
      </c>
      <c r="U443" s="364">
        <f t="shared" ca="1" si="176"/>
        <v>0</v>
      </c>
      <c r="V443" s="359">
        <f t="shared" ca="1" si="177"/>
        <v>1.1446380313708222</v>
      </c>
      <c r="W443" s="357">
        <f t="shared" ca="1" si="178"/>
        <v>191.89072397982633</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678.26366360847874</v>
      </c>
      <c r="AF443" s="344"/>
      <c r="AG443" s="359">
        <f t="shared" ca="1" si="201"/>
        <v>2.3450479171335132</v>
      </c>
      <c r="AH443" s="357">
        <f t="shared" ca="1" si="202"/>
        <v>11.871835761422256</v>
      </c>
    </row>
    <row r="444" spans="1:34" x14ac:dyDescent="0.25">
      <c r="A444" s="402">
        <f t="shared" ca="1" si="180"/>
        <v>0.01</v>
      </c>
      <c r="B444" s="357">
        <f t="shared" ca="1" si="181"/>
        <v>4.3999999999999506</v>
      </c>
      <c r="C444" s="342"/>
      <c r="D444" s="359">
        <f t="shared" ca="1" si="182"/>
        <v>2.4743432698160186</v>
      </c>
      <c r="E444" s="360">
        <f t="shared" ca="1" si="183"/>
        <v>0.25923428697924322</v>
      </c>
      <c r="F444" s="357">
        <f t="shared" ca="1" si="184"/>
        <v>2.4878860569627106</v>
      </c>
      <c r="G444" s="359">
        <f t="shared" ca="1" si="185"/>
        <v>64.68309203807128</v>
      </c>
      <c r="H444" s="360">
        <f t="shared" ca="1" si="186"/>
        <v>263.12698120953246</v>
      </c>
      <c r="I444" s="357">
        <f t="shared" ca="1" si="187"/>
        <v>270.96071788369483</v>
      </c>
      <c r="J444" s="359">
        <f t="shared" ca="1" si="188"/>
        <v>155.69348337573402</v>
      </c>
      <c r="K444" s="360">
        <f t="shared" ca="1" si="189"/>
        <v>680.8949204588597</v>
      </c>
      <c r="L444" s="357">
        <f t="shared" ca="1" si="174"/>
        <v>698.46857729775274</v>
      </c>
      <c r="M444" s="359">
        <f t="shared" ca="1" si="190"/>
        <v>1.3297512706560084</v>
      </c>
      <c r="N444" s="357">
        <f t="shared" ca="1" si="191"/>
        <v>76.189135610747712</v>
      </c>
      <c r="O444" s="343"/>
      <c r="P444" s="363">
        <f t="shared" ca="1" si="192"/>
        <v>17</v>
      </c>
      <c r="Q444" s="357">
        <f t="shared" ca="1" si="193"/>
        <v>292.02500000007177</v>
      </c>
      <c r="R444" s="359">
        <f t="shared" ca="1" si="194"/>
        <v>0.14628474348353709</v>
      </c>
      <c r="S444" s="360">
        <f t="shared" ca="1" si="195"/>
        <v>9.6572747463010611</v>
      </c>
      <c r="T444" s="357">
        <f t="shared" ca="1" si="175"/>
        <v>94.737865261213415</v>
      </c>
      <c r="U444" s="364">
        <f t="shared" ca="1" si="176"/>
        <v>0</v>
      </c>
      <c r="V444" s="359">
        <f t="shared" ca="1" si="177"/>
        <v>1.1443365392774216</v>
      </c>
      <c r="W444" s="357">
        <f t="shared" ca="1" si="178"/>
        <v>191.85210852913562</v>
      </c>
      <c r="X444" s="343"/>
      <c r="Y444" s="367" t="str">
        <f t="shared" ca="1" si="196"/>
        <v/>
      </c>
      <c r="Z444" s="368" t="str">
        <f t="shared" ca="1" si="197"/>
        <v/>
      </c>
      <c r="AA444" s="369" t="str">
        <f t="shared" ca="1" si="198"/>
        <v/>
      </c>
      <c r="AB444" s="344"/>
      <c r="AC444" s="363" t="e">
        <f t="shared" ca="1" si="199"/>
        <v>#N/A</v>
      </c>
      <c r="AD444" s="376" t="e">
        <f t="shared" ca="1" si="200"/>
        <v>#N/A</v>
      </c>
      <c r="AE444" s="377">
        <f t="shared" ca="1" si="179"/>
        <v>680.8949204588597</v>
      </c>
      <c r="AF444" s="344"/>
      <c r="AG444" s="359">
        <f t="shared" ca="1" si="201"/>
        <v>0.84220660764992594</v>
      </c>
      <c r="AH444" s="357">
        <f t="shared" ca="1" si="202"/>
        <v>10.368792299152405</v>
      </c>
    </row>
    <row r="445" spans="1:34" x14ac:dyDescent="0.25">
      <c r="A445" s="402">
        <f t="shared" ca="1" si="180"/>
        <v>0.01</v>
      </c>
      <c r="B445" s="357">
        <f t="shared" ca="1" si="181"/>
        <v>4.4099999999999504</v>
      </c>
      <c r="C445" s="342"/>
      <c r="D445" s="359">
        <f t="shared" ca="1" si="182"/>
        <v>2.1168118241532037</v>
      </c>
      <c r="E445" s="360">
        <f t="shared" ca="1" si="183"/>
        <v>-1.1989350751778804</v>
      </c>
      <c r="F445" s="357">
        <f t="shared" ca="1" si="184"/>
        <v>2.432763369784781</v>
      </c>
      <c r="G445" s="359">
        <f t="shared" ca="1" si="185"/>
        <v>64.704260156312813</v>
      </c>
      <c r="H445" s="360">
        <f t="shared" ca="1" si="186"/>
        <v>263.11499185878068</v>
      </c>
      <c r="I445" s="357">
        <f t="shared" ca="1" si="187"/>
        <v>270.95412937104692</v>
      </c>
      <c r="J445" s="359">
        <f t="shared" ca="1" si="188"/>
        <v>156.34042013670594</v>
      </c>
      <c r="K445" s="360">
        <f t="shared" ca="1" si="189"/>
        <v>683.52613032420129</v>
      </c>
      <c r="L445" s="357">
        <f t="shared" ca="1" si="174"/>
        <v>701.17779329104451</v>
      </c>
      <c r="M445" s="359">
        <f t="shared" ca="1" si="190"/>
        <v>1.3296648420174766</v>
      </c>
      <c r="N445" s="357">
        <f t="shared" ca="1" si="191"/>
        <v>76.184183614530781</v>
      </c>
      <c r="O445" s="343"/>
      <c r="P445" s="363">
        <f t="shared" ca="1" si="192"/>
        <v>17</v>
      </c>
      <c r="Q445" s="357">
        <f t="shared" ca="1" si="193"/>
        <v>277.47500000007216</v>
      </c>
      <c r="R445" s="359">
        <f t="shared" ca="1" si="194"/>
        <v>0.13899617908773235</v>
      </c>
      <c r="S445" s="360">
        <f t="shared" ca="1" si="195"/>
        <v>9.6558847845101834</v>
      </c>
      <c r="T445" s="357">
        <f t="shared" ca="1" si="175"/>
        <v>94.724229736044904</v>
      </c>
      <c r="U445" s="364">
        <f t="shared" ca="1" si="176"/>
        <v>0</v>
      </c>
      <c r="V445" s="359">
        <f t="shared" ca="1" si="177"/>
        <v>1.1440351292742541</v>
      </c>
      <c r="W445" s="357">
        <f t="shared" ca="1" si="178"/>
        <v>191.79224872266008</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683.52613032420129</v>
      </c>
      <c r="AF445" s="344"/>
      <c r="AG445" s="359">
        <f t="shared" ca="1" si="201"/>
        <v>-0.65895246493050763</v>
      </c>
      <c r="AH445" s="357">
        <f t="shared" ca="1" si="202"/>
        <v>8.8674309378972094</v>
      </c>
    </row>
    <row r="446" spans="1:34" x14ac:dyDescent="0.25">
      <c r="A446" s="402">
        <f t="shared" ca="1" si="180"/>
        <v>0.01</v>
      </c>
      <c r="B446" s="357">
        <f t="shared" ca="1" si="181"/>
        <v>4.4199999999999502</v>
      </c>
      <c r="C446" s="342"/>
      <c r="D446" s="359">
        <f t="shared" ca="1" si="182"/>
        <v>1.7932240653903542</v>
      </c>
      <c r="E446" s="360">
        <f t="shared" ca="1" si="183"/>
        <v>-2.5179896404607964</v>
      </c>
      <c r="F446" s="357">
        <f t="shared" ca="1" si="184"/>
        <v>3.0912658213364637</v>
      </c>
      <c r="G446" s="359">
        <f t="shared" ca="1" si="185"/>
        <v>64.722192396966719</v>
      </c>
      <c r="H446" s="360">
        <f t="shared" ca="1" si="186"/>
        <v>263.08981196237607</v>
      </c>
      <c r="I446" s="357">
        <f t="shared" ca="1" si="187"/>
        <v>270.9339612286883</v>
      </c>
      <c r="J446" s="359">
        <f t="shared" ca="1" si="188"/>
        <v>156.98755239947235</v>
      </c>
      <c r="K446" s="360">
        <f t="shared" ca="1" si="189"/>
        <v>686.15715434330707</v>
      </c>
      <c r="L446" s="357">
        <f t="shared" ca="1" si="174"/>
        <v>703.88687447975758</v>
      </c>
      <c r="M446" s="359">
        <f t="shared" ca="1" si="190"/>
        <v>1.3295783765561666</v>
      </c>
      <c r="N446" s="357">
        <f t="shared" ca="1" si="191"/>
        <v>76.17922950852406</v>
      </c>
      <c r="O446" s="343"/>
      <c r="P446" s="363">
        <f t="shared" ca="1" si="192"/>
        <v>18</v>
      </c>
      <c r="Q446" s="357">
        <f t="shared" ca="1" si="193"/>
        <v>264.29090909096794</v>
      </c>
      <c r="R446" s="359">
        <f t="shared" ca="1" si="194"/>
        <v>0.13239184262098644</v>
      </c>
      <c r="S446" s="360">
        <f t="shared" ca="1" si="195"/>
        <v>9.6545608660839743</v>
      </c>
      <c r="T446" s="357">
        <f t="shared" ca="1" si="175"/>
        <v>94.711242096283797</v>
      </c>
      <c r="U446" s="364">
        <f t="shared" ca="1" si="176"/>
        <v>0</v>
      </c>
      <c r="V446" s="359">
        <f t="shared" ca="1" si="177"/>
        <v>1.1437338172286806</v>
      </c>
      <c r="W446" s="357">
        <f t="shared" ca="1" si="178"/>
        <v>191.71319207330149</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686.15715434330707</v>
      </c>
      <c r="AF446" s="344"/>
      <c r="AG446" s="359">
        <f t="shared" ca="1" si="201"/>
        <v>-2.0169155147157332</v>
      </c>
      <c r="AH446" s="357">
        <f t="shared" ca="1" si="202"/>
        <v>7.5092654522477877</v>
      </c>
    </row>
    <row r="447" spans="1:34" x14ac:dyDescent="0.25">
      <c r="A447" s="402">
        <f t="shared" ca="1" si="180"/>
        <v>0.01</v>
      </c>
      <c r="B447" s="357">
        <f t="shared" ca="1" si="181"/>
        <v>4.42999999999995</v>
      </c>
      <c r="C447" s="342"/>
      <c r="D447" s="359">
        <f t="shared" ca="1" si="182"/>
        <v>1.5035870840845302</v>
      </c>
      <c r="E447" s="360">
        <f t="shared" ca="1" si="183"/>
        <v>-3.6980555715013841</v>
      </c>
      <c r="F447" s="357">
        <f t="shared" ca="1" si="184"/>
        <v>3.9920407224048016</v>
      </c>
      <c r="G447" s="359">
        <f t="shared" ca="1" si="185"/>
        <v>64.737228267807566</v>
      </c>
      <c r="H447" s="360">
        <f t="shared" ca="1" si="186"/>
        <v>263.05283140666108</v>
      </c>
      <c r="I447" s="357">
        <f t="shared" ca="1" si="187"/>
        <v>270.90164420848294</v>
      </c>
      <c r="J447" s="359">
        <f t="shared" ca="1" si="188"/>
        <v>157.63484950279621</v>
      </c>
      <c r="K447" s="360">
        <f t="shared" ca="1" si="189"/>
        <v>688.78786756015222</v>
      </c>
      <c r="L447" s="357">
        <f t="shared" ca="1" si="174"/>
        <v>706.59569222847017</v>
      </c>
      <c r="M447" s="359">
        <f t="shared" ca="1" si="190"/>
        <v>1.3294918703750049</v>
      </c>
      <c r="N447" s="357">
        <f t="shared" ca="1" si="191"/>
        <v>76.174273069441711</v>
      </c>
      <c r="O447" s="343"/>
      <c r="P447" s="363">
        <f t="shared" ca="1" si="192"/>
        <v>18</v>
      </c>
      <c r="Q447" s="357">
        <f t="shared" ca="1" si="193"/>
        <v>252.47272727278633</v>
      </c>
      <c r="R447" s="359">
        <f t="shared" ca="1" si="194"/>
        <v>0.12647173408331305</v>
      </c>
      <c r="S447" s="360">
        <f t="shared" ca="1" si="195"/>
        <v>9.6532961487431415</v>
      </c>
      <c r="T447" s="357">
        <f t="shared" ca="1" si="175"/>
        <v>94.698835219170221</v>
      </c>
      <c r="U447" s="364">
        <f t="shared" ca="1" si="176"/>
        <v>0</v>
      </c>
      <c r="V447" s="359">
        <f t="shared" ca="1" si="177"/>
        <v>1.1434326174000553</v>
      </c>
      <c r="W447" s="357">
        <f t="shared" ca="1" si="178"/>
        <v>191.61698446612425</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688.78786756015222</v>
      </c>
      <c r="AF447" s="344"/>
      <c r="AG447" s="359">
        <f t="shared" ca="1" si="201"/>
        <v>-3.2318033827140891</v>
      </c>
      <c r="AH447" s="357">
        <f t="shared" ca="1" si="202"/>
        <v>6.2941749909325768</v>
      </c>
    </row>
    <row r="448" spans="1:34" x14ac:dyDescent="0.25">
      <c r="A448" s="402">
        <f t="shared" ca="1" si="180"/>
        <v>0.01</v>
      </c>
      <c r="B448" s="357">
        <f t="shared" ca="1" si="181"/>
        <v>4.4399999999999498</v>
      </c>
      <c r="C448" s="342"/>
      <c r="D448" s="359">
        <f t="shared" ca="1" si="182"/>
        <v>1.2140873391038884</v>
      </c>
      <c r="E448" s="360">
        <f t="shared" ca="1" si="183"/>
        <v>-4.876685419321972</v>
      </c>
      <c r="F448" s="357">
        <f t="shared" ca="1" si="184"/>
        <v>5.0255416370775272</v>
      </c>
      <c r="G448" s="359">
        <f t="shared" ca="1" si="185"/>
        <v>64.749369141198599</v>
      </c>
      <c r="H448" s="360">
        <f t="shared" ca="1" si="186"/>
        <v>263.00406455246787</v>
      </c>
      <c r="I448" s="357">
        <f t="shared" ca="1" si="187"/>
        <v>270.85719258550603</v>
      </c>
      <c r="J448" s="359">
        <f t="shared" ca="1" si="188"/>
        <v>158.28228248984124</v>
      </c>
      <c r="K448" s="360">
        <f t="shared" ca="1" si="189"/>
        <v>691.41815203994781</v>
      </c>
      <c r="L448" s="357">
        <f t="shared" ca="1" si="174"/>
        <v>709.30412512583791</v>
      </c>
      <c r="M448" s="359">
        <f t="shared" ca="1" si="190"/>
        <v>1.3294053195732352</v>
      </c>
      <c r="N448" s="357">
        <f t="shared" ca="1" si="191"/>
        <v>76.169314073786822</v>
      </c>
      <c r="O448" s="343"/>
      <c r="P448" s="363">
        <f t="shared" ca="1" si="192"/>
        <v>18</v>
      </c>
      <c r="Q448" s="357">
        <f t="shared" ca="1" si="193"/>
        <v>240.65454545460472</v>
      </c>
      <c r="R448" s="359">
        <f t="shared" ca="1" si="194"/>
        <v>0.12055162554563965</v>
      </c>
      <c r="S448" s="360">
        <f t="shared" ca="1" si="195"/>
        <v>9.6520906324876847</v>
      </c>
      <c r="T448" s="357">
        <f t="shared" ca="1" si="175"/>
        <v>94.687009104704188</v>
      </c>
      <c r="U448" s="364">
        <f t="shared" ca="1" si="176"/>
        <v>0</v>
      </c>
      <c r="V448" s="359">
        <f t="shared" ca="1" si="177"/>
        <v>1.143131543229633</v>
      </c>
      <c r="W448" s="357">
        <f t="shared" ca="1" si="178"/>
        <v>191.50366805464924</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691.41815203994781</v>
      </c>
      <c r="AF448" s="344"/>
      <c r="AG448" s="359">
        <f t="shared" ca="1" si="201"/>
        <v>-4.4452637478155719</v>
      </c>
      <c r="AH448" s="357">
        <f t="shared" ca="1" si="202"/>
        <v>5.080511865836236</v>
      </c>
    </row>
    <row r="449" spans="1:34" x14ac:dyDescent="0.25">
      <c r="A449" s="402">
        <f t="shared" ca="1" si="180"/>
        <v>0.01</v>
      </c>
      <c r="B449" s="357">
        <f t="shared" ca="1" si="181"/>
        <v>4.4499999999999496</v>
      </c>
      <c r="C449" s="342"/>
      <c r="D449" s="359">
        <f t="shared" ca="1" si="182"/>
        <v>0.92472949021818585</v>
      </c>
      <c r="E449" s="360">
        <f t="shared" ca="1" si="183"/>
        <v>-6.0538612489250241</v>
      </c>
      <c r="F449" s="357">
        <f t="shared" ca="1" si="184"/>
        <v>6.1240803922968903</v>
      </c>
      <c r="G449" s="359">
        <f t="shared" ca="1" si="185"/>
        <v>64.75861643610078</v>
      </c>
      <c r="H449" s="360">
        <f t="shared" ca="1" si="186"/>
        <v>262.9435259399786</v>
      </c>
      <c r="I449" s="357">
        <f t="shared" ca="1" si="187"/>
        <v>270.80062081994242</v>
      </c>
      <c r="J449" s="359">
        <f t="shared" ca="1" si="188"/>
        <v>158.92982241772773</v>
      </c>
      <c r="K449" s="360">
        <f t="shared" ca="1" si="189"/>
        <v>694.04788999241009</v>
      </c>
      <c r="L449" s="357">
        <f t="shared" ca="1" si="174"/>
        <v>712.01205190407211</v>
      </c>
      <c r="M449" s="359">
        <f t="shared" ca="1" si="190"/>
        <v>1.3293187202454355</v>
      </c>
      <c r="N449" s="357">
        <f t="shared" ca="1" si="191"/>
        <v>76.164352297795233</v>
      </c>
      <c r="O449" s="343"/>
      <c r="P449" s="363">
        <f t="shared" ca="1" si="192"/>
        <v>18</v>
      </c>
      <c r="Q449" s="357">
        <f t="shared" ca="1" si="193"/>
        <v>228.83636363642307</v>
      </c>
      <c r="R449" s="359">
        <f t="shared" ca="1" si="194"/>
        <v>0.11463151700796624</v>
      </c>
      <c r="S449" s="360">
        <f t="shared" ca="1" si="195"/>
        <v>9.6509443173176059</v>
      </c>
      <c r="T449" s="357">
        <f t="shared" ca="1" si="175"/>
        <v>94.675763752885715</v>
      </c>
      <c r="U449" s="364">
        <f t="shared" ca="1" si="176"/>
        <v>0</v>
      </c>
      <c r="V449" s="359">
        <f t="shared" ca="1" si="177"/>
        <v>1.1428306081284505</v>
      </c>
      <c r="W449" s="357">
        <f t="shared" ca="1" si="178"/>
        <v>191.37328750151676</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694.04788999241009</v>
      </c>
      <c r="AF449" s="344"/>
      <c r="AG449" s="359">
        <f t="shared" ca="1" si="201"/>
        <v>-5.6572780990570859</v>
      </c>
      <c r="AH449" s="357">
        <f t="shared" ca="1" si="202"/>
        <v>3.8682945786749836</v>
      </c>
    </row>
    <row r="450" spans="1:34" x14ac:dyDescent="0.25">
      <c r="A450" s="402">
        <f t="shared" ca="1" si="180"/>
        <v>0.01</v>
      </c>
      <c r="B450" s="357">
        <f t="shared" ca="1" si="181"/>
        <v>4.4599999999999493</v>
      </c>
      <c r="C450" s="342"/>
      <c r="D450" s="359">
        <f t="shared" ca="1" si="182"/>
        <v>0.63551811267541558</v>
      </c>
      <c r="E450" s="360">
        <f t="shared" ca="1" si="183"/>
        <v>-7.2295654178238635</v>
      </c>
      <c r="F450" s="357">
        <f t="shared" ca="1" si="184"/>
        <v>7.2574444126106306</v>
      </c>
      <c r="G450" s="359">
        <f t="shared" ca="1" si="185"/>
        <v>64.76497161722753</v>
      </c>
      <c r="H450" s="360">
        <f t="shared" ca="1" si="186"/>
        <v>262.87123028580038</v>
      </c>
      <c r="I450" s="357">
        <f t="shared" ca="1" si="187"/>
        <v>270.73194355404496</v>
      </c>
      <c r="J450" s="359">
        <f t="shared" ca="1" si="188"/>
        <v>159.57744035799436</v>
      </c>
      <c r="K450" s="360">
        <f t="shared" ca="1" si="189"/>
        <v>696.676963773539</v>
      </c>
      <c r="L450" s="357">
        <f t="shared" ca="1" si="174"/>
        <v>714.71935144077793</v>
      </c>
      <c r="M450" s="359">
        <f t="shared" ca="1" si="190"/>
        <v>1.3292320684805319</v>
      </c>
      <c r="N450" s="357">
        <f t="shared" ca="1" si="191"/>
        <v>76.159387517378903</v>
      </c>
      <c r="O450" s="343"/>
      <c r="P450" s="363">
        <f t="shared" ca="1" si="192"/>
        <v>18</v>
      </c>
      <c r="Q450" s="357">
        <f t="shared" ca="1" si="193"/>
        <v>217.01818181824146</v>
      </c>
      <c r="R450" s="359">
        <f t="shared" ca="1" si="194"/>
        <v>0.10871140847029283</v>
      </c>
      <c r="S450" s="360">
        <f t="shared" ca="1" si="195"/>
        <v>9.6498572032329033</v>
      </c>
      <c r="T450" s="357">
        <f t="shared" ca="1" si="175"/>
        <v>94.665099163714785</v>
      </c>
      <c r="U450" s="364">
        <f t="shared" ca="1" si="176"/>
        <v>0</v>
      </c>
      <c r="V450" s="359">
        <f t="shared" ca="1" si="177"/>
        <v>1.1425298254771639</v>
      </c>
      <c r="W450" s="357">
        <f t="shared" ca="1" si="178"/>
        <v>191.22588995946217</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696.676963773539</v>
      </c>
      <c r="AF450" s="344"/>
      <c r="AG450" s="359">
        <f t="shared" ca="1" si="201"/>
        <v>-6.8678282296701383</v>
      </c>
      <c r="AH450" s="357">
        <f t="shared" ca="1" si="202"/>
        <v>2.6575413269465922</v>
      </c>
    </row>
    <row r="451" spans="1:34" x14ac:dyDescent="0.25">
      <c r="A451" s="402">
        <f t="shared" ca="1" si="180"/>
        <v>0.01</v>
      </c>
      <c r="B451" s="357">
        <f t="shared" ca="1" si="181"/>
        <v>4.4699999999999491</v>
      </c>
      <c r="C451" s="342"/>
      <c r="D451" s="359">
        <f t="shared" ca="1" si="182"/>
        <v>0.34645769727423575</v>
      </c>
      <c r="E451" s="360">
        <f t="shared" ca="1" si="183"/>
        <v>-8.4037805753590717</v>
      </c>
      <c r="F451" s="357">
        <f t="shared" ca="1" si="184"/>
        <v>8.4109191468461404</v>
      </c>
      <c r="G451" s="359">
        <f t="shared" ca="1" si="185"/>
        <v>64.768436194200277</v>
      </c>
      <c r="H451" s="360">
        <f t="shared" ca="1" si="186"/>
        <v>262.78719248004677</v>
      </c>
      <c r="I451" s="357">
        <f t="shared" ca="1" si="187"/>
        <v>270.65117560909903</v>
      </c>
      <c r="J451" s="359">
        <f t="shared" ca="1" si="188"/>
        <v>160.22510739705149</v>
      </c>
      <c r="K451" s="360">
        <f t="shared" ca="1" si="189"/>
        <v>699.30525588736828</v>
      </c>
      <c r="L451" s="357">
        <f t="shared" ca="1" si="174"/>
        <v>717.42590276076191</v>
      </c>
      <c r="M451" s="359">
        <f t="shared" ca="1" si="190"/>
        <v>1.3291453603608099</v>
      </c>
      <c r="N451" s="357">
        <f t="shared" ca="1" si="191"/>
        <v>76.15441950806931</v>
      </c>
      <c r="O451" s="343"/>
      <c r="P451" s="363">
        <f t="shared" ca="1" si="192"/>
        <v>18</v>
      </c>
      <c r="Q451" s="357">
        <f t="shared" ca="1" si="193"/>
        <v>205.20000000005982</v>
      </c>
      <c r="R451" s="359">
        <f t="shared" ca="1" si="194"/>
        <v>0.10279129993261941</v>
      </c>
      <c r="S451" s="360">
        <f t="shared" ca="1" si="195"/>
        <v>9.6488292902335768</v>
      </c>
      <c r="T451" s="357">
        <f t="shared" ca="1" si="175"/>
        <v>94.655015337191386</v>
      </c>
      <c r="U451" s="364">
        <f t="shared" ca="1" si="176"/>
        <v>0</v>
      </c>
      <c r="V451" s="359">
        <f t="shared" ca="1" si="177"/>
        <v>1.1422292086258909</v>
      </c>
      <c r="W451" s="357">
        <f t="shared" ca="1" si="178"/>
        <v>191.06152505218407</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699.30525588736828</v>
      </c>
      <c r="AF451" s="344"/>
      <c r="AG451" s="359">
        <f t="shared" ca="1" si="201"/>
        <v>-8.076896236404032</v>
      </c>
      <c r="AH451" s="357">
        <f t="shared" ca="1" si="202"/>
        <v>1.4482700046048145</v>
      </c>
    </row>
    <row r="452" spans="1:34" x14ac:dyDescent="0.25">
      <c r="A452" s="402">
        <f t="shared" ca="1" si="180"/>
        <v>0.01</v>
      </c>
      <c r="B452" s="357">
        <f t="shared" ca="1" si="181"/>
        <v>4.4799999999999489</v>
      </c>
      <c r="C452" s="342"/>
      <c r="D452" s="359">
        <f t="shared" ca="1" si="182"/>
        <v>5.7552650440527639E-2</v>
      </c>
      <c r="E452" s="360">
        <f t="shared" ca="1" si="183"/>
        <v>-9.5764896619751028</v>
      </c>
      <c r="F452" s="357">
        <f t="shared" ca="1" si="184"/>
        <v>9.5766625999608408</v>
      </c>
      <c r="G452" s="359">
        <f t="shared" ca="1" si="185"/>
        <v>64.769011720704682</v>
      </c>
      <c r="H452" s="360">
        <f t="shared" ca="1" si="186"/>
        <v>262.69142758342701</v>
      </c>
      <c r="I452" s="357">
        <f t="shared" ca="1" si="187"/>
        <v>270.55833198239463</v>
      </c>
      <c r="J452" s="359">
        <f t="shared" ca="1" si="188"/>
        <v>160.87279463662603</v>
      </c>
      <c r="K452" s="360">
        <f t="shared" ca="1" si="189"/>
        <v>701.93264898768564</v>
      </c>
      <c r="L452" s="357">
        <f t="shared" ref="L452:L515" ca="1" si="203">SQRT(pos_x^2+pos_z^2)</f>
        <v>720.13158503780926</v>
      </c>
      <c r="M452" s="359">
        <f t="shared" ca="1" si="190"/>
        <v>1.3290585919609239</v>
      </c>
      <c r="N452" s="357">
        <f t="shared" ca="1" si="191"/>
        <v>76.149448044960749</v>
      </c>
      <c r="O452" s="343"/>
      <c r="P452" s="363">
        <f t="shared" ca="1" si="192"/>
        <v>18</v>
      </c>
      <c r="Q452" s="357">
        <f t="shared" ca="1" si="193"/>
        <v>193.3818181818782</v>
      </c>
      <c r="R452" s="359">
        <f t="shared" ca="1" si="194"/>
        <v>9.6871191394946016E-2</v>
      </c>
      <c r="S452" s="360">
        <f t="shared" ca="1" si="195"/>
        <v>9.6478605783196265</v>
      </c>
      <c r="T452" s="357">
        <f t="shared" ref="T452:T515" ca="1" si="204">m*g</f>
        <v>94.645512273315546</v>
      </c>
      <c r="U452" s="364">
        <f t="shared" ref="U452:U515" ca="1" si="205">IF(pos_xz&lt;L_rampe,Poids*COS(Beta),0)</f>
        <v>0</v>
      </c>
      <c r="V452" s="359">
        <f t="shared" ref="V452:V515" ca="1" si="206">Rho_moyen*(20000-Alt_rampe-pos_z)/(20000+Alt_rampe+pos_z)</f>
        <v>1.1419287708940586</v>
      </c>
      <c r="W452" s="357">
        <f t="shared" ref="W452:W515" ca="1" si="207">1/2*Rho*Sref*Cx*vit_xz^2</f>
        <v>190.88024485511383</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701.93264898768564</v>
      </c>
      <c r="AF452" s="344"/>
      <c r="AG452" s="359">
        <f t="shared" ca="1" si="201"/>
        <v>-9.2844645188095214</v>
      </c>
      <c r="AH452" s="357">
        <f t="shared" ca="1" si="202"/>
        <v>0.24049820277339276</v>
      </c>
    </row>
    <row r="453" spans="1:34" x14ac:dyDescent="0.25">
      <c r="A453" s="402">
        <f t="shared" ref="A453:A516" ca="1" si="209">IF(B452+0.01&lt;=T_ini+ROUNDUP(Temps_fin_propu,0), 0.01, IF(K452&gt;0, 0.1, 0.0001))</f>
        <v>0.01</v>
      </c>
      <c r="B453" s="357">
        <f t="shared" ref="B453:B516" ca="1" si="210">B452+pas</f>
        <v>4.4899999999999487</v>
      </c>
      <c r="C453" s="342"/>
      <c r="D453" s="359">
        <f t="shared" ref="D453:D516" ca="1" si="211">IF(AND(L452&lt;L_rampe,Poussee&lt;Poids*SIN(M452)),0,(-W452+Poussee)/m*COS(M452)-U452/m*SIN(M452))</f>
        <v>-0.23119270569215583</v>
      </c>
      <c r="E453" s="360">
        <f t="shared" ref="E453:E516" ca="1" si="212">IF(AND(L452&lt;L_rampe,Poussee&lt;Poids*SIN(M452)),0,(-W452+Poussee)/m*SIN(M452)+U452/m*COS(M452)-Poids/m)</f>
        <v>-10.747675908458138</v>
      </c>
      <c r="F453" s="357">
        <f t="shared" ref="F453:F516" ca="1" si="213">SQRT(acc_x^2+acc_z^2)</f>
        <v>10.750162208097919</v>
      </c>
      <c r="G453" s="359">
        <f t="shared" ref="G453:G516" ca="1" si="214">G452+acc_x*pas</f>
        <v>64.76669979364776</v>
      </c>
      <c r="H453" s="360">
        <f t="shared" ref="H453:H516" ca="1" si="215">H452+acc_z*pas</f>
        <v>262.58395082434242</v>
      </c>
      <c r="I453" s="357">
        <f t="shared" ref="I453:I516" ca="1" si="216">SQRT(vit_x^2+vit_z^2)</f>
        <v>270.45342784420603</v>
      </c>
      <c r="J453" s="359">
        <f t="shared" ref="J453:J516" ca="1" si="217">J452+0.5*(vit_x+G452)*pas*(K452&gt;=0)</f>
        <v>161.52047319419779</v>
      </c>
      <c r="K453" s="360">
        <f t="shared" ref="K453:K516" ca="1" si="218">K452+0.5*(vit_z+H452)*pas</f>
        <v>704.55902587972446</v>
      </c>
      <c r="L453" s="357">
        <f t="shared" ca="1" si="203"/>
        <v>722.83627759643036</v>
      </c>
      <c r="M453" s="359">
        <f t="shared" ref="M453:M516" ca="1" si="219">IF(AND(L452&gt;L_rampe,G453&gt;0),ATAN2(G453,H453),$M$4)</f>
        <v>1.3289717593469004</v>
      </c>
      <c r="N453" s="357">
        <f t="shared" ref="N453:N516" ca="1" si="220">DEGREES(Beta)</f>
        <v>76.144472902653106</v>
      </c>
      <c r="O453" s="343"/>
      <c r="P453" s="363">
        <f t="shared" ref="P453:P516" ca="1" si="221">MATCH(t-pas/2-T_ini,CdP_t)</f>
        <v>18</v>
      </c>
      <c r="Q453" s="357">
        <f t="shared" ref="Q453:Q516" ca="1" si="222">(INDEX(CdP,2,i_P+1)-INDEX(CdP,2,i_P+0))/(INDEX(CdP,1,i_P+1)-INDEX(CdP,1,i_P+0))*(t-pas/2-T_ini-INDEX(CdP,1,i_P+0))+INDEX(CdP,2,i_P+0)</f>
        <v>181.56363636369656</v>
      </c>
      <c r="R453" s="359">
        <f t="shared" ref="R453:R516" ca="1" si="223">Poussee/(g*ISP)</f>
        <v>9.0951082857272603E-2</v>
      </c>
      <c r="S453" s="360">
        <f t="shared" ref="S453:S516" ca="1" si="224">S452-Débit*pas</f>
        <v>9.6469510674910541</v>
      </c>
      <c r="T453" s="357">
        <f t="shared" ca="1" si="204"/>
        <v>94.636589972087251</v>
      </c>
      <c r="U453" s="364">
        <f t="shared" ca="1" si="205"/>
        <v>0</v>
      </c>
      <c r="V453" s="359">
        <f t="shared" ca="1" si="206"/>
        <v>1.141628525570253</v>
      </c>
      <c r="W453" s="357">
        <f t="shared" ca="1" si="207"/>
        <v>190.68210387609062</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704.55902587972446</v>
      </c>
      <c r="AF453" s="344"/>
      <c r="AG453" s="359">
        <f t="shared" ref="AG453:AG516" ca="1" si="230">IF(AND(L452&lt;L_rampe,Poussee&lt;Poids*SIN(M452)),0,(-W452+Poussee)/m-Poids*SIN(M452)/m)</f>
        <v>-10.49051577848388</v>
      </c>
      <c r="AH453" s="357">
        <f t="shared" ref="AH453:AH516" ca="1" si="231">IF(AND(L452&lt;L_rampe,Poussee&lt;Poids*SIN(M452)), g*SIN(M452), (-W452+Poussee)/m)</f>
        <v>-0.96575678950140065</v>
      </c>
    </row>
    <row r="454" spans="1:34" x14ac:dyDescent="0.25">
      <c r="A454" s="402">
        <f t="shared" ca="1" si="209"/>
        <v>0.01</v>
      </c>
      <c r="B454" s="357">
        <f t="shared" ca="1" si="210"/>
        <v>4.4999999999999485</v>
      </c>
      <c r="C454" s="342"/>
      <c r="D454" s="359">
        <f t="shared" ca="1" si="211"/>
        <v>-0.51977413319836729</v>
      </c>
      <c r="E454" s="360">
        <f t="shared" ca="1" si="212"/>
        <v>-11.917322835135588</v>
      </c>
      <c r="F454" s="357">
        <f t="shared" ca="1" si="213"/>
        <v>11.928652426254454</v>
      </c>
      <c r="G454" s="359">
        <f t="shared" ca="1" si="214"/>
        <v>64.761502052315777</v>
      </c>
      <c r="H454" s="360">
        <f t="shared" ca="1" si="215"/>
        <v>262.46477759599105</v>
      </c>
      <c r="I454" s="357">
        <f t="shared" ca="1" si="216"/>
        <v>270.33647853477925</v>
      </c>
      <c r="J454" s="359">
        <f t="shared" ca="1" si="217"/>
        <v>162.16811420342762</v>
      </c>
      <c r="K454" s="360">
        <f t="shared" ca="1" si="218"/>
        <v>707.18426952182608</v>
      </c>
      <c r="L454" s="357">
        <f t="shared" ca="1" si="203"/>
        <v>725.5398599135782</v>
      </c>
      <c r="M454" s="359">
        <f t="shared" ca="1" si="219"/>
        <v>1.3288848585751383</v>
      </c>
      <c r="N454" s="357">
        <f t="shared" ca="1" si="220"/>
        <v>76.139493855194701</v>
      </c>
      <c r="O454" s="343"/>
      <c r="P454" s="363">
        <f t="shared" ca="1" si="221"/>
        <v>18</v>
      </c>
      <c r="Q454" s="357">
        <f t="shared" ca="1" si="222"/>
        <v>169.74545454551495</v>
      </c>
      <c r="R454" s="359">
        <f t="shared" ca="1" si="223"/>
        <v>8.5030974319599203E-2</v>
      </c>
      <c r="S454" s="360">
        <f t="shared" ca="1" si="224"/>
        <v>9.6461007577478579</v>
      </c>
      <c r="T454" s="357">
        <f t="shared" ca="1" si="204"/>
        <v>94.628248433506485</v>
      </c>
      <c r="U454" s="364">
        <f t="shared" ca="1" si="205"/>
        <v>0</v>
      </c>
      <c r="V454" s="359">
        <f t="shared" ca="1" si="206"/>
        <v>1.1413284859120789</v>
      </c>
      <c r="W454" s="357">
        <f t="shared" ca="1" si="207"/>
        <v>190.46715903594983</v>
      </c>
      <c r="X454" s="343"/>
      <c r="Y454" s="367" t="str">
        <f t="shared" ca="1" si="225"/>
        <v/>
      </c>
      <c r="Z454" s="368" t="str">
        <f t="shared" ca="1" si="226"/>
        <v/>
      </c>
      <c r="AA454" s="369" t="str">
        <f t="shared" ca="1" si="227"/>
        <v/>
      </c>
      <c r="AB454" s="344"/>
      <c r="AC454" s="363" t="e">
        <f t="shared" ca="1" si="228"/>
        <v>#N/A</v>
      </c>
      <c r="AD454" s="376" t="e">
        <f t="shared" ca="1" si="229"/>
        <v>#N/A</v>
      </c>
      <c r="AE454" s="377">
        <f t="shared" ca="1" si="208"/>
        <v>707.18426952182608</v>
      </c>
      <c r="AF454" s="344"/>
      <c r="AG454" s="359">
        <f t="shared" ca="1" si="230"/>
        <v>-11.69503301827786</v>
      </c>
      <c r="AH454" s="357">
        <f t="shared" ca="1" si="231"/>
        <v>-2.1704779844601063</v>
      </c>
    </row>
    <row r="455" spans="1:34" x14ac:dyDescent="0.25">
      <c r="A455" s="402">
        <f t="shared" ca="1" si="209"/>
        <v>0.01</v>
      </c>
      <c r="B455" s="357">
        <f t="shared" ca="1" si="210"/>
        <v>4.5099999999999483</v>
      </c>
      <c r="C455" s="342"/>
      <c r="D455" s="359">
        <f t="shared" ca="1" si="211"/>
        <v>-0.80818747827301696</v>
      </c>
      <c r="E455" s="360">
        <f t="shared" ca="1" si="212"/>
        <v>-13.085414251038161</v>
      </c>
      <c r="F455" s="357">
        <f t="shared" ca="1" si="213"/>
        <v>13.11034832189099</v>
      </c>
      <c r="G455" s="359">
        <f t="shared" ca="1" si="214"/>
        <v>64.753420177533044</v>
      </c>
      <c r="H455" s="360">
        <f t="shared" ca="1" si="215"/>
        <v>262.33392345348068</v>
      </c>
      <c r="I455" s="357">
        <f t="shared" ca="1" si="216"/>
        <v>270.2074995613275</v>
      </c>
      <c r="J455" s="359">
        <f t="shared" ca="1" si="217"/>
        <v>162.81568881457687</v>
      </c>
      <c r="K455" s="360">
        <f t="shared" ca="1" si="218"/>
        <v>709.80826302707339</v>
      </c>
      <c r="L455" s="357">
        <f t="shared" ca="1" si="203"/>
        <v>728.24221162033461</v>
      </c>
      <c r="M455" s="359">
        <f t="shared" ca="1" si="219"/>
        <v>1.3287978856914049</v>
      </c>
      <c r="N455" s="357">
        <f t="shared" ca="1" si="220"/>
        <v>76.134510676024703</v>
      </c>
      <c r="O455" s="343"/>
      <c r="P455" s="363">
        <f t="shared" ca="1" si="221"/>
        <v>18</v>
      </c>
      <c r="Q455" s="357">
        <f t="shared" ca="1" si="222"/>
        <v>157.92727272733333</v>
      </c>
      <c r="R455" s="359">
        <f t="shared" ca="1" si="223"/>
        <v>7.9110865781925804E-2</v>
      </c>
      <c r="S455" s="360">
        <f t="shared" ca="1" si="224"/>
        <v>9.6453096490900379</v>
      </c>
      <c r="T455" s="357">
        <f t="shared" ca="1" si="204"/>
        <v>94.620487657573278</v>
      </c>
      <c r="U455" s="364">
        <f t="shared" ca="1" si="205"/>
        <v>0</v>
      </c>
      <c r="V455" s="359">
        <f t="shared" ca="1" si="206"/>
        <v>1.141028665146022</v>
      </c>
      <c r="W455" s="357">
        <f t="shared" ca="1" si="207"/>
        <v>190.23546964902937</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709.80826302707339</v>
      </c>
      <c r="AF455" s="344"/>
      <c r="AG455" s="359">
        <f t="shared" ca="1" si="230"/>
        <v>-12.897999541465486</v>
      </c>
      <c r="AH455" s="357">
        <f t="shared" ca="1" si="231"/>
        <v>-3.3736486948022861</v>
      </c>
    </row>
    <row r="456" spans="1:34" x14ac:dyDescent="0.25">
      <c r="A456" s="402">
        <f t="shared" ca="1" si="209"/>
        <v>0.01</v>
      </c>
      <c r="B456" s="357">
        <f t="shared" ca="1" si="210"/>
        <v>4.5199999999999481</v>
      </c>
      <c r="C456" s="342"/>
      <c r="D456" s="359">
        <f t="shared" ca="1" si="211"/>
        <v>-1.0964286711402258</v>
      </c>
      <c r="E456" s="360">
        <f t="shared" ca="1" si="212"/>
        <v>-14.251934253024958</v>
      </c>
      <c r="F456" s="357">
        <f t="shared" ca="1" si="213"/>
        <v>14.294047214957855</v>
      </c>
      <c r="G456" s="359">
        <f t="shared" ca="1" si="214"/>
        <v>64.742455890821645</v>
      </c>
      <c r="H456" s="360">
        <f t="shared" ca="1" si="215"/>
        <v>262.19140411095043</v>
      </c>
      <c r="I456" s="357">
        <f t="shared" ca="1" si="216"/>
        <v>270.06650659503612</v>
      </c>
      <c r="J456" s="359">
        <f t="shared" ca="1" si="217"/>
        <v>163.46316819491864</v>
      </c>
      <c r="K456" s="360">
        <f t="shared" ca="1" si="218"/>
        <v>712.43088966489552</v>
      </c>
      <c r="L456" s="357">
        <f t="shared" ca="1" si="203"/>
        <v>730.943212503567</v>
      </c>
      <c r="M456" s="359">
        <f t="shared" ca="1" si="219"/>
        <v>1.3287108367298235</v>
      </c>
      <c r="N456" s="357">
        <f t="shared" ca="1" si="220"/>
        <v>76.129523137915086</v>
      </c>
      <c r="O456" s="343"/>
      <c r="P456" s="363">
        <f t="shared" ca="1" si="221"/>
        <v>18</v>
      </c>
      <c r="Q456" s="357">
        <f t="shared" ca="1" si="222"/>
        <v>146.10909090915169</v>
      </c>
      <c r="R456" s="359">
        <f t="shared" ca="1" si="223"/>
        <v>7.3190757244252391E-2</v>
      </c>
      <c r="S456" s="360">
        <f t="shared" ca="1" si="224"/>
        <v>9.6445777415175957</v>
      </c>
      <c r="T456" s="357">
        <f t="shared" ca="1" si="204"/>
        <v>94.613307644287616</v>
      </c>
      <c r="U456" s="364">
        <f t="shared" ca="1" si="205"/>
        <v>0</v>
      </c>
      <c r="V456" s="359">
        <f t="shared" ca="1" si="206"/>
        <v>1.1407290764673141</v>
      </c>
      <c r="W456" s="357">
        <f t="shared" ca="1" si="207"/>
        <v>189.98709740360184</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712.43088966489552</v>
      </c>
      <c r="AF456" s="344"/>
      <c r="AG456" s="359">
        <f t="shared" ca="1" si="230"/>
        <v>-14.099398950877173</v>
      </c>
      <c r="AH456" s="357">
        <f t="shared" ca="1" si="231"/>
        <v>-4.5752525328220637</v>
      </c>
    </row>
    <row r="457" spans="1:34" x14ac:dyDescent="0.25">
      <c r="A457" s="402">
        <f t="shared" ca="1" si="209"/>
        <v>0.01</v>
      </c>
      <c r="B457" s="357">
        <f t="shared" ca="1" si="210"/>
        <v>4.5299999999999478</v>
      </c>
      <c r="C457" s="342"/>
      <c r="D457" s="359">
        <f t="shared" ca="1" si="211"/>
        <v>-1.3359514362211515</v>
      </c>
      <c r="E457" s="360">
        <f t="shared" ca="1" si="212"/>
        <v>-15.220282604625783</v>
      </c>
      <c r="F457" s="357">
        <f t="shared" ca="1" si="213"/>
        <v>15.278801288210262</v>
      </c>
      <c r="G457" s="359">
        <f t="shared" ca="1" si="214"/>
        <v>64.729096376459438</v>
      </c>
      <c r="H457" s="360">
        <f t="shared" ca="1" si="215"/>
        <v>262.03920128490415</v>
      </c>
      <c r="I457" s="357">
        <f t="shared" ca="1" si="216"/>
        <v>269.9155403598383</v>
      </c>
      <c r="J457" s="359">
        <f t="shared" ca="1" si="217"/>
        <v>164.11052595625503</v>
      </c>
      <c r="K457" s="360">
        <f t="shared" ca="1" si="218"/>
        <v>715.05204269187482</v>
      </c>
      <c r="L457" s="357">
        <f t="shared" ca="1" si="203"/>
        <v>733.64275263063928</v>
      </c>
      <c r="M457" s="359">
        <f t="shared" ca="1" si="219"/>
        <v>1.3286237083654944</v>
      </c>
      <c r="N457" s="357">
        <f t="shared" ca="1" si="220"/>
        <v>76.12453105036316</v>
      </c>
      <c r="O457" s="343"/>
      <c r="P457" s="363">
        <f t="shared" ca="1" si="221"/>
        <v>19</v>
      </c>
      <c r="Q457" s="357">
        <f t="shared" ca="1" si="222"/>
        <v>136.24375000004085</v>
      </c>
      <c r="R457" s="359">
        <f t="shared" ca="1" si="223"/>
        <v>6.82488897182989E-2</v>
      </c>
      <c r="S457" s="360">
        <f t="shared" ca="1" si="224"/>
        <v>9.6438952526204123</v>
      </c>
      <c r="T457" s="357">
        <f t="shared" ca="1" si="204"/>
        <v>94.606612428206248</v>
      </c>
      <c r="U457" s="364">
        <f t="shared" ca="1" si="205"/>
        <v>0</v>
      </c>
      <c r="V457" s="359">
        <f t="shared" ca="1" si="206"/>
        <v>1.1404297319174179</v>
      </c>
      <c r="W457" s="357">
        <f t="shared" ca="1" si="207"/>
        <v>189.72495275747491</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715.05204269187482</v>
      </c>
      <c r="AF457" s="344"/>
      <c r="AG457" s="359">
        <f t="shared" ca="1" si="230"/>
        <v>-15.096725970976342</v>
      </c>
      <c r="AH457" s="357">
        <f t="shared" ca="1" si="231"/>
        <v>-5.5727842324871784</v>
      </c>
    </row>
    <row r="458" spans="1:34" x14ac:dyDescent="0.25">
      <c r="A458" s="402">
        <f t="shared" ca="1" si="209"/>
        <v>0.01</v>
      </c>
      <c r="B458" s="357">
        <f t="shared" ca="1" si="210"/>
        <v>4.5399999999999476</v>
      </c>
      <c r="C458" s="342"/>
      <c r="D458" s="359">
        <f t="shared" ca="1" si="211"/>
        <v>-1.5267641289137666</v>
      </c>
      <c r="E458" s="360">
        <f t="shared" ca="1" si="212"/>
        <v>-15.990714319943809</v>
      </c>
      <c r="F458" s="357">
        <f t="shared" ca="1" si="213"/>
        <v>16.063435285373853</v>
      </c>
      <c r="G458" s="359">
        <f t="shared" ca="1" si="214"/>
        <v>64.713828735170296</v>
      </c>
      <c r="H458" s="360">
        <f t="shared" ca="1" si="215"/>
        <v>261.87929414170469</v>
      </c>
      <c r="I458" s="357">
        <f t="shared" ca="1" si="216"/>
        <v>269.75663908367932</v>
      </c>
      <c r="J458" s="359">
        <f t="shared" ca="1" si="217"/>
        <v>164.75774058181318</v>
      </c>
      <c r="K458" s="360">
        <f t="shared" ca="1" si="218"/>
        <v>717.67163516900791</v>
      </c>
      <c r="L458" s="357">
        <f t="shared" ca="1" si="203"/>
        <v>736.34074246084037</v>
      </c>
      <c r="M458" s="359">
        <f t="shared" ca="1" si="219"/>
        <v>1.3285364979169068</v>
      </c>
      <c r="N458" s="357">
        <f t="shared" ca="1" si="220"/>
        <v>76.119534259729647</v>
      </c>
      <c r="O458" s="343"/>
      <c r="P458" s="363">
        <f t="shared" ca="1" si="221"/>
        <v>19</v>
      </c>
      <c r="Q458" s="357">
        <f t="shared" ca="1" si="222"/>
        <v>128.33125000004102</v>
      </c>
      <c r="R458" s="359">
        <f t="shared" ca="1" si="223"/>
        <v>6.4285263204085466E-2</v>
      </c>
      <c r="S458" s="360">
        <f t="shared" ca="1" si="224"/>
        <v>9.6432523999883717</v>
      </c>
      <c r="T458" s="357">
        <f t="shared" ca="1" si="204"/>
        <v>94.600306043885936</v>
      </c>
      <c r="U458" s="364">
        <f t="shared" ca="1" si="205"/>
        <v>0</v>
      </c>
      <c r="V458" s="359">
        <f t="shared" ca="1" si="206"/>
        <v>1.1401306412647598</v>
      </c>
      <c r="W458" s="357">
        <f t="shared" ca="1" si="207"/>
        <v>189.45193458795032</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717.67163516900791</v>
      </c>
      <c r="AF458" s="344"/>
      <c r="AG458" s="359">
        <f t="shared" ca="1" si="230"/>
        <v>-15.890230199787023</v>
      </c>
      <c r="AH458" s="357">
        <f t="shared" ca="1" si="231"/>
        <v>-6.3664933998313593</v>
      </c>
    </row>
    <row r="459" spans="1:34" x14ac:dyDescent="0.25">
      <c r="A459" s="402">
        <f t="shared" ca="1" si="209"/>
        <v>0.01</v>
      </c>
      <c r="B459" s="357">
        <f t="shared" ca="1" si="210"/>
        <v>4.5499999999999474</v>
      </c>
      <c r="C459" s="342"/>
      <c r="D459" s="359">
        <f t="shared" ca="1" si="211"/>
        <v>-1.717459461589971</v>
      </c>
      <c r="E459" s="360">
        <f t="shared" ca="1" si="212"/>
        <v>-16.760092125730417</v>
      </c>
      <c r="F459" s="357">
        <f t="shared" ca="1" si="213"/>
        <v>16.847859064735069</v>
      </c>
      <c r="G459" s="359">
        <f t="shared" ca="1" si="214"/>
        <v>64.696654140554401</v>
      </c>
      <c r="H459" s="360">
        <f t="shared" ca="1" si="215"/>
        <v>261.71169322044739</v>
      </c>
      <c r="I459" s="357">
        <f t="shared" ca="1" si="216"/>
        <v>269.58981328176344</v>
      </c>
      <c r="J459" s="359">
        <f t="shared" ca="1" si="217"/>
        <v>165.40479299619182</v>
      </c>
      <c r="K459" s="360">
        <f t="shared" ca="1" si="218"/>
        <v>720.28959010581866</v>
      </c>
      <c r="L459" s="357">
        <f t="shared" ca="1" si="203"/>
        <v>739.03710269574515</v>
      </c>
      <c r="M459" s="359">
        <f t="shared" ca="1" si="219"/>
        <v>1.3284492026930195</v>
      </c>
      <c r="N459" s="357">
        <f t="shared" ca="1" si="220"/>
        <v>76.114532611829247</v>
      </c>
      <c r="O459" s="343"/>
      <c r="P459" s="363">
        <f t="shared" ca="1" si="221"/>
        <v>19</v>
      </c>
      <c r="Q459" s="357">
        <f t="shared" ca="1" si="222"/>
        <v>120.4187500000412</v>
      </c>
      <c r="R459" s="359">
        <f t="shared" ca="1" si="223"/>
        <v>6.0321636689872032E-2</v>
      </c>
      <c r="S459" s="360">
        <f t="shared" ca="1" si="224"/>
        <v>9.6426491836214723</v>
      </c>
      <c r="T459" s="357">
        <f t="shared" ca="1" si="204"/>
        <v>94.594388491326654</v>
      </c>
      <c r="U459" s="364">
        <f t="shared" ca="1" si="205"/>
        <v>0</v>
      </c>
      <c r="V459" s="359">
        <f t="shared" ca="1" si="206"/>
        <v>1.1398318131324805</v>
      </c>
      <c r="W459" s="357">
        <f t="shared" ca="1" si="207"/>
        <v>189.16808730309182</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720.28959010581866</v>
      </c>
      <c r="AF459" s="344"/>
      <c r="AG459" s="359">
        <f t="shared" ca="1" si="230"/>
        <v>-16.682682911456201</v>
      </c>
      <c r="AH459" s="357">
        <f t="shared" ca="1" si="231"/>
        <v>-7.1591513155083435</v>
      </c>
    </row>
    <row r="460" spans="1:34" x14ac:dyDescent="0.25">
      <c r="A460" s="402">
        <f t="shared" ca="1" si="209"/>
        <v>0.01</v>
      </c>
      <c r="B460" s="357">
        <f t="shared" ca="1" si="210"/>
        <v>4.5599999999999472</v>
      </c>
      <c r="C460" s="342"/>
      <c r="D460" s="359">
        <f t="shared" ca="1" si="211"/>
        <v>-1.9080360851638063</v>
      </c>
      <c r="E460" s="360">
        <f t="shared" ca="1" si="212"/>
        <v>-17.528410808217025</v>
      </c>
      <c r="F460" s="357">
        <f t="shared" ca="1" si="213"/>
        <v>17.6319535833074</v>
      </c>
      <c r="G460" s="359">
        <f t="shared" ca="1" si="214"/>
        <v>64.677573779702769</v>
      </c>
      <c r="H460" s="360">
        <f t="shared" ca="1" si="215"/>
        <v>261.53640911236522</v>
      </c>
      <c r="I460" s="357">
        <f t="shared" ca="1" si="216"/>
        <v>269.41507352302949</v>
      </c>
      <c r="J460" s="359">
        <f t="shared" ca="1" si="217"/>
        <v>166.05166413579309</v>
      </c>
      <c r="K460" s="360">
        <f t="shared" ca="1" si="218"/>
        <v>722.90583061748271</v>
      </c>
      <c r="L460" s="357">
        <f t="shared" ca="1" si="203"/>
        <v>741.73175414230366</v>
      </c>
      <c r="M460" s="359">
        <f t="shared" ca="1" si="219"/>
        <v>1.3283618199927905</v>
      </c>
      <c r="N460" s="357">
        <f t="shared" ca="1" si="220"/>
        <v>76.109525951903677</v>
      </c>
      <c r="O460" s="343"/>
      <c r="P460" s="363">
        <f t="shared" ca="1" si="221"/>
        <v>19</v>
      </c>
      <c r="Q460" s="357">
        <f t="shared" ca="1" si="222"/>
        <v>112.50625000004138</v>
      </c>
      <c r="R460" s="359">
        <f t="shared" ca="1" si="223"/>
        <v>5.6358010175658606E-2</v>
      </c>
      <c r="S460" s="360">
        <f t="shared" ca="1" si="224"/>
        <v>9.6420856035197158</v>
      </c>
      <c r="T460" s="357">
        <f t="shared" ca="1" si="204"/>
        <v>94.588859770528416</v>
      </c>
      <c r="U460" s="364">
        <f t="shared" ca="1" si="205"/>
        <v>0</v>
      </c>
      <c r="V460" s="359">
        <f t="shared" ca="1" si="206"/>
        <v>1.1395332561229878</v>
      </c>
      <c r="W460" s="357">
        <f t="shared" ca="1" si="207"/>
        <v>188.87345626942007</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722.90583061748271</v>
      </c>
      <c r="AF460" s="344"/>
      <c r="AG460" s="359">
        <f t="shared" ca="1" si="230"/>
        <v>-17.474078732522624</v>
      </c>
      <c r="AH460" s="357">
        <f t="shared" ca="1" si="231"/>
        <v>-7.9507526125951484</v>
      </c>
    </row>
    <row r="461" spans="1:34" x14ac:dyDescent="0.25">
      <c r="A461" s="402">
        <f t="shared" ca="1" si="209"/>
        <v>0.01</v>
      </c>
      <c r="B461" s="357">
        <f t="shared" ca="1" si="210"/>
        <v>4.569999999999947</v>
      </c>
      <c r="C461" s="342"/>
      <c r="D461" s="359">
        <f t="shared" ca="1" si="211"/>
        <v>-2.0984926863722233</v>
      </c>
      <c r="E461" s="360">
        <f t="shared" ca="1" si="212"/>
        <v>-18.295665272660358</v>
      </c>
      <c r="F461" s="357">
        <f t="shared" ca="1" si="213"/>
        <v>18.415619439051945</v>
      </c>
      <c r="G461" s="359">
        <f t="shared" ca="1" si="214"/>
        <v>64.65658885283905</v>
      </c>
      <c r="H461" s="360">
        <f t="shared" ca="1" si="215"/>
        <v>261.35345245963862</v>
      </c>
      <c r="I461" s="357">
        <f t="shared" ca="1" si="216"/>
        <v>269.23243042890959</v>
      </c>
      <c r="J461" s="359">
        <f t="shared" ca="1" si="217"/>
        <v>166.69833494895579</v>
      </c>
      <c r="K461" s="360">
        <f t="shared" ca="1" si="218"/>
        <v>725.52027992534272</v>
      </c>
      <c r="L461" s="357">
        <f t="shared" ca="1" si="203"/>
        <v>744.42461771337321</v>
      </c>
      <c r="M461" s="359">
        <f t="shared" ca="1" si="219"/>
        <v>1.3282743471047027</v>
      </c>
      <c r="N461" s="357">
        <f t="shared" ca="1" si="220"/>
        <v>76.104514124594431</v>
      </c>
      <c r="O461" s="343"/>
      <c r="P461" s="363">
        <f t="shared" ca="1" si="221"/>
        <v>19</v>
      </c>
      <c r="Q461" s="357">
        <f t="shared" ca="1" si="222"/>
        <v>104.59375000004155</v>
      </c>
      <c r="R461" s="359">
        <f t="shared" ca="1" si="223"/>
        <v>5.2394383661445172E-2</v>
      </c>
      <c r="S461" s="360">
        <f t="shared" ca="1" si="224"/>
        <v>9.6415616596831022</v>
      </c>
      <c r="T461" s="357">
        <f t="shared" ca="1" si="204"/>
        <v>94.583719881491234</v>
      </c>
      <c r="U461" s="364">
        <f t="shared" ca="1" si="205"/>
        <v>0</v>
      </c>
      <c r="V461" s="359">
        <f t="shared" ca="1" si="206"/>
        <v>1.1392349788179363</v>
      </c>
      <c r="W461" s="357">
        <f t="shared" ca="1" si="207"/>
        <v>188.56808780352171</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725.52027992534272</v>
      </c>
      <c r="AF461" s="344"/>
      <c r="AG461" s="359">
        <f t="shared" ca="1" si="230"/>
        <v>-18.264412413664672</v>
      </c>
      <c r="AH461" s="357">
        <f t="shared" ca="1" si="231"/>
        <v>-8.7412920483411209</v>
      </c>
    </row>
    <row r="462" spans="1:34" x14ac:dyDescent="0.25">
      <c r="A462" s="402">
        <f t="shared" ca="1" si="209"/>
        <v>0.01</v>
      </c>
      <c r="B462" s="357">
        <f t="shared" ca="1" si="210"/>
        <v>4.5799999999999468</v>
      </c>
      <c r="C462" s="342"/>
      <c r="D462" s="359">
        <f t="shared" ca="1" si="211"/>
        <v>-2.2888279876890349</v>
      </c>
      <c r="E462" s="360">
        <f t="shared" ca="1" si="212"/>
        <v>-19.061850542723299</v>
      </c>
      <c r="F462" s="357">
        <f t="shared" ca="1" si="213"/>
        <v>19.198772868867145</v>
      </c>
      <c r="G462" s="359">
        <f t="shared" ca="1" si="214"/>
        <v>64.633700572962155</v>
      </c>
      <c r="H462" s="360">
        <f t="shared" ca="1" si="215"/>
        <v>261.16283395421141</v>
      </c>
      <c r="I462" s="357">
        <f t="shared" ca="1" si="216"/>
        <v>269.04189467209437</v>
      </c>
      <c r="J462" s="359">
        <f t="shared" ca="1" si="217"/>
        <v>167.3447863960848</v>
      </c>
      <c r="K462" s="360">
        <f t="shared" ca="1" si="218"/>
        <v>728.13286135741203</v>
      </c>
      <c r="L462" s="357">
        <f t="shared" ca="1" si="203"/>
        <v>747.1156144282379</v>
      </c>
      <c r="M462" s="359">
        <f t="shared" ca="1" si="219"/>
        <v>1.3281867813062846</v>
      </c>
      <c r="N462" s="357">
        <f t="shared" ca="1" si="220"/>
        <v>76.099496973915379</v>
      </c>
      <c r="O462" s="343"/>
      <c r="P462" s="363">
        <f t="shared" ca="1" si="221"/>
        <v>19</v>
      </c>
      <c r="Q462" s="357">
        <f t="shared" ca="1" si="222"/>
        <v>96.681250000041729</v>
      </c>
      <c r="R462" s="359">
        <f t="shared" ca="1" si="223"/>
        <v>4.8430757147231746E-2</v>
      </c>
      <c r="S462" s="360">
        <f t="shared" ca="1" si="224"/>
        <v>9.6410773521116298</v>
      </c>
      <c r="T462" s="357">
        <f t="shared" ca="1" si="204"/>
        <v>94.578968824215096</v>
      </c>
      <c r="U462" s="364">
        <f t="shared" ca="1" si="205"/>
        <v>0</v>
      </c>
      <c r="V462" s="359">
        <f t="shared" ca="1" si="206"/>
        <v>1.1389369897782085</v>
      </c>
      <c r="W462" s="357">
        <f t="shared" ca="1" si="207"/>
        <v>188.25202916366894</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728.13286135741203</v>
      </c>
      <c r="AF462" s="344"/>
      <c r="AG462" s="359">
        <f t="shared" ca="1" si="230"/>
        <v>-19.053678829080681</v>
      </c>
      <c r="AH462" s="357">
        <f t="shared" ca="1" si="231"/>
        <v>-9.5307645035494435</v>
      </c>
    </row>
    <row r="463" spans="1:34" x14ac:dyDescent="0.25">
      <c r="A463" s="402">
        <f t="shared" ca="1" si="209"/>
        <v>0.01</v>
      </c>
      <c r="B463" s="357">
        <f t="shared" ca="1" si="210"/>
        <v>4.5899999999999466</v>
      </c>
      <c r="C463" s="342"/>
      <c r="D463" s="359">
        <f t="shared" ca="1" si="211"/>
        <v>-2.4790407472388885</v>
      </c>
      <c r="E463" s="360">
        <f t="shared" ca="1" si="212"/>
        <v>-19.826961759848714</v>
      </c>
      <c r="F463" s="357">
        <f t="shared" ca="1" si="213"/>
        <v>19.981342688942952</v>
      </c>
      <c r="G463" s="359">
        <f t="shared" ca="1" si="214"/>
        <v>64.60891016548976</v>
      </c>
      <c r="H463" s="360">
        <f t="shared" ca="1" si="215"/>
        <v>260.96456433661291</v>
      </c>
      <c r="I463" s="357">
        <f t="shared" ca="1" si="216"/>
        <v>268.84347697530342</v>
      </c>
      <c r="J463" s="359">
        <f t="shared" ca="1" si="217"/>
        <v>167.99099944977706</v>
      </c>
      <c r="K463" s="360">
        <f t="shared" ca="1" si="218"/>
        <v>730.74349834886618</v>
      </c>
      <c r="L463" s="357">
        <f t="shared" ca="1" si="203"/>
        <v>749.80466541311569</v>
      </c>
      <c r="M463" s="359">
        <f t="shared" ca="1" si="219"/>
        <v>1.3280991198636278</v>
      </c>
      <c r="N463" s="357">
        <f t="shared" ca="1" si="220"/>
        <v>76.094474343225116</v>
      </c>
      <c r="O463" s="343"/>
      <c r="P463" s="363">
        <f t="shared" ca="1" si="221"/>
        <v>19</v>
      </c>
      <c r="Q463" s="357">
        <f t="shared" ca="1" si="222"/>
        <v>88.768750000041905</v>
      </c>
      <c r="R463" s="359">
        <f t="shared" ca="1" si="223"/>
        <v>4.4467130633018312E-2</v>
      </c>
      <c r="S463" s="360">
        <f t="shared" ca="1" si="224"/>
        <v>9.6406326808053002</v>
      </c>
      <c r="T463" s="357">
        <f t="shared" ca="1" si="204"/>
        <v>94.574606598700001</v>
      </c>
      <c r="U463" s="364">
        <f t="shared" ca="1" si="205"/>
        <v>0</v>
      </c>
      <c r="V463" s="359">
        <f t="shared" ca="1" si="206"/>
        <v>1.1386392975438957</v>
      </c>
      <c r="W463" s="357">
        <f t="shared" ca="1" si="207"/>
        <v>187.92532854145097</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730.74349834886618</v>
      </c>
      <c r="AF463" s="344"/>
      <c r="AG463" s="359">
        <f t="shared" ca="1" si="230"/>
        <v>-19.841872975862518</v>
      </c>
      <c r="AH463" s="357">
        <f t="shared" ca="1" si="231"/>
        <v>-10.319164981951891</v>
      </c>
    </row>
    <row r="464" spans="1:34" x14ac:dyDescent="0.25">
      <c r="A464" s="402">
        <f t="shared" ca="1" si="209"/>
        <v>0.01</v>
      </c>
      <c r="B464" s="357">
        <f t="shared" ca="1" si="210"/>
        <v>4.5999999999999464</v>
      </c>
      <c r="C464" s="342"/>
      <c r="D464" s="359">
        <f t="shared" ca="1" si="211"/>
        <v>-2.6691297587112999</v>
      </c>
      <c r="E464" s="360">
        <f t="shared" ca="1" si="212"/>
        <v>-20.590994182626503</v>
      </c>
      <c r="F464" s="357">
        <f t="shared" ca="1" si="213"/>
        <v>20.763267929153077</v>
      </c>
      <c r="G464" s="359">
        <f t="shared" ca="1" si="214"/>
        <v>64.582218867902654</v>
      </c>
      <c r="H464" s="360">
        <f t="shared" ca="1" si="215"/>
        <v>260.75865439478662</v>
      </c>
      <c r="I464" s="357">
        <f t="shared" ca="1" si="216"/>
        <v>268.63718811006316</v>
      </c>
      <c r="J464" s="359">
        <f t="shared" ca="1" si="217"/>
        <v>168.63695509494403</v>
      </c>
      <c r="K464" s="360">
        <f t="shared" ca="1" si="218"/>
        <v>733.3521144425232</v>
      </c>
      <c r="L464" s="357">
        <f t="shared" ca="1" si="203"/>
        <v>752.49169190165401</v>
      </c>
      <c r="M464" s="359">
        <f t="shared" ca="1" si="219"/>
        <v>1.3280113600308987</v>
      </c>
      <c r="N464" s="357">
        <f t="shared" ca="1" si="220"/>
        <v>76.089446075198964</v>
      </c>
      <c r="O464" s="343"/>
      <c r="P464" s="363">
        <f t="shared" ca="1" si="221"/>
        <v>19</v>
      </c>
      <c r="Q464" s="357">
        <f t="shared" ca="1" si="222"/>
        <v>80.856250000042081</v>
      </c>
      <c r="R464" s="359">
        <f t="shared" ca="1" si="223"/>
        <v>4.0503504118804885E-2</v>
      </c>
      <c r="S464" s="360">
        <f t="shared" ca="1" si="224"/>
        <v>9.6402276457641118</v>
      </c>
      <c r="T464" s="357">
        <f t="shared" ca="1" si="204"/>
        <v>94.570633204945949</v>
      </c>
      <c r="U464" s="364">
        <f t="shared" ca="1" si="205"/>
        <v>0</v>
      </c>
      <c r="V464" s="359">
        <f t="shared" ca="1" si="206"/>
        <v>1.1383419106342856</v>
      </c>
      <c r="W464" s="357">
        <f t="shared" ca="1" si="207"/>
        <v>187.58803505342036</v>
      </c>
      <c r="X464" s="343"/>
      <c r="Y464" s="367" t="str">
        <f t="shared" ca="1" si="225"/>
        <v/>
      </c>
      <c r="Z464" s="368" t="str">
        <f t="shared" ca="1" si="226"/>
        <v/>
      </c>
      <c r="AA464" s="369" t="str">
        <f t="shared" ca="1" si="227"/>
        <v/>
      </c>
      <c r="AB464" s="344"/>
      <c r="AC464" s="363" t="e">
        <f t="shared" ca="1" si="228"/>
        <v>#N/A</v>
      </c>
      <c r="AD464" s="376" t="e">
        <f t="shared" ca="1" si="229"/>
        <v>#N/A</v>
      </c>
      <c r="AE464" s="377">
        <f t="shared" ca="1" si="208"/>
        <v>733.3521144425232</v>
      </c>
      <c r="AF464" s="344"/>
      <c r="AG464" s="359">
        <f t="shared" ca="1" si="230"/>
        <v>-20.628989973362586</v>
      </c>
      <c r="AH464" s="357">
        <f t="shared" ca="1" si="231"/>
        <v>-11.106488609577049</v>
      </c>
    </row>
    <row r="465" spans="1:34" x14ac:dyDescent="0.25">
      <c r="A465" s="402">
        <f t="shared" ca="1" si="209"/>
        <v>0.01</v>
      </c>
      <c r="B465" s="357">
        <f t="shared" ca="1" si="210"/>
        <v>4.6099999999999461</v>
      </c>
      <c r="C465" s="342"/>
      <c r="D465" s="359">
        <f t="shared" ca="1" si="211"/>
        <v>-2.8152976078281888</v>
      </c>
      <c r="E465" s="360">
        <f t="shared" ca="1" si="212"/>
        <v>-21.177110464874321</v>
      </c>
      <c r="F465" s="357">
        <f t="shared" ca="1" si="213"/>
        <v>21.363424544349922</v>
      </c>
      <c r="G465" s="359">
        <f t="shared" ca="1" si="214"/>
        <v>64.554065891824365</v>
      </c>
      <c r="H465" s="360">
        <f t="shared" ca="1" si="215"/>
        <v>260.54688329013788</v>
      </c>
      <c r="I465" s="357">
        <f t="shared" ca="1" si="216"/>
        <v>268.42486065074286</v>
      </c>
      <c r="J465" s="359">
        <f t="shared" ca="1" si="217"/>
        <v>169.28263651874266</v>
      </c>
      <c r="K465" s="360">
        <f t="shared" ca="1" si="218"/>
        <v>735.95864213094785</v>
      </c>
      <c r="L465" s="357">
        <f t="shared" ca="1" si="203"/>
        <v>755.17662434291844</v>
      </c>
      <c r="M465" s="359">
        <f t="shared" ca="1" si="219"/>
        <v>1.3279234996461464</v>
      </c>
      <c r="N465" s="357">
        <f t="shared" ca="1" si="220"/>
        <v>76.084412045966261</v>
      </c>
      <c r="O465" s="343"/>
      <c r="P465" s="363">
        <f t="shared" ca="1" si="221"/>
        <v>20</v>
      </c>
      <c r="Q465" s="357">
        <f t="shared" ca="1" si="222"/>
        <v>74.700000000023536</v>
      </c>
      <c r="R465" s="359">
        <f t="shared" ca="1" si="223"/>
        <v>3.7419639887752688E-2</v>
      </c>
      <c r="S465" s="360">
        <f t="shared" ca="1" si="224"/>
        <v>9.6398534493652335</v>
      </c>
      <c r="T465" s="357">
        <f t="shared" ca="1" si="204"/>
        <v>94.566962338272944</v>
      </c>
      <c r="U465" s="364">
        <f t="shared" ca="1" si="205"/>
        <v>0</v>
      </c>
      <c r="V465" s="359">
        <f t="shared" ca="1" si="206"/>
        <v>1.1380448365402642</v>
      </c>
      <c r="W465" s="357">
        <f t="shared" ca="1" si="207"/>
        <v>187.2427401295368</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735.95864213094785</v>
      </c>
      <c r="AF465" s="344"/>
      <c r="AG465" s="359">
        <f t="shared" ca="1" si="230"/>
        <v>-21.232849536604256</v>
      </c>
      <c r="AH465" s="357">
        <f t="shared" ca="1" si="231"/>
        <v>-11.710555108161969</v>
      </c>
    </row>
    <row r="466" spans="1:34" x14ac:dyDescent="0.25">
      <c r="A466" s="402">
        <f t="shared" ca="1" si="209"/>
        <v>0.01</v>
      </c>
      <c r="B466" s="357">
        <f t="shared" ca="1" si="210"/>
        <v>4.6199999999999459</v>
      </c>
      <c r="C466" s="342"/>
      <c r="D466" s="359">
        <f t="shared" ca="1" si="211"/>
        <v>-2.9175584448379821</v>
      </c>
      <c r="E466" s="360">
        <f t="shared" ca="1" si="212"/>
        <v>-21.585567489322628</v>
      </c>
      <c r="F466" s="357">
        <f t="shared" ca="1" si="213"/>
        <v>21.781847284267407</v>
      </c>
      <c r="G466" s="359">
        <f t="shared" ca="1" si="214"/>
        <v>64.524890307375983</v>
      </c>
      <c r="H466" s="360">
        <f t="shared" ca="1" si="215"/>
        <v>260.33102761524464</v>
      </c>
      <c r="I466" s="357">
        <f t="shared" ca="1" si="216"/>
        <v>268.20832464408738</v>
      </c>
      <c r="J466" s="359">
        <f t="shared" ca="1" si="217"/>
        <v>169.92803129973868</v>
      </c>
      <c r="K466" s="360">
        <f t="shared" ca="1" si="218"/>
        <v>738.56303168547481</v>
      </c>
      <c r="L466" s="357">
        <f t="shared" ca="1" si="203"/>
        <v>757.85941149651546</v>
      </c>
      <c r="M466" s="359">
        <f t="shared" ca="1" si="219"/>
        <v>1.3278355371349204</v>
      </c>
      <c r="N466" s="357">
        <f t="shared" ca="1" si="220"/>
        <v>76.079372165317636</v>
      </c>
      <c r="O466" s="343"/>
      <c r="P466" s="363">
        <f t="shared" ca="1" si="221"/>
        <v>20</v>
      </c>
      <c r="Q466" s="357">
        <f t="shared" ca="1" si="222"/>
        <v>70.300000000023687</v>
      </c>
      <c r="R466" s="359">
        <f t="shared" ca="1" si="223"/>
        <v>3.5215537939880477E-2</v>
      </c>
      <c r="S466" s="360">
        <f t="shared" ca="1" si="224"/>
        <v>9.639501293985834</v>
      </c>
      <c r="T466" s="357">
        <f t="shared" ca="1" si="204"/>
        <v>94.563507694001032</v>
      </c>
      <c r="U466" s="364">
        <f t="shared" ca="1" si="205"/>
        <v>0</v>
      </c>
      <c r="V466" s="359">
        <f t="shared" ca="1" si="206"/>
        <v>1.1377480807197302</v>
      </c>
      <c r="W466" s="357">
        <f t="shared" ca="1" si="207"/>
        <v>186.89202123819999</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738.56303168547481</v>
      </c>
      <c r="AF466" s="344"/>
      <c r="AG466" s="359">
        <f t="shared" ca="1" si="230"/>
        <v>-21.653704427347982</v>
      </c>
      <c r="AH466" s="357">
        <f t="shared" ca="1" si="231"/>
        <v>-12.131617244812723</v>
      </c>
    </row>
    <row r="467" spans="1:34" x14ac:dyDescent="0.25">
      <c r="A467" s="402">
        <f t="shared" ca="1" si="209"/>
        <v>0.01</v>
      </c>
      <c r="B467" s="357">
        <f t="shared" ca="1" si="210"/>
        <v>4.6299999999999457</v>
      </c>
      <c r="C467" s="342"/>
      <c r="D467" s="359">
        <f t="shared" ca="1" si="211"/>
        <v>-3.0197574446713924</v>
      </c>
      <c r="E467" s="360">
        <f t="shared" ca="1" si="212"/>
        <v>-21.993462148872865</v>
      </c>
      <c r="F467" s="357">
        <f t="shared" ca="1" si="213"/>
        <v>22.199804330636603</v>
      </c>
      <c r="G467" s="359">
        <f t="shared" ca="1" si="214"/>
        <v>64.494692732929266</v>
      </c>
      <c r="H467" s="360">
        <f t="shared" ca="1" si="215"/>
        <v>260.1110929937559</v>
      </c>
      <c r="I467" s="357">
        <f t="shared" ca="1" si="216"/>
        <v>267.98758569963888</v>
      </c>
      <c r="J467" s="359">
        <f t="shared" ca="1" si="217"/>
        <v>170.5731292149402</v>
      </c>
      <c r="K467" s="360">
        <f t="shared" ca="1" si="218"/>
        <v>741.16524228851983</v>
      </c>
      <c r="L467" s="357">
        <f t="shared" ca="1" si="203"/>
        <v>760.5400112990618</v>
      </c>
      <c r="M467" s="359">
        <f t="shared" ca="1" si="219"/>
        <v>1.3277474709154289</v>
      </c>
      <c r="N467" s="357">
        <f t="shared" ca="1" si="220"/>
        <v>76.074326342623095</v>
      </c>
      <c r="O467" s="343"/>
      <c r="P467" s="363">
        <f t="shared" ca="1" si="221"/>
        <v>20</v>
      </c>
      <c r="Q467" s="357">
        <f t="shared" ca="1" si="222"/>
        <v>65.900000000023837</v>
      </c>
      <c r="R467" s="359">
        <f t="shared" ca="1" si="223"/>
        <v>3.3011435992008266E-2</v>
      </c>
      <c r="S467" s="360">
        <f t="shared" ca="1" si="224"/>
        <v>9.6391711796259134</v>
      </c>
      <c r="T467" s="357">
        <f t="shared" ca="1" si="204"/>
        <v>94.560269272130213</v>
      </c>
      <c r="U467" s="364">
        <f t="shared" ca="1" si="205"/>
        <v>0</v>
      </c>
      <c r="V467" s="359">
        <f t="shared" ca="1" si="206"/>
        <v>1.1374516476102035</v>
      </c>
      <c r="W467" s="357">
        <f t="shared" ca="1" si="207"/>
        <v>186.53590527099394</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741.16524228851983</v>
      </c>
      <c r="AF467" s="344"/>
      <c r="AG467" s="359">
        <f t="shared" ca="1" si="230"/>
        <v>-22.073998365866448</v>
      </c>
      <c r="AH467" s="357">
        <f t="shared" ca="1" si="231"/>
        <v>-12.552118743768562</v>
      </c>
    </row>
    <row r="468" spans="1:34" x14ac:dyDescent="0.25">
      <c r="A468" s="402">
        <f t="shared" ca="1" si="209"/>
        <v>0.01</v>
      </c>
      <c r="B468" s="357">
        <f t="shared" ca="1" si="210"/>
        <v>4.6399999999999455</v>
      </c>
      <c r="C468" s="342"/>
      <c r="D468" s="359">
        <f t="shared" ca="1" si="211"/>
        <v>-3.1218945695922002</v>
      </c>
      <c r="E468" s="360">
        <f t="shared" ca="1" si="212"/>
        <v>-22.400794285516348</v>
      </c>
      <c r="F468" s="357">
        <f t="shared" ca="1" si="213"/>
        <v>22.61729007475633</v>
      </c>
      <c r="G468" s="359">
        <f t="shared" ca="1" si="214"/>
        <v>64.46347378723334</v>
      </c>
      <c r="H468" s="360">
        <f t="shared" ca="1" si="215"/>
        <v>259.88708505090074</v>
      </c>
      <c r="I468" s="357">
        <f t="shared" ca="1" si="216"/>
        <v>267.7626494285031</v>
      </c>
      <c r="J468" s="359">
        <f t="shared" ca="1" si="217"/>
        <v>171.21792004754101</v>
      </c>
      <c r="K468" s="360">
        <f t="shared" ca="1" si="218"/>
        <v>743.76523317874307</v>
      </c>
      <c r="L468" s="357">
        <f t="shared" ca="1" si="203"/>
        <v>763.21838174328332</v>
      </c>
      <c r="M468" s="359">
        <f t="shared" ca="1" si="219"/>
        <v>1.3276592993983722</v>
      </c>
      <c r="N468" s="357">
        <f t="shared" ca="1" si="220"/>
        <v>76.069274486822479</v>
      </c>
      <c r="O468" s="343"/>
      <c r="P468" s="363">
        <f t="shared" ca="1" si="221"/>
        <v>20</v>
      </c>
      <c r="Q468" s="357">
        <f t="shared" ca="1" si="222"/>
        <v>61.500000000023995</v>
      </c>
      <c r="R468" s="359">
        <f t="shared" ca="1" si="223"/>
        <v>3.0807334044136055E-2</v>
      </c>
      <c r="S468" s="360">
        <f t="shared" ca="1" si="224"/>
        <v>9.6388631062854717</v>
      </c>
      <c r="T468" s="357">
        <f t="shared" ca="1" si="204"/>
        <v>94.557247072660488</v>
      </c>
      <c r="U468" s="364">
        <f t="shared" ca="1" si="205"/>
        <v>0</v>
      </c>
      <c r="V468" s="359">
        <f t="shared" ca="1" si="206"/>
        <v>1.1371555416384411</v>
      </c>
      <c r="W468" s="357">
        <f t="shared" ca="1" si="207"/>
        <v>186.17441933239886</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743.76523317874307</v>
      </c>
      <c r="AF468" s="344"/>
      <c r="AG468" s="359">
        <f t="shared" ca="1" si="230"/>
        <v>-22.493731195819755</v>
      </c>
      <c r="AH468" s="357">
        <f t="shared" ca="1" si="231"/>
        <v>-12.972059452679066</v>
      </c>
    </row>
    <row r="469" spans="1:34" x14ac:dyDescent="0.25">
      <c r="A469" s="402">
        <f t="shared" ca="1" si="209"/>
        <v>0.01</v>
      </c>
      <c r="B469" s="357">
        <f t="shared" ca="1" si="210"/>
        <v>4.6499999999999453</v>
      </c>
      <c r="C469" s="342"/>
      <c r="D469" s="359">
        <f t="shared" ca="1" si="211"/>
        <v>-3.2239697913091487</v>
      </c>
      <c r="E469" s="360">
        <f t="shared" ca="1" si="212"/>
        <v>-22.807563769537822</v>
      </c>
      <c r="F469" s="357">
        <f t="shared" ca="1" si="213"/>
        <v>23.034299345037788</v>
      </c>
      <c r="G469" s="359">
        <f t="shared" ca="1" si="214"/>
        <v>64.431234089320242</v>
      </c>
      <c r="H469" s="360">
        <f t="shared" ca="1" si="215"/>
        <v>259.65900941320535</v>
      </c>
      <c r="I469" s="357">
        <f t="shared" ca="1" si="216"/>
        <v>267.53352144305177</v>
      </c>
      <c r="J469" s="359">
        <f t="shared" ca="1" si="217"/>
        <v>171.86239358692379</v>
      </c>
      <c r="K469" s="360">
        <f t="shared" ca="1" si="218"/>
        <v>746.36296365106364</v>
      </c>
      <c r="L469" s="357">
        <f t="shared" ca="1" si="203"/>
        <v>765.89448087802907</v>
      </c>
      <c r="M469" s="359">
        <f t="shared" ca="1" si="219"/>
        <v>1.3275710209867755</v>
      </c>
      <c r="N469" s="357">
        <f t="shared" ca="1" si="220"/>
        <v>76.064216506415875</v>
      </c>
      <c r="O469" s="343"/>
      <c r="P469" s="363">
        <f t="shared" ca="1" si="221"/>
        <v>20</v>
      </c>
      <c r="Q469" s="357">
        <f t="shared" ca="1" si="222"/>
        <v>57.100000000024153</v>
      </c>
      <c r="R469" s="359">
        <f t="shared" ca="1" si="223"/>
        <v>2.8603232096263843E-2</v>
      </c>
      <c r="S469" s="360">
        <f t="shared" ca="1" si="224"/>
        <v>9.6385770739645089</v>
      </c>
      <c r="T469" s="357">
        <f t="shared" ca="1" si="204"/>
        <v>94.554441095591841</v>
      </c>
      <c r="U469" s="364">
        <f t="shared" ca="1" si="205"/>
        <v>0</v>
      </c>
      <c r="V469" s="359">
        <f t="shared" ca="1" si="206"/>
        <v>1.1368597672204566</v>
      </c>
      <c r="W469" s="357">
        <f t="shared" ca="1" si="207"/>
        <v>185.80759073767979</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746.36296365106364</v>
      </c>
      <c r="AF469" s="344"/>
      <c r="AG469" s="359">
        <f t="shared" ca="1" si="230"/>
        <v>-22.912902790606761</v>
      </c>
      <c r="AH469" s="357">
        <f t="shared" ca="1" si="231"/>
        <v>-13.391439248955885</v>
      </c>
    </row>
    <row r="470" spans="1:34" x14ac:dyDescent="0.25">
      <c r="A470" s="402">
        <f t="shared" ca="1" si="209"/>
        <v>0.01</v>
      </c>
      <c r="B470" s="357">
        <f t="shared" ca="1" si="210"/>
        <v>4.6599999999999451</v>
      </c>
      <c r="C470" s="342"/>
      <c r="D470" s="359">
        <f t="shared" ca="1" si="211"/>
        <v>-3.3628366008489299</v>
      </c>
      <c r="E470" s="360">
        <f t="shared" ca="1" si="212"/>
        <v>-23.36229079400233</v>
      </c>
      <c r="F470" s="357">
        <f t="shared" ca="1" si="213"/>
        <v>23.603078213392745</v>
      </c>
      <c r="G470" s="359">
        <f t="shared" ca="1" si="214"/>
        <v>64.397605723311756</v>
      </c>
      <c r="H470" s="360">
        <f t="shared" ca="1" si="215"/>
        <v>259.42538650526535</v>
      </c>
      <c r="I470" s="357">
        <f t="shared" ca="1" si="216"/>
        <v>267.29867711289074</v>
      </c>
      <c r="J470" s="359">
        <f t="shared" ca="1" si="217"/>
        <v>172.50653778598695</v>
      </c>
      <c r="K470" s="360">
        <f t="shared" ca="1" si="218"/>
        <v>748.95838563065604</v>
      </c>
      <c r="L470" s="357">
        <f t="shared" ca="1" si="203"/>
        <v>768.56825915814829</v>
      </c>
      <c r="M470" s="359">
        <f t="shared" ca="1" si="219"/>
        <v>1.3274826335698158</v>
      </c>
      <c r="N470" s="357">
        <f t="shared" ca="1" si="220"/>
        <v>76.059152280462015</v>
      </c>
      <c r="O470" s="343"/>
      <c r="P470" s="363">
        <f t="shared" ca="1" si="221"/>
        <v>21</v>
      </c>
      <c r="Q470" s="357">
        <f t="shared" ca="1" si="222"/>
        <v>51.225000000040474</v>
      </c>
      <c r="R470" s="359">
        <f t="shared" ca="1" si="223"/>
        <v>2.5660255063601634E-2</v>
      </c>
      <c r="S470" s="360">
        <f t="shared" ca="1" si="224"/>
        <v>9.6383204714138735</v>
      </c>
      <c r="T470" s="357">
        <f t="shared" ca="1" si="204"/>
        <v>94.55192382457011</v>
      </c>
      <c r="U470" s="364">
        <f t="shared" ca="1" si="205"/>
        <v>0</v>
      </c>
      <c r="V470" s="359">
        <f t="shared" ca="1" si="206"/>
        <v>1.1365643296067396</v>
      </c>
      <c r="W470" s="357">
        <f t="shared" ca="1" si="207"/>
        <v>185.43332398819962</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748.95838563065604</v>
      </c>
      <c r="AF470" s="344"/>
      <c r="AG470" s="359">
        <f t="shared" ca="1" si="230"/>
        <v>-23.484537427451784</v>
      </c>
      <c r="AH470" s="357">
        <f t="shared" ca="1" si="231"/>
        <v>-13.963282413859913</v>
      </c>
    </row>
    <row r="471" spans="1:34" x14ac:dyDescent="0.25">
      <c r="A471" s="402">
        <f t="shared" ca="1" si="209"/>
        <v>0.01</v>
      </c>
      <c r="B471" s="357">
        <f t="shared" ca="1" si="210"/>
        <v>4.6699999999999449</v>
      </c>
      <c r="C471" s="342"/>
      <c r="D471" s="359">
        <f t="shared" ca="1" si="211"/>
        <v>-3.5384809712595029</v>
      </c>
      <c r="E471" s="360">
        <f t="shared" ca="1" si="212"/>
        <v>-24.064750363773541</v>
      </c>
      <c r="F471" s="357">
        <f t="shared" ca="1" si="213"/>
        <v>24.323508333599914</v>
      </c>
      <c r="G471" s="359">
        <f t="shared" ca="1" si="214"/>
        <v>64.36222091359916</v>
      </c>
      <c r="H471" s="360">
        <f t="shared" ca="1" si="215"/>
        <v>259.18473900162763</v>
      </c>
      <c r="I471" s="357">
        <f t="shared" ca="1" si="216"/>
        <v>267.0565940250732</v>
      </c>
      <c r="J471" s="359">
        <f t="shared" ca="1" si="217"/>
        <v>173.15033691917151</v>
      </c>
      <c r="K471" s="360">
        <f t="shared" ca="1" si="218"/>
        <v>751.55143625819051</v>
      </c>
      <c r="L471" s="357">
        <f t="shared" ca="1" si="203"/>
        <v>771.23965180543701</v>
      </c>
      <c r="M471" s="359">
        <f t="shared" ca="1" si="219"/>
        <v>1.327394134518848</v>
      </c>
      <c r="N471" s="357">
        <f t="shared" ca="1" si="220"/>
        <v>76.054081658350654</v>
      </c>
      <c r="O471" s="343"/>
      <c r="P471" s="363">
        <f t="shared" ca="1" si="221"/>
        <v>21</v>
      </c>
      <c r="Q471" s="357">
        <f t="shared" ca="1" si="222"/>
        <v>43.875000000040473</v>
      </c>
      <c r="R471" s="359">
        <f t="shared" ca="1" si="223"/>
        <v>2.1978402946133152E-2</v>
      </c>
      <c r="S471" s="360">
        <f t="shared" ca="1" si="224"/>
        <v>9.6381006873844122</v>
      </c>
      <c r="T471" s="357">
        <f t="shared" ca="1" si="204"/>
        <v>94.549767743241091</v>
      </c>
      <c r="U471" s="364">
        <f t="shared" ca="1" si="205"/>
        <v>0</v>
      </c>
      <c r="V471" s="359">
        <f t="shared" ca="1" si="206"/>
        <v>1.1362692357249327</v>
      </c>
      <c r="W471" s="357">
        <f t="shared" ca="1" si="207"/>
        <v>185.04953695956797</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751.55143625819051</v>
      </c>
      <c r="AF471" s="344"/>
      <c r="AG471" s="359">
        <f t="shared" ca="1" si="230"/>
        <v>-24.208413362211964</v>
      </c>
      <c r="AH471" s="357">
        <f t="shared" ca="1" si="231"/>
        <v>-14.687367208504982</v>
      </c>
    </row>
    <row r="472" spans="1:34" x14ac:dyDescent="0.25">
      <c r="A472" s="402">
        <f t="shared" ca="1" si="209"/>
        <v>0.01</v>
      </c>
      <c r="B472" s="357">
        <f t="shared" ca="1" si="210"/>
        <v>4.6799999999999446</v>
      </c>
      <c r="C472" s="342"/>
      <c r="D472" s="359">
        <f t="shared" ca="1" si="211"/>
        <v>-4.1246955166341737</v>
      </c>
      <c r="E472" s="360">
        <f t="shared" ca="1" si="212"/>
        <v>-26.420025505103872</v>
      </c>
      <c r="F472" s="357">
        <f t="shared" ca="1" si="213"/>
        <v>26.740060972168354</v>
      </c>
      <c r="G472" s="359">
        <f t="shared" ca="1" si="214"/>
        <v>64.320973958432816</v>
      </c>
      <c r="H472" s="360">
        <f t="shared" ca="1" si="215"/>
        <v>258.9205387465766</v>
      </c>
      <c r="I472" s="357">
        <f t="shared" ca="1" si="216"/>
        <v>266.7902417176814</v>
      </c>
      <c r="J472" s="359">
        <f t="shared" ca="1" si="217"/>
        <v>173.79375289353166</v>
      </c>
      <c r="K472" s="360">
        <f t="shared" ca="1" si="218"/>
        <v>754.14196264693157</v>
      </c>
      <c r="L472" s="357">
        <f t="shared" ca="1" si="203"/>
        <v>773.90850129054911</v>
      </c>
      <c r="M472" s="359">
        <f t="shared" ca="1" si="219"/>
        <v>1.327305515531449</v>
      </c>
      <c r="N472" s="357">
        <f t="shared" ca="1" si="220"/>
        <v>76.049004164387966</v>
      </c>
      <c r="O472" s="343"/>
      <c r="P472" s="363">
        <f t="shared" ca="1" si="221"/>
        <v>22</v>
      </c>
      <c r="Q472" s="357">
        <f t="shared" ca="1" si="222"/>
        <v>20.100000000221371</v>
      </c>
      <c r="R472" s="359">
        <f t="shared" ca="1" si="223"/>
        <v>1.0068738443800211E-2</v>
      </c>
      <c r="S472" s="360">
        <f t="shared" ca="1" si="224"/>
        <v>9.637999999999975</v>
      </c>
      <c r="T472" s="357">
        <f t="shared" ca="1" si="204"/>
        <v>94.548779999999766</v>
      </c>
      <c r="U472" s="364">
        <f t="shared" ca="1" si="205"/>
        <v>0</v>
      </c>
      <c r="V472" s="359">
        <f t="shared" ca="1" si="206"/>
        <v>1.1359745027373158</v>
      </c>
      <c r="W472" s="357">
        <f t="shared" ca="1" si="207"/>
        <v>184.6326943244712</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754.14196264693157</v>
      </c>
      <c r="AF472" s="344"/>
      <c r="AG472" s="359">
        <f t="shared" ca="1" si="230"/>
        <v>-26.635335498706315</v>
      </c>
      <c r="AH472" s="357">
        <f t="shared" ca="1" si="231"/>
        <v>-17.11449854319849</v>
      </c>
    </row>
    <row r="473" spans="1:34" x14ac:dyDescent="0.25">
      <c r="A473" s="402">
        <f t="shared" ca="1" si="209"/>
        <v>0.01</v>
      </c>
      <c r="B473" s="357">
        <f t="shared" ca="1" si="210"/>
        <v>4.6899999999999444</v>
      </c>
      <c r="C473" s="342"/>
      <c r="D473" s="359">
        <f t="shared" ca="1" si="211"/>
        <v>-4.6185362515703625</v>
      </c>
      <c r="E473" s="360">
        <f t="shared" ca="1" si="212"/>
        <v>-28.401663354631339</v>
      </c>
      <c r="F473" s="357">
        <f t="shared" ca="1" si="213"/>
        <v>28.774734723657808</v>
      </c>
      <c r="G473" s="359">
        <f t="shared" ca="1" si="214"/>
        <v>64.274788595917116</v>
      </c>
      <c r="H473" s="360">
        <f t="shared" ca="1" si="215"/>
        <v>258.63652211303031</v>
      </c>
      <c r="I473" s="357">
        <f t="shared" ca="1" si="216"/>
        <v>266.50346905767259</v>
      </c>
      <c r="J473" s="359">
        <f t="shared" ca="1" si="217"/>
        <v>174.43673170630342</v>
      </c>
      <c r="K473" s="360">
        <f t="shared" ca="1" si="218"/>
        <v>756.72974795122957</v>
      </c>
      <c r="L473" s="357">
        <f t="shared" ca="1" si="203"/>
        <v>776.57458418538806</v>
      </c>
      <c r="M473" s="359">
        <f t="shared" ca="1" si="219"/>
        <v>1.3272167695262691</v>
      </c>
      <c r="N473" s="357">
        <f t="shared" ca="1" si="220"/>
        <v>76.043919392842511</v>
      </c>
      <c r="O473" s="343"/>
      <c r="P473" s="363">
        <f t="shared" ca="1" si="221"/>
        <v>23</v>
      </c>
      <c r="Q473" s="357">
        <f t="shared" ca="1" si="222"/>
        <v>0</v>
      </c>
      <c r="R473" s="359">
        <f t="shared" ca="1" si="223"/>
        <v>0</v>
      </c>
      <c r="S473" s="360">
        <f t="shared" ca="1" si="224"/>
        <v>9.637999999999975</v>
      </c>
      <c r="T473" s="357">
        <f t="shared" ca="1" si="204"/>
        <v>94.548779999999766</v>
      </c>
      <c r="U473" s="364">
        <f t="shared" ca="1" si="205"/>
        <v>0</v>
      </c>
      <c r="V473" s="359">
        <f t="shared" ca="1" si="206"/>
        <v>1.1356801550632749</v>
      </c>
      <c r="W473" s="357">
        <f t="shared" ca="1" si="207"/>
        <v>184.1882462719781</v>
      </c>
      <c r="X473" s="343"/>
      <c r="Y473" s="367" t="str">
        <f t="shared" ca="1" si="225"/>
        <v>Fin de propulsion</v>
      </c>
      <c r="Z473" s="368" t="str">
        <f t="shared" ca="1" si="226"/>
        <v/>
      </c>
      <c r="AA473" s="369" t="str">
        <f t="shared" ca="1" si="227"/>
        <v/>
      </c>
      <c r="AB473" s="344"/>
      <c r="AC473" s="363" t="e">
        <f t="shared" ca="1" si="228"/>
        <v>#N/A</v>
      </c>
      <c r="AD473" s="376" t="e">
        <f t="shared" ca="1" si="229"/>
        <v>#N/A</v>
      </c>
      <c r="AE473" s="377">
        <f t="shared" ca="1" si="208"/>
        <v>756.72974795122957</v>
      </c>
      <c r="AF473" s="344"/>
      <c r="AG473" s="359">
        <f t="shared" ca="1" si="230"/>
        <v>-28.677370947995691</v>
      </c>
      <c r="AH473" s="357">
        <f t="shared" ca="1" si="231"/>
        <v>-19.156743548918001</v>
      </c>
    </row>
    <row r="474" spans="1:34" x14ac:dyDescent="0.25">
      <c r="A474" s="402">
        <f t="shared" ca="1" si="209"/>
        <v>0.01</v>
      </c>
      <c r="B474" s="357">
        <f t="shared" ca="1" si="210"/>
        <v>4.6999999999999442</v>
      </c>
      <c r="C474" s="342"/>
      <c r="D474" s="359">
        <f t="shared" ca="1" si="211"/>
        <v>-4.6090644513131949</v>
      </c>
      <c r="E474" s="360">
        <f t="shared" ca="1" si="212"/>
        <v>-28.356500516349733</v>
      </c>
      <c r="F474" s="357">
        <f t="shared" ca="1" si="213"/>
        <v>28.728637222292701</v>
      </c>
      <c r="G474" s="359">
        <f t="shared" ca="1" si="214"/>
        <v>64.228697951403987</v>
      </c>
      <c r="H474" s="360">
        <f t="shared" ca="1" si="215"/>
        <v>258.35295710786681</v>
      </c>
      <c r="I474" s="357">
        <f t="shared" ca="1" si="216"/>
        <v>266.21715964023048</v>
      </c>
      <c r="J474" s="359">
        <f t="shared" ca="1" si="217"/>
        <v>175.07924913904003</v>
      </c>
      <c r="K474" s="360">
        <f t="shared" ca="1" si="218"/>
        <v>759.31469534733401</v>
      </c>
      <c r="L474" s="357">
        <f t="shared" ca="1" si="203"/>
        <v>779.23780070624446</v>
      </c>
      <c r="M474" s="359">
        <f t="shared" ca="1" si="219"/>
        <v>1.3271278963395787</v>
      </c>
      <c r="N474" s="357">
        <f t="shared" ca="1" si="220"/>
        <v>76.038827334333277</v>
      </c>
      <c r="O474" s="343"/>
      <c r="P474" s="363">
        <f t="shared" ca="1" si="221"/>
        <v>23</v>
      </c>
      <c r="Q474" s="357">
        <f t="shared" ca="1" si="222"/>
        <v>0</v>
      </c>
      <c r="R474" s="359">
        <f t="shared" ca="1" si="223"/>
        <v>0</v>
      </c>
      <c r="S474" s="360">
        <f t="shared" ca="1" si="224"/>
        <v>9.637999999999975</v>
      </c>
      <c r="T474" s="357">
        <f t="shared" ca="1" si="204"/>
        <v>94.548779999999766</v>
      </c>
      <c r="U474" s="364">
        <f t="shared" ca="1" si="205"/>
        <v>0</v>
      </c>
      <c r="V474" s="359">
        <f t="shared" ca="1" si="206"/>
        <v>1.1353862034512194</v>
      </c>
      <c r="W474" s="357">
        <f t="shared" ca="1" si="207"/>
        <v>183.74513380052383</v>
      </c>
      <c r="X474" s="343"/>
      <c r="Y474" s="367" t="str">
        <f t="shared" ca="1" si="225"/>
        <v/>
      </c>
      <c r="Z474" s="368" t="str">
        <f t="shared" ca="1" si="226"/>
        <v/>
      </c>
      <c r="AA474" s="369" t="str">
        <f t="shared" ca="1" si="227"/>
        <v/>
      </c>
      <c r="AB474" s="344"/>
      <c r="AC474" s="363" t="e">
        <f t="shared" ca="1" si="228"/>
        <v>#N/A</v>
      </c>
      <c r="AD474" s="376" t="e">
        <f t="shared" ca="1" si="229"/>
        <v>#N/A</v>
      </c>
      <c r="AE474" s="377">
        <f t="shared" ca="1" si="208"/>
        <v>759.31469534733401</v>
      </c>
      <c r="AF474" s="344"/>
      <c r="AG474" s="359">
        <f t="shared" ca="1" si="230"/>
        <v>-28.631046879269434</v>
      </c>
      <c r="AH474" s="357">
        <f t="shared" ca="1" si="231"/>
        <v>-19.110629411908963</v>
      </c>
    </row>
    <row r="475" spans="1:34" x14ac:dyDescent="0.25">
      <c r="A475" s="402">
        <f t="shared" ca="1" si="209"/>
        <v>0.01</v>
      </c>
      <c r="B475" s="357">
        <f t="shared" ca="1" si="210"/>
        <v>4.709999999999944</v>
      </c>
      <c r="C475" s="342"/>
      <c r="D475" s="359">
        <f t="shared" ca="1" si="211"/>
        <v>-4.5996204575844564</v>
      </c>
      <c r="E475" s="360">
        <f t="shared" ca="1" si="212"/>
        <v>-28.311473401965607</v>
      </c>
      <c r="F475" s="357">
        <f t="shared" ca="1" si="213"/>
        <v>28.682678301442415</v>
      </c>
      <c r="G475" s="359">
        <f t="shared" ca="1" si="214"/>
        <v>64.182701746828144</v>
      </c>
      <c r="H475" s="360">
        <f t="shared" ca="1" si="215"/>
        <v>258.06984237384717</v>
      </c>
      <c r="I475" s="357">
        <f t="shared" ca="1" si="216"/>
        <v>265.93131208337354</v>
      </c>
      <c r="J475" s="359">
        <f t="shared" ca="1" si="217"/>
        <v>175.7213061375312</v>
      </c>
      <c r="K475" s="360">
        <f t="shared" ca="1" si="218"/>
        <v>761.89680934474256</v>
      </c>
      <c r="L475" s="357">
        <f t="shared" ca="1" si="203"/>
        <v>781.89815546551768</v>
      </c>
      <c r="M475" s="359">
        <f t="shared" ca="1" si="219"/>
        <v>1.3270388958072663</v>
      </c>
      <c r="N475" s="357">
        <f t="shared" ca="1" si="220"/>
        <v>76.033727979457353</v>
      </c>
      <c r="O475" s="343"/>
      <c r="P475" s="363">
        <f t="shared" ca="1" si="221"/>
        <v>23</v>
      </c>
      <c r="Q475" s="357">
        <f t="shared" ca="1" si="222"/>
        <v>0</v>
      </c>
      <c r="R475" s="359">
        <f t="shared" ca="1" si="223"/>
        <v>0</v>
      </c>
      <c r="S475" s="360">
        <f t="shared" ca="1" si="224"/>
        <v>9.637999999999975</v>
      </c>
      <c r="T475" s="357">
        <f t="shared" ca="1" si="204"/>
        <v>94.548779999999766</v>
      </c>
      <c r="U475" s="364">
        <f t="shared" ca="1" si="205"/>
        <v>0</v>
      </c>
      <c r="V475" s="359">
        <f t="shared" ca="1" si="206"/>
        <v>1.135092647120062</v>
      </c>
      <c r="W475" s="357">
        <f t="shared" ca="1" si="207"/>
        <v>183.3033515744379</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761.89680934474256</v>
      </c>
      <c r="AF475" s="344"/>
      <c r="AG475" s="359">
        <f t="shared" ca="1" si="230"/>
        <v>-28.584861009049103</v>
      </c>
      <c r="AH475" s="357">
        <f t="shared" ca="1" si="231"/>
        <v>-19.064653849400738</v>
      </c>
    </row>
    <row r="476" spans="1:34" x14ac:dyDescent="0.25">
      <c r="A476" s="402">
        <f t="shared" ca="1" si="209"/>
        <v>0.01</v>
      </c>
      <c r="B476" s="357">
        <f t="shared" ca="1" si="210"/>
        <v>4.7199999999999438</v>
      </c>
      <c r="C476" s="342"/>
      <c r="D476" s="359">
        <f t="shared" ca="1" si="211"/>
        <v>-4.5902041587250828</v>
      </c>
      <c r="E476" s="360">
        <f t="shared" ca="1" si="212"/>
        <v>-28.266581469235234</v>
      </c>
      <c r="F476" s="357">
        <f t="shared" ca="1" si="213"/>
        <v>28.636857407468607</v>
      </c>
      <c r="G476" s="359">
        <f t="shared" ca="1" si="214"/>
        <v>64.13679970524089</v>
      </c>
      <c r="H476" s="360">
        <f t="shared" ca="1" si="215"/>
        <v>257.78717655915483</v>
      </c>
      <c r="I476" s="357">
        <f t="shared" ca="1" si="216"/>
        <v>265.64592501066352</v>
      </c>
      <c r="J476" s="359">
        <f t="shared" ca="1" si="217"/>
        <v>176.36290364479154</v>
      </c>
      <c r="K476" s="360">
        <f t="shared" ca="1" si="218"/>
        <v>764.47609443940758</v>
      </c>
      <c r="L476" s="357">
        <f t="shared" ca="1" si="203"/>
        <v>784.55565306187941</v>
      </c>
      <c r="M476" s="359">
        <f t="shared" ca="1" si="219"/>
        <v>1.3269497677648376</v>
      </c>
      <c r="N476" s="357">
        <f t="shared" ca="1" si="220"/>
        <v>76.028621318789931</v>
      </c>
      <c r="O476" s="343"/>
      <c r="P476" s="363">
        <f t="shared" ca="1" si="221"/>
        <v>23</v>
      </c>
      <c r="Q476" s="357">
        <f t="shared" ca="1" si="222"/>
        <v>0</v>
      </c>
      <c r="R476" s="359">
        <f t="shared" ca="1" si="223"/>
        <v>0</v>
      </c>
      <c r="S476" s="360">
        <f t="shared" ca="1" si="224"/>
        <v>9.637999999999975</v>
      </c>
      <c r="T476" s="357">
        <f t="shared" ca="1" si="204"/>
        <v>94.548779999999766</v>
      </c>
      <c r="U476" s="364">
        <f t="shared" ca="1" si="205"/>
        <v>0</v>
      </c>
      <c r="V476" s="359">
        <f t="shared" ca="1" si="206"/>
        <v>1.1347994852912222</v>
      </c>
      <c r="W476" s="357">
        <f t="shared" ca="1" si="207"/>
        <v>182.8628942850101</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764.47609443940758</v>
      </c>
      <c r="AF476" s="344"/>
      <c r="AG476" s="359">
        <f t="shared" ca="1" si="230"/>
        <v>-28.538812783017313</v>
      </c>
      <c r="AH476" s="357">
        <f t="shared" ca="1" si="231"/>
        <v>-19.018816307785677</v>
      </c>
    </row>
    <row r="477" spans="1:34" x14ac:dyDescent="0.25">
      <c r="A477" s="402">
        <f t="shared" ca="1" si="209"/>
        <v>0.01</v>
      </c>
      <c r="B477" s="357">
        <f t="shared" ca="1" si="210"/>
        <v>4.7299999999999436</v>
      </c>
      <c r="C477" s="342"/>
      <c r="D477" s="359">
        <f t="shared" ca="1" si="211"/>
        <v>-4.5808154436398469</v>
      </c>
      <c r="E477" s="360">
        <f t="shared" ca="1" si="212"/>
        <v>-28.221824178654714</v>
      </c>
      <c r="F477" s="357">
        <f t="shared" ca="1" si="213"/>
        <v>28.591173989530215</v>
      </c>
      <c r="G477" s="359">
        <f t="shared" ca="1" si="214"/>
        <v>64.090991550804489</v>
      </c>
      <c r="H477" s="360">
        <f t="shared" ca="1" si="215"/>
        <v>257.50495831736828</v>
      </c>
      <c r="I477" s="357">
        <f t="shared" ca="1" si="216"/>
        <v>265.36099705117715</v>
      </c>
      <c r="J477" s="359">
        <f t="shared" ca="1" si="217"/>
        <v>177.00404260107177</v>
      </c>
      <c r="K477" s="360">
        <f t="shared" ca="1" si="218"/>
        <v>767.05255511379016</v>
      </c>
      <c r="L477" s="357">
        <f t="shared" ca="1" si="203"/>
        <v>787.2102980803262</v>
      </c>
      <c r="M477" s="359">
        <f t="shared" ca="1" si="219"/>
        <v>1.3268605120474146</v>
      </c>
      <c r="N477" s="357">
        <f t="shared" ca="1" si="220"/>
        <v>76.023507342884173</v>
      </c>
      <c r="O477" s="343"/>
      <c r="P477" s="363">
        <f t="shared" ca="1" si="221"/>
        <v>23</v>
      </c>
      <c r="Q477" s="357">
        <f t="shared" ca="1" si="222"/>
        <v>0</v>
      </c>
      <c r="R477" s="359">
        <f t="shared" ca="1" si="223"/>
        <v>0</v>
      </c>
      <c r="S477" s="360">
        <f t="shared" ca="1" si="224"/>
        <v>9.637999999999975</v>
      </c>
      <c r="T477" s="357">
        <f t="shared" ca="1" si="204"/>
        <v>94.548779999999766</v>
      </c>
      <c r="U477" s="364">
        <f t="shared" ca="1" si="205"/>
        <v>0</v>
      </c>
      <c r="V477" s="359">
        <f t="shared" ca="1" si="206"/>
        <v>1.1345067171886161</v>
      </c>
      <c r="W477" s="357">
        <f t="shared" ca="1" si="207"/>
        <v>182.42375665032611</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767.05255511379016</v>
      </c>
      <c r="AF477" s="344"/>
      <c r="AG477" s="359">
        <f t="shared" ca="1" si="230"/>
        <v>-28.492901649652094</v>
      </c>
      <c r="AH477" s="357">
        <f t="shared" ca="1" si="231"/>
        <v>-18.973116236253432</v>
      </c>
    </row>
    <row r="478" spans="1:34" x14ac:dyDescent="0.25">
      <c r="A478" s="402">
        <f t="shared" ca="1" si="209"/>
        <v>0.01</v>
      </c>
      <c r="B478" s="357">
        <f t="shared" ca="1" si="210"/>
        <v>4.7399999999999434</v>
      </c>
      <c r="C478" s="342"/>
      <c r="D478" s="359">
        <f t="shared" ca="1" si="211"/>
        <v>-4.5714542017939177</v>
      </c>
      <c r="E478" s="360">
        <f t="shared" ca="1" si="212"/>
        <v>-28.177200993443286</v>
      </c>
      <c r="F478" s="357">
        <f t="shared" ca="1" si="213"/>
        <v>28.545627499566383</v>
      </c>
      <c r="G478" s="359">
        <f t="shared" ca="1" si="214"/>
        <v>64.045277008786556</v>
      </c>
      <c r="H478" s="360">
        <f t="shared" ca="1" si="215"/>
        <v>257.22318630743382</v>
      </c>
      <c r="I478" s="357">
        <f t="shared" ca="1" si="216"/>
        <v>265.07652683947896</v>
      </c>
      <c r="J478" s="359">
        <f t="shared" ca="1" si="217"/>
        <v>177.64472394386974</v>
      </c>
      <c r="K478" s="360">
        <f t="shared" ca="1" si="218"/>
        <v>769.62619583691412</v>
      </c>
      <c r="L478" s="357">
        <f t="shared" ca="1" si="203"/>
        <v>789.86209509223431</v>
      </c>
      <c r="M478" s="359">
        <f t="shared" ca="1" si="219"/>
        <v>1.3267711284897343</v>
      </c>
      <c r="N478" s="357">
        <f t="shared" ca="1" si="220"/>
        <v>76.018386042271231</v>
      </c>
      <c r="O478" s="343"/>
      <c r="P478" s="363">
        <f t="shared" ca="1" si="221"/>
        <v>23</v>
      </c>
      <c r="Q478" s="357">
        <f t="shared" ca="1" si="222"/>
        <v>0</v>
      </c>
      <c r="R478" s="359">
        <f t="shared" ca="1" si="223"/>
        <v>0</v>
      </c>
      <c r="S478" s="360">
        <f t="shared" ca="1" si="224"/>
        <v>9.637999999999975</v>
      </c>
      <c r="T478" s="357">
        <f t="shared" ca="1" si="204"/>
        <v>94.548779999999766</v>
      </c>
      <c r="U478" s="364">
        <f t="shared" ca="1" si="205"/>
        <v>0</v>
      </c>
      <c r="V478" s="359">
        <f t="shared" ca="1" si="206"/>
        <v>1.1342143420386457</v>
      </c>
      <c r="W478" s="357">
        <f t="shared" ca="1" si="207"/>
        <v>181.98593341510536</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769.62619583691412</v>
      </c>
      <c r="AF478" s="344"/>
      <c r="AG478" s="359">
        <f t="shared" ca="1" si="230"/>
        <v>-28.447127060209759</v>
      </c>
      <c r="AH478" s="357">
        <f t="shared" ca="1" si="231"/>
        <v>-18.927553086773873</v>
      </c>
    </row>
    <row r="479" spans="1:34" x14ac:dyDescent="0.25">
      <c r="A479" s="402">
        <f t="shared" ca="1" si="209"/>
        <v>0.01</v>
      </c>
      <c r="B479" s="357">
        <f t="shared" ca="1" si="210"/>
        <v>4.7499999999999432</v>
      </c>
      <c r="C479" s="342"/>
      <c r="D479" s="359">
        <f t="shared" ca="1" si="211"/>
        <v>-4.5621203232094789</v>
      </c>
      <c r="E479" s="360">
        <f t="shared" ca="1" si="212"/>
        <v>-28.132711379526839</v>
      </c>
      <c r="F479" s="357">
        <f t="shared" ca="1" si="213"/>
        <v>28.500217392279659</v>
      </c>
      <c r="G479" s="359">
        <f t="shared" ca="1" si="214"/>
        <v>63.999655805554461</v>
      </c>
      <c r="H479" s="360">
        <f t="shared" ca="1" si="215"/>
        <v>256.94185919363855</v>
      </c>
      <c r="I479" s="357">
        <f t="shared" ca="1" si="216"/>
        <v>264.79251301559304</v>
      </c>
      <c r="J479" s="359">
        <f t="shared" ca="1" si="217"/>
        <v>178.28494860794143</v>
      </c>
      <c r="K479" s="360">
        <f t="shared" ca="1" si="218"/>
        <v>772.19702106441946</v>
      </c>
      <c r="L479" s="357">
        <f t="shared" ca="1" si="203"/>
        <v>792.51104865541129</v>
      </c>
      <c r="M479" s="359">
        <f t="shared" ca="1" si="219"/>
        <v>1.3266816169261488</v>
      </c>
      <c r="N479" s="357">
        <f t="shared" ca="1" si="220"/>
        <v>76.013257407460173</v>
      </c>
      <c r="O479" s="343"/>
      <c r="P479" s="363">
        <f t="shared" ca="1" si="221"/>
        <v>23</v>
      </c>
      <c r="Q479" s="357">
        <f t="shared" ca="1" si="222"/>
        <v>0</v>
      </c>
      <c r="R479" s="359">
        <f t="shared" ca="1" si="223"/>
        <v>0</v>
      </c>
      <c r="S479" s="360">
        <f t="shared" ca="1" si="224"/>
        <v>9.637999999999975</v>
      </c>
      <c r="T479" s="357">
        <f t="shared" ca="1" si="204"/>
        <v>94.548779999999766</v>
      </c>
      <c r="U479" s="364">
        <f t="shared" ca="1" si="205"/>
        <v>0</v>
      </c>
      <c r="V479" s="359">
        <f t="shared" ca="1" si="206"/>
        <v>1.1339223590701872</v>
      </c>
      <c r="W479" s="357">
        <f t="shared" ca="1" si="207"/>
        <v>181.54941935053782</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772.19702106441946</v>
      </c>
      <c r="AF479" s="344"/>
      <c r="AG479" s="359">
        <f t="shared" ca="1" si="230"/>
        <v>-28.401488468708123</v>
      </c>
      <c r="AH479" s="357">
        <f t="shared" ca="1" si="231"/>
        <v>-18.882126314080288</v>
      </c>
    </row>
    <row r="480" spans="1:34" x14ac:dyDescent="0.25">
      <c r="A480" s="402">
        <f t="shared" ca="1" si="209"/>
        <v>0.01</v>
      </c>
      <c r="B480" s="357">
        <f t="shared" ca="1" si="210"/>
        <v>4.7599999999999429</v>
      </c>
      <c r="C480" s="342"/>
      <c r="D480" s="359">
        <f t="shared" ca="1" si="211"/>
        <v>-4.5528136984622991</v>
      </c>
      <c r="E480" s="360">
        <f t="shared" ca="1" si="212"/>
        <v>-28.088354805521355</v>
      </c>
      <c r="F480" s="357">
        <f t="shared" ca="1" si="213"/>
        <v>28.454943125119062</v>
      </c>
      <c r="G480" s="359">
        <f t="shared" ca="1" si="214"/>
        <v>63.954127668569839</v>
      </c>
      <c r="H480" s="360">
        <f t="shared" ca="1" si="215"/>
        <v>256.66097564558333</v>
      </c>
      <c r="I480" s="357">
        <f t="shared" ca="1" si="216"/>
        <v>264.50895422497598</v>
      </c>
      <c r="J480" s="359">
        <f t="shared" ca="1" si="217"/>
        <v>178.92471752531205</v>
      </c>
      <c r="K480" s="360">
        <f t="shared" ca="1" si="218"/>
        <v>774.76503523861561</v>
      </c>
      <c r="L480" s="357">
        <f t="shared" ca="1" si="203"/>
        <v>795.15716331415013</v>
      </c>
      <c r="M480" s="359">
        <f t="shared" ca="1" si="219"/>
        <v>1.3265919771906236</v>
      </c>
      <c r="N480" s="357">
        <f t="shared" ca="1" si="220"/>
        <v>76.008121428937898</v>
      </c>
      <c r="O480" s="343"/>
      <c r="P480" s="363">
        <f t="shared" ca="1" si="221"/>
        <v>23</v>
      </c>
      <c r="Q480" s="357">
        <f t="shared" ca="1" si="222"/>
        <v>0</v>
      </c>
      <c r="R480" s="359">
        <f t="shared" ca="1" si="223"/>
        <v>0</v>
      </c>
      <c r="S480" s="360">
        <f t="shared" ca="1" si="224"/>
        <v>9.637999999999975</v>
      </c>
      <c r="T480" s="357">
        <f t="shared" ca="1" si="204"/>
        <v>94.548779999999766</v>
      </c>
      <c r="U480" s="364">
        <f t="shared" ca="1" si="205"/>
        <v>0</v>
      </c>
      <c r="V480" s="359">
        <f t="shared" ca="1" si="206"/>
        <v>1.1336307675145842</v>
      </c>
      <c r="W480" s="357">
        <f t="shared" ca="1" si="207"/>
        <v>181.11420925412457</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774.76503523861561</v>
      </c>
      <c r="AF480" s="344"/>
      <c r="AG480" s="359">
        <f t="shared" ca="1" si="230"/>
        <v>-28.355985331909565</v>
      </c>
      <c r="AH480" s="357">
        <f t="shared" ca="1" si="231"/>
        <v>-18.836835375652448</v>
      </c>
    </row>
    <row r="481" spans="1:34" x14ac:dyDescent="0.25">
      <c r="A481" s="402">
        <f t="shared" ca="1" si="209"/>
        <v>0.01</v>
      </c>
      <c r="B481" s="357">
        <f t="shared" ca="1" si="210"/>
        <v>4.7699999999999427</v>
      </c>
      <c r="C481" s="342"/>
      <c r="D481" s="359">
        <f t="shared" ca="1" si="211"/>
        <v>-4.5435342186784133</v>
      </c>
      <c r="E481" s="360">
        <f t="shared" ca="1" si="212"/>
        <v>-28.044130742716661</v>
      </c>
      <c r="F481" s="357">
        <f t="shared" ca="1" si="213"/>
        <v>28.409804158263523</v>
      </c>
      <c r="G481" s="359">
        <f t="shared" ca="1" si="214"/>
        <v>63.908692326383054</v>
      </c>
      <c r="H481" s="360">
        <f t="shared" ca="1" si="215"/>
        <v>256.38053433815617</v>
      </c>
      <c r="I481" s="357">
        <f t="shared" ca="1" si="216"/>
        <v>264.22584911848946</v>
      </c>
      <c r="J481" s="359">
        <f t="shared" ca="1" si="217"/>
        <v>179.56403162528682</v>
      </c>
      <c r="K481" s="360">
        <f t="shared" ca="1" si="218"/>
        <v>777.33024278853429</v>
      </c>
      <c r="L481" s="357">
        <f t="shared" ca="1" si="203"/>
        <v>797.80044359928047</v>
      </c>
      <c r="M481" s="359">
        <f t="shared" ca="1" si="219"/>
        <v>1.3265022091167367</v>
      </c>
      <c r="N481" s="357">
        <f t="shared" ca="1" si="220"/>
        <v>76.002978097169162</v>
      </c>
      <c r="O481" s="343"/>
      <c r="P481" s="363">
        <f t="shared" ca="1" si="221"/>
        <v>23</v>
      </c>
      <c r="Q481" s="357">
        <f t="shared" ca="1" si="222"/>
        <v>0</v>
      </c>
      <c r="R481" s="359">
        <f t="shared" ca="1" si="223"/>
        <v>0</v>
      </c>
      <c r="S481" s="360">
        <f t="shared" ca="1" si="224"/>
        <v>9.637999999999975</v>
      </c>
      <c r="T481" s="357">
        <f t="shared" ca="1" si="204"/>
        <v>94.548779999999766</v>
      </c>
      <c r="U481" s="364">
        <f t="shared" ca="1" si="205"/>
        <v>0</v>
      </c>
      <c r="V481" s="359">
        <f t="shared" ca="1" si="206"/>
        <v>1.1333395666056318</v>
      </c>
      <c r="W481" s="357">
        <f t="shared" ca="1" si="207"/>
        <v>180.68029794951713</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777.33024278853429</v>
      </c>
      <c r="AF481" s="344"/>
      <c r="AG481" s="359">
        <f t="shared" ca="1" si="230"/>
        <v>-28.310617109304438</v>
      </c>
      <c r="AH481" s="357">
        <f t="shared" ca="1" si="231"/>
        <v>-18.791679731700047</v>
      </c>
    </row>
    <row r="482" spans="1:34" x14ac:dyDescent="0.25">
      <c r="A482" s="402">
        <f t="shared" ca="1" si="209"/>
        <v>0.01</v>
      </c>
      <c r="B482" s="357">
        <f t="shared" ca="1" si="210"/>
        <v>4.7799999999999425</v>
      </c>
      <c r="C482" s="342"/>
      <c r="D482" s="359">
        <f t="shared" ca="1" si="211"/>
        <v>-4.534281775530757</v>
      </c>
      <c r="E482" s="360">
        <f t="shared" ca="1" si="212"/>
        <v>-28.000038665060124</v>
      </c>
      <c r="F482" s="357">
        <f t="shared" ca="1" si="213"/>
        <v>28.364799954605221</v>
      </c>
      <c r="G482" s="359">
        <f t="shared" ca="1" si="214"/>
        <v>63.863349508627749</v>
      </c>
      <c r="H482" s="360">
        <f t="shared" ca="1" si="215"/>
        <v>256.10053395150555</v>
      </c>
      <c r="I482" s="357">
        <f t="shared" ca="1" si="216"/>
        <v>263.94319635237309</v>
      </c>
      <c r="J482" s="359">
        <f t="shared" ca="1" si="217"/>
        <v>180.20289183446187</v>
      </c>
      <c r="K482" s="360">
        <f t="shared" ca="1" si="218"/>
        <v>779.8926481299826</v>
      </c>
      <c r="L482" s="357">
        <f t="shared" ca="1" si="203"/>
        <v>800.44089402822226</v>
      </c>
      <c r="M482" s="359">
        <f t="shared" ca="1" si="219"/>
        <v>1.3264123125376786</v>
      </c>
      <c r="N482" s="357">
        <f t="shared" ca="1" si="220"/>
        <v>75.997827402596471</v>
      </c>
      <c r="O482" s="343"/>
      <c r="P482" s="363">
        <f t="shared" ca="1" si="221"/>
        <v>23</v>
      </c>
      <c r="Q482" s="357">
        <f t="shared" ca="1" si="222"/>
        <v>0</v>
      </c>
      <c r="R482" s="359">
        <f t="shared" ca="1" si="223"/>
        <v>0</v>
      </c>
      <c r="S482" s="360">
        <f t="shared" ca="1" si="224"/>
        <v>9.637999999999975</v>
      </c>
      <c r="T482" s="357">
        <f t="shared" ca="1" si="204"/>
        <v>94.548779999999766</v>
      </c>
      <c r="U482" s="364">
        <f t="shared" ca="1" si="205"/>
        <v>0</v>
      </c>
      <c r="V482" s="359">
        <f t="shared" ca="1" si="206"/>
        <v>1.1330487555795719</v>
      </c>
      <c r="W482" s="357">
        <f t="shared" ca="1" si="207"/>
        <v>180.24768028635995</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779.8926481299826</v>
      </c>
      <c r="AF482" s="344"/>
      <c r="AG482" s="359">
        <f t="shared" ca="1" si="230"/>
        <v>-28.265383263094435</v>
      </c>
      <c r="AH482" s="357">
        <f t="shared" ca="1" si="231"/>
        <v>-18.746658845146047</v>
      </c>
    </row>
    <row r="483" spans="1:34" x14ac:dyDescent="0.25">
      <c r="A483" s="402">
        <f t="shared" ca="1" si="209"/>
        <v>0.01</v>
      </c>
      <c r="B483" s="357">
        <f t="shared" ca="1" si="210"/>
        <v>4.7899999999999423</v>
      </c>
      <c r="C483" s="342"/>
      <c r="D483" s="359">
        <f t="shared" ca="1" si="211"/>
        <v>-4.5250562612358634</v>
      </c>
      <c r="E483" s="360">
        <f t="shared" ca="1" si="212"/>
        <v>-27.956078049140658</v>
      </c>
      <c r="F483" s="357">
        <f t="shared" ca="1" si="213"/>
        <v>28.319929979733249</v>
      </c>
      <c r="G483" s="359">
        <f t="shared" ca="1" si="214"/>
        <v>63.81809894601539</v>
      </c>
      <c r="H483" s="360">
        <f t="shared" ca="1" si="215"/>
        <v>255.82097317101415</v>
      </c>
      <c r="I483" s="357">
        <f t="shared" ca="1" si="216"/>
        <v>263.66099458821765</v>
      </c>
      <c r="J483" s="359">
        <f t="shared" ca="1" si="217"/>
        <v>180.84129907673508</v>
      </c>
      <c r="K483" s="360">
        <f t="shared" ca="1" si="218"/>
        <v>782.4522556655952</v>
      </c>
      <c r="L483" s="357">
        <f t="shared" ca="1" si="203"/>
        <v>803.07851910503689</v>
      </c>
      <c r="M483" s="359">
        <f t="shared" ca="1" si="219"/>
        <v>1.3263222872862506</v>
      </c>
      <c r="N483" s="357">
        <f t="shared" ca="1" si="220"/>
        <v>75.992669335640045</v>
      </c>
      <c r="O483" s="343"/>
      <c r="P483" s="363">
        <f t="shared" ca="1" si="221"/>
        <v>23</v>
      </c>
      <c r="Q483" s="357">
        <f t="shared" ca="1" si="222"/>
        <v>0</v>
      </c>
      <c r="R483" s="359">
        <f t="shared" ca="1" si="223"/>
        <v>0</v>
      </c>
      <c r="S483" s="360">
        <f t="shared" ca="1" si="224"/>
        <v>9.637999999999975</v>
      </c>
      <c r="T483" s="357">
        <f t="shared" ca="1" si="204"/>
        <v>94.548779999999766</v>
      </c>
      <c r="U483" s="364">
        <f t="shared" ca="1" si="205"/>
        <v>0</v>
      </c>
      <c r="V483" s="359">
        <f t="shared" ca="1" si="206"/>
        <v>1.1327583336750793</v>
      </c>
      <c r="W483" s="357">
        <f t="shared" ca="1" si="207"/>
        <v>179.81635114013272</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782.4522556655952</v>
      </c>
      <c r="AF483" s="344"/>
      <c r="AG483" s="359">
        <f t="shared" ca="1" si="230"/>
        <v>-28.220283258176231</v>
      </c>
      <c r="AH483" s="357">
        <f t="shared" ca="1" si="231"/>
        <v>-18.701772181610337</v>
      </c>
    </row>
    <row r="484" spans="1:34" x14ac:dyDescent="0.25">
      <c r="A484" s="402">
        <f t="shared" ca="1" si="209"/>
        <v>0.01</v>
      </c>
      <c r="B484" s="357">
        <f t="shared" ca="1" si="210"/>
        <v>4.7999999999999421</v>
      </c>
      <c r="C484" s="342"/>
      <c r="D484" s="359">
        <f t="shared" ca="1" si="211"/>
        <v>-4.5158575685505751</v>
      </c>
      <c r="E484" s="360">
        <f t="shared" ca="1" si="212"/>
        <v>-27.912248374172677</v>
      </c>
      <c r="F484" s="357">
        <f t="shared" ca="1" si="213"/>
        <v>28.275193701917246</v>
      </c>
      <c r="G484" s="359">
        <f t="shared" ca="1" si="214"/>
        <v>63.772940370329884</v>
      </c>
      <c r="H484" s="360">
        <f t="shared" ca="1" si="215"/>
        <v>255.54185068727242</v>
      </c>
      <c r="I484" s="357">
        <f t="shared" ca="1" si="216"/>
        <v>263.37924249293809</v>
      </c>
      <c r="J484" s="359">
        <f t="shared" ca="1" si="217"/>
        <v>181.4792542733168</v>
      </c>
      <c r="K484" s="360">
        <f t="shared" ca="1" si="218"/>
        <v>785.00906978488661</v>
      </c>
      <c r="L484" s="357">
        <f t="shared" ca="1" si="203"/>
        <v>805.71332332047996</v>
      </c>
      <c r="M484" s="359">
        <f t="shared" ca="1" si="219"/>
        <v>1.3262321331948641</v>
      </c>
      <c r="N484" s="357">
        <f t="shared" ca="1" si="220"/>
        <v>75.987503886697766</v>
      </c>
      <c r="O484" s="343"/>
      <c r="P484" s="363">
        <f t="shared" ca="1" si="221"/>
        <v>23</v>
      </c>
      <c r="Q484" s="357">
        <f t="shared" ca="1" si="222"/>
        <v>0</v>
      </c>
      <c r="R484" s="359">
        <f t="shared" ca="1" si="223"/>
        <v>0</v>
      </c>
      <c r="S484" s="360">
        <f t="shared" ca="1" si="224"/>
        <v>9.637999999999975</v>
      </c>
      <c r="T484" s="357">
        <f t="shared" ca="1" si="204"/>
        <v>94.548779999999766</v>
      </c>
      <c r="U484" s="364">
        <f t="shared" ca="1" si="205"/>
        <v>0</v>
      </c>
      <c r="V484" s="359">
        <f t="shared" ca="1" si="206"/>
        <v>1.1324683001332521</v>
      </c>
      <c r="W484" s="357">
        <f t="shared" ca="1" si="207"/>
        <v>179.38630541199387</v>
      </c>
      <c r="X484" s="343"/>
      <c r="Y484" s="367" t="str">
        <f t="shared" ca="1" si="225"/>
        <v/>
      </c>
      <c r="Z484" s="368" t="str">
        <f t="shared" ca="1" si="226"/>
        <v/>
      </c>
      <c r="AA484" s="369" t="str">
        <f t="shared" ca="1" si="227"/>
        <v/>
      </c>
      <c r="AB484" s="344"/>
      <c r="AC484" s="363" t="e">
        <f t="shared" ca="1" si="228"/>
        <v>#N/A</v>
      </c>
      <c r="AD484" s="376" t="e">
        <f t="shared" ca="1" si="229"/>
        <v>#N/A</v>
      </c>
      <c r="AE484" s="377">
        <f t="shared" ca="1" si="208"/>
        <v>785.00906978488661</v>
      </c>
      <c r="AF484" s="344"/>
      <c r="AG484" s="359">
        <f t="shared" ca="1" si="230"/>
        <v>-28.175316562125094</v>
      </c>
      <c r="AH484" s="357">
        <f t="shared" ca="1" si="231"/>
        <v>-18.657019209393358</v>
      </c>
    </row>
    <row r="485" spans="1:34" x14ac:dyDescent="0.25">
      <c r="A485" s="402">
        <f t="shared" ca="1" si="209"/>
        <v>0.01</v>
      </c>
      <c r="B485" s="357">
        <f t="shared" ca="1" si="210"/>
        <v>4.8099999999999419</v>
      </c>
      <c r="C485" s="342"/>
      <c r="D485" s="359">
        <f t="shared" ca="1" si="211"/>
        <v>-4.5066855907687726</v>
      </c>
      <c r="E485" s="360">
        <f t="shared" ca="1" si="212"/>
        <v>-27.868549121980195</v>
      </c>
      <c r="F485" s="357">
        <f t="shared" ca="1" si="213"/>
        <v>28.230590592091161</v>
      </c>
      <c r="G485" s="359">
        <f t="shared" ca="1" si="214"/>
        <v>63.7278735144222</v>
      </c>
      <c r="H485" s="360">
        <f t="shared" ca="1" si="215"/>
        <v>255.26316519605263</v>
      </c>
      <c r="I485" s="357">
        <f t="shared" ca="1" si="216"/>
        <v>263.09793873874696</v>
      </c>
      <c r="J485" s="359">
        <f t="shared" ca="1" si="217"/>
        <v>182.11675834274055</v>
      </c>
      <c r="K485" s="360">
        <f t="shared" ca="1" si="218"/>
        <v>787.56309486430325</v>
      </c>
      <c r="L485" s="357">
        <f t="shared" ca="1" si="203"/>
        <v>808.34531115205198</v>
      </c>
      <c r="M485" s="359">
        <f t="shared" ca="1" si="219"/>
        <v>1.32614185009554</v>
      </c>
      <c r="N485" s="357">
        <f t="shared" ca="1" si="220"/>
        <v>75.982331046145134</v>
      </c>
      <c r="O485" s="343"/>
      <c r="P485" s="363">
        <f t="shared" ca="1" si="221"/>
        <v>23</v>
      </c>
      <c r="Q485" s="357">
        <f t="shared" ca="1" si="222"/>
        <v>0</v>
      </c>
      <c r="R485" s="359">
        <f t="shared" ca="1" si="223"/>
        <v>0</v>
      </c>
      <c r="S485" s="360">
        <f t="shared" ca="1" si="224"/>
        <v>9.637999999999975</v>
      </c>
      <c r="T485" s="357">
        <f t="shared" ca="1" si="204"/>
        <v>94.548779999999766</v>
      </c>
      <c r="U485" s="364">
        <f t="shared" ca="1" si="205"/>
        <v>0</v>
      </c>
      <c r="V485" s="359">
        <f t="shared" ca="1" si="206"/>
        <v>1.1321786541976031</v>
      </c>
      <c r="W485" s="357">
        <f t="shared" ca="1" si="207"/>
        <v>178.95753802862586</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787.56309486430325</v>
      </c>
      <c r="AF485" s="344"/>
      <c r="AG485" s="359">
        <f t="shared" ca="1" si="230"/>
        <v>-28.130482645178681</v>
      </c>
      <c r="AH485" s="357">
        <f t="shared" ca="1" si="231"/>
        <v>-18.612399399459882</v>
      </c>
    </row>
    <row r="486" spans="1:34" x14ac:dyDescent="0.25">
      <c r="A486" s="402">
        <f t="shared" ca="1" si="209"/>
        <v>0.01</v>
      </c>
      <c r="B486" s="357">
        <f t="shared" ca="1" si="210"/>
        <v>4.8199999999999417</v>
      </c>
      <c r="C486" s="342"/>
      <c r="D486" s="359">
        <f t="shared" ca="1" si="211"/>
        <v>-4.4975402217181308</v>
      </c>
      <c r="E486" s="360">
        <f t="shared" ca="1" si="212"/>
        <v>-27.82497977698111</v>
      </c>
      <c r="F486" s="357">
        <f t="shared" ca="1" si="213"/>
        <v>28.186120123837195</v>
      </c>
      <c r="G486" s="359">
        <f t="shared" ca="1" si="214"/>
        <v>63.682898112205017</v>
      </c>
      <c r="H486" s="360">
        <f t="shared" ca="1" si="215"/>
        <v>254.98491539828282</v>
      </c>
      <c r="I486" s="357">
        <f t="shared" ca="1" si="216"/>
        <v>262.81708200312806</v>
      </c>
      <c r="J486" s="359">
        <f t="shared" ca="1" si="217"/>
        <v>182.75381220087368</v>
      </c>
      <c r="K486" s="360">
        <f t="shared" ca="1" si="218"/>
        <v>790.1143352672749</v>
      </c>
      <c r="L486" s="357">
        <f t="shared" ca="1" si="203"/>
        <v>810.97448706405055</v>
      </c>
      <c r="M486" s="359">
        <f t="shared" ca="1" si="219"/>
        <v>1.3260514378199078</v>
      </c>
      <c r="N486" s="357">
        <f t="shared" ca="1" si="220"/>
        <v>75.977150804335224</v>
      </c>
      <c r="O486" s="343"/>
      <c r="P486" s="363">
        <f t="shared" ca="1" si="221"/>
        <v>23</v>
      </c>
      <c r="Q486" s="357">
        <f t="shared" ca="1" si="222"/>
        <v>0</v>
      </c>
      <c r="R486" s="359">
        <f t="shared" ca="1" si="223"/>
        <v>0</v>
      </c>
      <c r="S486" s="360">
        <f t="shared" ca="1" si="224"/>
        <v>9.637999999999975</v>
      </c>
      <c r="T486" s="357">
        <f t="shared" ca="1" si="204"/>
        <v>94.548779999999766</v>
      </c>
      <c r="U486" s="364">
        <f t="shared" ca="1" si="205"/>
        <v>0</v>
      </c>
      <c r="V486" s="359">
        <f t="shared" ca="1" si="206"/>
        <v>1.131889395114049</v>
      </c>
      <c r="W486" s="357">
        <f t="shared" ca="1" si="207"/>
        <v>178.53004394208131</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790.1143352672749</v>
      </c>
      <c r="AF486" s="344"/>
      <c r="AG486" s="359">
        <f t="shared" ca="1" si="230"/>
        <v>-28.085780980220939</v>
      </c>
      <c r="AH486" s="357">
        <f t="shared" ca="1" si="231"/>
        <v>-18.567912225422944</v>
      </c>
    </row>
    <row r="487" spans="1:34" x14ac:dyDescent="0.25">
      <c r="A487" s="402">
        <f t="shared" ca="1" si="209"/>
        <v>0.01</v>
      </c>
      <c r="B487" s="357">
        <f t="shared" ca="1" si="210"/>
        <v>4.8299999999999415</v>
      </c>
      <c r="C487" s="342"/>
      <c r="D487" s="359">
        <f t="shared" ca="1" si="211"/>
        <v>-4.4884213557568975</v>
      </c>
      <c r="E487" s="360">
        <f t="shared" ca="1" si="212"/>
        <v>-27.781539826171567</v>
      </c>
      <c r="F487" s="357">
        <f t="shared" ca="1" si="213"/>
        <v>28.14178177336985</v>
      </c>
      <c r="G487" s="359">
        <f t="shared" ca="1" si="214"/>
        <v>63.638013898647451</v>
      </c>
      <c r="H487" s="360">
        <f t="shared" ca="1" si="215"/>
        <v>254.70710000002111</v>
      </c>
      <c r="I487" s="357">
        <f t="shared" ca="1" si="216"/>
        <v>262.53667096881003</v>
      </c>
      <c r="J487" s="359">
        <f t="shared" ca="1" si="217"/>
        <v>183.39041676092793</v>
      </c>
      <c r="K487" s="360">
        <f t="shared" ca="1" si="218"/>
        <v>792.66279534426644</v>
      </c>
      <c r="L487" s="357">
        <f t="shared" ca="1" si="203"/>
        <v>813.6008555076213</v>
      </c>
      <c r="M487" s="359">
        <f t="shared" ca="1" si="219"/>
        <v>1.3259608961992042</v>
      </c>
      <c r="N487" s="357">
        <f t="shared" ca="1" si="220"/>
        <v>75.971963151598644</v>
      </c>
      <c r="O487" s="343"/>
      <c r="P487" s="363">
        <f t="shared" ca="1" si="221"/>
        <v>23</v>
      </c>
      <c r="Q487" s="357">
        <f t="shared" ca="1" si="222"/>
        <v>0</v>
      </c>
      <c r="R487" s="359">
        <f t="shared" ca="1" si="223"/>
        <v>0</v>
      </c>
      <c r="S487" s="360">
        <f t="shared" ca="1" si="224"/>
        <v>9.637999999999975</v>
      </c>
      <c r="T487" s="357">
        <f t="shared" ca="1" si="204"/>
        <v>94.548779999999766</v>
      </c>
      <c r="U487" s="364">
        <f t="shared" ca="1" si="205"/>
        <v>0</v>
      </c>
      <c r="V487" s="359">
        <f t="shared" ca="1" si="206"/>
        <v>1.1316005221308985</v>
      </c>
      <c r="W487" s="357">
        <f t="shared" ca="1" si="207"/>
        <v>178.10381812962956</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792.66279534426644</v>
      </c>
      <c r="AF487" s="344"/>
      <c r="AG487" s="359">
        <f t="shared" ca="1" si="230"/>
        <v>-28.041211042766157</v>
      </c>
      <c r="AH487" s="357">
        <f t="shared" ca="1" si="231"/>
        <v>-18.523557163527887</v>
      </c>
    </row>
    <row r="488" spans="1:34" x14ac:dyDescent="0.25">
      <c r="A488" s="402">
        <f t="shared" ca="1" si="209"/>
        <v>0.01</v>
      </c>
      <c r="B488" s="357">
        <f t="shared" ca="1" si="210"/>
        <v>4.8399999999999412</v>
      </c>
      <c r="C488" s="342"/>
      <c r="D488" s="359">
        <f t="shared" ca="1" si="211"/>
        <v>-4.4793288877706985</v>
      </c>
      <c r="E488" s="360">
        <f t="shared" ca="1" si="212"/>
        <v>-27.738228759110342</v>
      </c>
      <c r="F488" s="357">
        <f t="shared" ca="1" si="213"/>
        <v>28.097575019519976</v>
      </c>
      <c r="G488" s="359">
        <f t="shared" ca="1" si="214"/>
        <v>63.593220609769745</v>
      </c>
      <c r="H488" s="360">
        <f t="shared" ca="1" si="215"/>
        <v>254.42971771243</v>
      </c>
      <c r="I488" s="357">
        <f t="shared" ca="1" si="216"/>
        <v>262.25670432374011</v>
      </c>
      <c r="J488" s="359">
        <f t="shared" ca="1" si="217"/>
        <v>184.02657293347002</v>
      </c>
      <c r="K488" s="360">
        <f t="shared" ca="1" si="218"/>
        <v>795.20847943282865</v>
      </c>
      <c r="L488" s="357">
        <f t="shared" ca="1" si="203"/>
        <v>816.2244209208086</v>
      </c>
      <c r="M488" s="359">
        <f t="shared" ca="1" si="219"/>
        <v>1.3258702250642729</v>
      </c>
      <c r="N488" s="357">
        <f t="shared" ca="1" si="220"/>
        <v>75.966768078243419</v>
      </c>
      <c r="O488" s="343"/>
      <c r="P488" s="363">
        <f t="shared" ca="1" si="221"/>
        <v>23</v>
      </c>
      <c r="Q488" s="357">
        <f t="shared" ca="1" si="222"/>
        <v>0</v>
      </c>
      <c r="R488" s="359">
        <f t="shared" ca="1" si="223"/>
        <v>0</v>
      </c>
      <c r="S488" s="360">
        <f t="shared" ca="1" si="224"/>
        <v>9.637999999999975</v>
      </c>
      <c r="T488" s="357">
        <f t="shared" ca="1" si="204"/>
        <v>94.548779999999766</v>
      </c>
      <c r="U488" s="364">
        <f t="shared" ca="1" si="205"/>
        <v>0</v>
      </c>
      <c r="V488" s="359">
        <f t="shared" ca="1" si="206"/>
        <v>1.131312034498845</v>
      </c>
      <c r="W488" s="357">
        <f t="shared" ca="1" si="207"/>
        <v>177.67885559360516</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795.20847943282865</v>
      </c>
      <c r="AF488" s="344"/>
      <c r="AG488" s="359">
        <f t="shared" ca="1" si="230"/>
        <v>-27.996772310943051</v>
      </c>
      <c r="AH488" s="357">
        <f t="shared" ca="1" si="231"/>
        <v>-18.479333692636441</v>
      </c>
    </row>
    <row r="489" spans="1:34" x14ac:dyDescent="0.25">
      <c r="A489" s="402">
        <f t="shared" ca="1" si="209"/>
        <v>0.01</v>
      </c>
      <c r="B489" s="357">
        <f t="shared" ca="1" si="210"/>
        <v>4.849999999999941</v>
      </c>
      <c r="C489" s="342"/>
      <c r="D489" s="359">
        <f t="shared" ca="1" si="211"/>
        <v>-4.4702627131693591</v>
      </c>
      <c r="E489" s="360">
        <f t="shared" ca="1" si="212"/>
        <v>-27.695046067903498</v>
      </c>
      <c r="F489" s="357">
        <f t="shared" ca="1" si="213"/>
        <v>28.053499343719121</v>
      </c>
      <c r="G489" s="359">
        <f t="shared" ca="1" si="214"/>
        <v>63.548517982638053</v>
      </c>
      <c r="H489" s="360">
        <f t="shared" ca="1" si="215"/>
        <v>254.15276725175096</v>
      </c>
      <c r="I489" s="357">
        <f t="shared" ca="1" si="216"/>
        <v>261.97718076105861</v>
      </c>
      <c r="J489" s="359">
        <f t="shared" ca="1" si="217"/>
        <v>184.66228162643205</v>
      </c>
      <c r="K489" s="360">
        <f t="shared" ca="1" si="218"/>
        <v>797.75139185764954</v>
      </c>
      <c r="L489" s="357">
        <f t="shared" ca="1" si="203"/>
        <v>818.84518772860645</v>
      </c>
      <c r="M489" s="359">
        <f t="shared" ca="1" si="219"/>
        <v>1.3257794242455632</v>
      </c>
      <c r="N489" s="357">
        <f t="shared" ca="1" si="220"/>
        <v>75.96156557455501</v>
      </c>
      <c r="O489" s="343"/>
      <c r="P489" s="363">
        <f t="shared" ca="1" si="221"/>
        <v>23</v>
      </c>
      <c r="Q489" s="357">
        <f t="shared" ca="1" si="222"/>
        <v>0</v>
      </c>
      <c r="R489" s="359">
        <f t="shared" ca="1" si="223"/>
        <v>0</v>
      </c>
      <c r="S489" s="360">
        <f t="shared" ca="1" si="224"/>
        <v>9.637999999999975</v>
      </c>
      <c r="T489" s="357">
        <f t="shared" ca="1" si="204"/>
        <v>94.548779999999766</v>
      </c>
      <c r="U489" s="364">
        <f t="shared" ca="1" si="205"/>
        <v>0</v>
      </c>
      <c r="V489" s="359">
        <f t="shared" ca="1" si="206"/>
        <v>1.131023931470956</v>
      </c>
      <c r="W489" s="357">
        <f t="shared" ca="1" si="207"/>
        <v>177.25515136125767</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797.75139185764954</v>
      </c>
      <c r="AF489" s="344"/>
      <c r="AG489" s="359">
        <f t="shared" ca="1" si="230"/>
        <v>-27.952464265478998</v>
      </c>
      <c r="AH489" s="357">
        <f t="shared" ca="1" si="231"/>
        <v>-18.435241294211</v>
      </c>
    </row>
    <row r="490" spans="1:34" x14ac:dyDescent="0.25">
      <c r="A490" s="402">
        <f t="shared" ca="1" si="209"/>
        <v>0.01</v>
      </c>
      <c r="B490" s="357">
        <f t="shared" ca="1" si="210"/>
        <v>4.8599999999999408</v>
      </c>
      <c r="C490" s="342"/>
      <c r="D490" s="359">
        <f t="shared" ca="1" si="211"/>
        <v>-4.4612227278837624</v>
      </c>
      <c r="E490" s="360">
        <f t="shared" ca="1" si="212"/>
        <v>-27.651991247189038</v>
      </c>
      <c r="F490" s="357">
        <f t="shared" ca="1" si="213"/>
        <v>28.009554229983841</v>
      </c>
      <c r="G490" s="359">
        <f t="shared" ca="1" si="214"/>
        <v>63.503905755359213</v>
      </c>
      <c r="H490" s="360">
        <f t="shared" ca="1" si="215"/>
        <v>253.87624733927908</v>
      </c>
      <c r="I490" s="357">
        <f t="shared" ca="1" si="216"/>
        <v>261.69809897907237</v>
      </c>
      <c r="J490" s="359">
        <f t="shared" ca="1" si="217"/>
        <v>185.29754374512203</v>
      </c>
      <c r="K490" s="360">
        <f t="shared" ca="1" si="218"/>
        <v>800.29153693060471</v>
      </c>
      <c r="L490" s="357">
        <f t="shared" ca="1" si="203"/>
        <v>821.46316034300946</v>
      </c>
      <c r="M490" s="359">
        <f t="shared" ca="1" si="219"/>
        <v>1.3256884935731297</v>
      </c>
      <c r="N490" s="357">
        <f t="shared" ca="1" si="220"/>
        <v>75.956355630796295</v>
      </c>
      <c r="O490" s="343"/>
      <c r="P490" s="363">
        <f t="shared" ca="1" si="221"/>
        <v>23</v>
      </c>
      <c r="Q490" s="357">
        <f t="shared" ca="1" si="222"/>
        <v>0</v>
      </c>
      <c r="R490" s="359">
        <f t="shared" ca="1" si="223"/>
        <v>0</v>
      </c>
      <c r="S490" s="360">
        <f t="shared" ca="1" si="224"/>
        <v>9.637999999999975</v>
      </c>
      <c r="T490" s="357">
        <f t="shared" ca="1" si="204"/>
        <v>94.548779999999766</v>
      </c>
      <c r="U490" s="364">
        <f t="shared" ca="1" si="205"/>
        <v>0</v>
      </c>
      <c r="V490" s="359">
        <f t="shared" ca="1" si="206"/>
        <v>1.130736212302661</v>
      </c>
      <c r="W490" s="357">
        <f t="shared" ca="1" si="207"/>
        <v>176.83270048460048</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800.29153693060471</v>
      </c>
      <c r="AF490" s="344"/>
      <c r="AG490" s="359">
        <f t="shared" ca="1" si="230"/>
        <v>-27.908286389684491</v>
      </c>
      <c r="AH490" s="357">
        <f t="shared" ca="1" si="231"/>
        <v>-18.391279452299038</v>
      </c>
    </row>
    <row r="491" spans="1:34" x14ac:dyDescent="0.25">
      <c r="A491" s="402">
        <f t="shared" ca="1" si="209"/>
        <v>0.01</v>
      </c>
      <c r="B491" s="357">
        <f t="shared" ca="1" si="210"/>
        <v>4.8699999999999406</v>
      </c>
      <c r="C491" s="342"/>
      <c r="D491" s="359">
        <f t="shared" ca="1" si="211"/>
        <v>-4.4522088283626831</v>
      </c>
      <c r="E491" s="360">
        <f t="shared" ca="1" si="212"/>
        <v>-27.609063794121631</v>
      </c>
      <c r="F491" s="357">
        <f t="shared" ca="1" si="213"/>
        <v>27.965739164900121</v>
      </c>
      <c r="G491" s="359">
        <f t="shared" ca="1" si="214"/>
        <v>63.459383667075585</v>
      </c>
      <c r="H491" s="360">
        <f t="shared" ca="1" si="215"/>
        <v>253.60015670133785</v>
      </c>
      <c r="I491" s="357">
        <f t="shared" ca="1" si="216"/>
        <v>261.41945768122963</v>
      </c>
      <c r="J491" s="359">
        <f t="shared" ca="1" si="217"/>
        <v>185.9323601922342</v>
      </c>
      <c r="K491" s="360">
        <f t="shared" ca="1" si="218"/>
        <v>802.82891895080775</v>
      </c>
      <c r="L491" s="357">
        <f t="shared" ca="1" si="203"/>
        <v>824.07834316306196</v>
      </c>
      <c r="M491" s="359">
        <f t="shared" ca="1" si="219"/>
        <v>1.3255974328766307</v>
      </c>
      <c r="N491" s="357">
        <f t="shared" ca="1" si="220"/>
        <v>75.951138237207374</v>
      </c>
      <c r="O491" s="343"/>
      <c r="P491" s="363">
        <f t="shared" ca="1" si="221"/>
        <v>23</v>
      </c>
      <c r="Q491" s="357">
        <f t="shared" ca="1" si="222"/>
        <v>0</v>
      </c>
      <c r="R491" s="359">
        <f t="shared" ca="1" si="223"/>
        <v>0</v>
      </c>
      <c r="S491" s="360">
        <f t="shared" ca="1" si="224"/>
        <v>9.637999999999975</v>
      </c>
      <c r="T491" s="357">
        <f t="shared" ca="1" si="204"/>
        <v>94.548779999999766</v>
      </c>
      <c r="U491" s="364">
        <f t="shared" ca="1" si="205"/>
        <v>0</v>
      </c>
      <c r="V491" s="359">
        <f t="shared" ca="1" si="206"/>
        <v>1.1304488762517459</v>
      </c>
      <c r="W491" s="357">
        <f t="shared" ca="1" si="207"/>
        <v>176.41149804026378</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802.82891895080775</v>
      </c>
      <c r="AF491" s="344"/>
      <c r="AG491" s="359">
        <f t="shared" ca="1" si="230"/>
        <v>-27.864238169437421</v>
      </c>
      <c r="AH491" s="357">
        <f t="shared" ca="1" si="231"/>
        <v>-18.347447653517424</v>
      </c>
    </row>
    <row r="492" spans="1:34" x14ac:dyDescent="0.25">
      <c r="A492" s="402">
        <f t="shared" ca="1" si="209"/>
        <v>0.01</v>
      </c>
      <c r="B492" s="357">
        <f t="shared" ca="1" si="210"/>
        <v>4.8799999999999404</v>
      </c>
      <c r="C492" s="342"/>
      <c r="D492" s="359">
        <f t="shared" ca="1" si="211"/>
        <v>-4.4432209115697248</v>
      </c>
      <c r="E492" s="360">
        <f t="shared" ca="1" si="212"/>
        <v>-27.566263208357604</v>
      </c>
      <c r="F492" s="357">
        <f t="shared" ca="1" si="213"/>
        <v>27.922053637608045</v>
      </c>
      <c r="G492" s="359">
        <f t="shared" ca="1" si="214"/>
        <v>63.414951457959887</v>
      </c>
      <c r="H492" s="360">
        <f t="shared" ca="1" si="215"/>
        <v>253.32449406925429</v>
      </c>
      <c r="I492" s="357">
        <f t="shared" ca="1" si="216"/>
        <v>261.14125557609441</v>
      </c>
      <c r="J492" s="359">
        <f t="shared" ca="1" si="217"/>
        <v>186.56673186785937</v>
      </c>
      <c r="K492" s="360">
        <f t="shared" ca="1" si="218"/>
        <v>805.36354220466069</v>
      </c>
      <c r="L492" s="357">
        <f t="shared" ca="1" si="203"/>
        <v>826.69074057490934</v>
      </c>
      <c r="M492" s="359">
        <f t="shared" ca="1" si="219"/>
        <v>1.3255062419853276</v>
      </c>
      <c r="N492" s="357">
        <f t="shared" ca="1" si="220"/>
        <v>75.945913384005678</v>
      </c>
      <c r="O492" s="343"/>
      <c r="P492" s="363">
        <f t="shared" ca="1" si="221"/>
        <v>23</v>
      </c>
      <c r="Q492" s="357">
        <f t="shared" ca="1" si="222"/>
        <v>0</v>
      </c>
      <c r="R492" s="359">
        <f t="shared" ca="1" si="223"/>
        <v>0</v>
      </c>
      <c r="S492" s="360">
        <f t="shared" ca="1" si="224"/>
        <v>9.637999999999975</v>
      </c>
      <c r="T492" s="357">
        <f t="shared" ca="1" si="204"/>
        <v>94.548779999999766</v>
      </c>
      <c r="U492" s="364">
        <f t="shared" ca="1" si="205"/>
        <v>0</v>
      </c>
      <c r="V492" s="359">
        <f t="shared" ca="1" si="206"/>
        <v>1.1301619225783386</v>
      </c>
      <c r="W492" s="357">
        <f t="shared" ca="1" si="207"/>
        <v>175.99153912934602</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805.36354220466069</v>
      </c>
      <c r="AF492" s="344"/>
      <c r="AG492" s="359">
        <f t="shared" ca="1" si="230"/>
        <v>-27.820319093167818</v>
      </c>
      <c r="AH492" s="357">
        <f t="shared" ca="1" si="231"/>
        <v>-18.303745387037168</v>
      </c>
    </row>
    <row r="493" spans="1:34" x14ac:dyDescent="0.25">
      <c r="A493" s="402">
        <f t="shared" ca="1" si="209"/>
        <v>0.01</v>
      </c>
      <c r="B493" s="357">
        <f t="shared" ca="1" si="210"/>
        <v>4.8899999999999402</v>
      </c>
      <c r="C493" s="342"/>
      <c r="D493" s="359">
        <f t="shared" ca="1" si="211"/>
        <v>-4.4342588749802081</v>
      </c>
      <c r="E493" s="360">
        <f t="shared" ca="1" si="212"/>
        <v>-27.52358899203989</v>
      </c>
      <c r="F493" s="357">
        <f t="shared" ca="1" si="213"/>
        <v>27.878497139786429</v>
      </c>
      <c r="G493" s="359">
        <f t="shared" ca="1" si="214"/>
        <v>63.370608869210088</v>
      </c>
      <c r="H493" s="360">
        <f t="shared" ca="1" si="215"/>
        <v>253.04925817933389</v>
      </c>
      <c r="I493" s="357">
        <f t="shared" ca="1" si="216"/>
        <v>260.86349137732094</v>
      </c>
      <c r="J493" s="359">
        <f t="shared" ca="1" si="217"/>
        <v>187.20065966949522</v>
      </c>
      <c r="K493" s="360">
        <f t="shared" ca="1" si="218"/>
        <v>807.89541096590358</v>
      </c>
      <c r="L493" s="357">
        <f t="shared" ca="1" si="203"/>
        <v>829.30035695184677</v>
      </c>
      <c r="M493" s="359">
        <f t="shared" ca="1" si="219"/>
        <v>1.3254149207280843</v>
      </c>
      <c r="N493" s="357">
        <f t="shared" ca="1" si="220"/>
        <v>75.940681061385803</v>
      </c>
      <c r="O493" s="343"/>
      <c r="P493" s="363">
        <f t="shared" ca="1" si="221"/>
        <v>23</v>
      </c>
      <c r="Q493" s="357">
        <f t="shared" ca="1" si="222"/>
        <v>0</v>
      </c>
      <c r="R493" s="359">
        <f t="shared" ca="1" si="223"/>
        <v>0</v>
      </c>
      <c r="S493" s="360">
        <f t="shared" ca="1" si="224"/>
        <v>9.637999999999975</v>
      </c>
      <c r="T493" s="357">
        <f t="shared" ca="1" si="204"/>
        <v>94.548779999999766</v>
      </c>
      <c r="U493" s="364">
        <f t="shared" ca="1" si="205"/>
        <v>0</v>
      </c>
      <c r="V493" s="359">
        <f t="shared" ca="1" si="206"/>
        <v>1.1298753505449026</v>
      </c>
      <c r="W493" s="357">
        <f t="shared" ca="1" si="207"/>
        <v>175.57281887726762</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807.89541096590358</v>
      </c>
      <c r="AF493" s="344"/>
      <c r="AG493" s="359">
        <f t="shared" ca="1" si="230"/>
        <v>-27.776528651842455</v>
      </c>
      <c r="AH493" s="357">
        <f t="shared" ca="1" si="231"/>
        <v>-18.26017214456801</v>
      </c>
    </row>
    <row r="494" spans="1:34" x14ac:dyDescent="0.25">
      <c r="A494" s="402">
        <f t="shared" ca="1" si="209"/>
        <v>0.01</v>
      </c>
      <c r="B494" s="357">
        <f t="shared" ca="1" si="210"/>
        <v>4.89999999999994</v>
      </c>
      <c r="C494" s="342"/>
      <c r="D494" s="359">
        <f t="shared" ca="1" si="211"/>
        <v>-4.4253226165781028</v>
      </c>
      <c r="E494" s="360">
        <f t="shared" ca="1" si="212"/>
        <v>-27.481040649783118</v>
      </c>
      <c r="F494" s="357">
        <f t="shared" ca="1" si="213"/>
        <v>27.835069165637613</v>
      </c>
      <c r="G494" s="359">
        <f t="shared" ca="1" si="214"/>
        <v>63.326355643044309</v>
      </c>
      <c r="H494" s="360">
        <f t="shared" ca="1" si="215"/>
        <v>252.77444777283606</v>
      </c>
      <c r="I494" s="357">
        <f t="shared" ca="1" si="216"/>
        <v>260.58616380362861</v>
      </c>
      <c r="J494" s="359">
        <f t="shared" ca="1" si="217"/>
        <v>187.83414449205651</v>
      </c>
      <c r="K494" s="360">
        <f t="shared" ca="1" si="218"/>
        <v>810.42452949566439</v>
      </c>
      <c r="L494" s="357">
        <f t="shared" ca="1" si="203"/>
        <v>831.9071966543695</v>
      </c>
      <c r="M494" s="359">
        <f t="shared" ca="1" si="219"/>
        <v>1.3253234689333659</v>
      </c>
      <c r="N494" s="357">
        <f t="shared" ca="1" si="220"/>
        <v>75.93544125951955</v>
      </c>
      <c r="O494" s="343"/>
      <c r="P494" s="363">
        <f t="shared" ca="1" si="221"/>
        <v>23</v>
      </c>
      <c r="Q494" s="357">
        <f t="shared" ca="1" si="222"/>
        <v>0</v>
      </c>
      <c r="R494" s="359">
        <f t="shared" ca="1" si="223"/>
        <v>0</v>
      </c>
      <c r="S494" s="360">
        <f t="shared" ca="1" si="224"/>
        <v>9.637999999999975</v>
      </c>
      <c r="T494" s="357">
        <f t="shared" ca="1" si="204"/>
        <v>94.548779999999766</v>
      </c>
      <c r="U494" s="364">
        <f t="shared" ca="1" si="205"/>
        <v>0</v>
      </c>
      <c r="V494" s="359">
        <f t="shared" ca="1" si="206"/>
        <v>1.129589159416226</v>
      </c>
      <c r="W494" s="357">
        <f t="shared" ca="1" si="207"/>
        <v>175.15533243362529</v>
      </c>
      <c r="X494" s="343"/>
      <c r="Y494" s="367" t="str">
        <f t="shared" ca="1" si="225"/>
        <v/>
      </c>
      <c r="Z494" s="368" t="str">
        <f t="shared" ca="1" si="226"/>
        <v/>
      </c>
      <c r="AA494" s="369" t="str">
        <f t="shared" ca="1" si="227"/>
        <v/>
      </c>
      <c r="AB494" s="344"/>
      <c r="AC494" s="363" t="e">
        <f t="shared" ca="1" si="228"/>
        <v>#N/A</v>
      </c>
      <c r="AD494" s="376" t="e">
        <f t="shared" ca="1" si="229"/>
        <v>#N/A</v>
      </c>
      <c r="AE494" s="377">
        <f t="shared" ca="1" si="208"/>
        <v>810.42452949566439</v>
      </c>
      <c r="AF494" s="344"/>
      <c r="AG494" s="359">
        <f t="shared" ca="1" si="230"/>
        <v>-27.73286633894962</v>
      </c>
      <c r="AH494" s="357">
        <f t="shared" ca="1" si="231"/>
        <v>-18.216727420343233</v>
      </c>
    </row>
    <row r="495" spans="1:34" x14ac:dyDescent="0.25">
      <c r="A495" s="402">
        <f t="shared" ca="1" si="209"/>
        <v>0.01</v>
      </c>
      <c r="B495" s="357">
        <f t="shared" ca="1" si="210"/>
        <v>4.9099999999999397</v>
      </c>
      <c r="C495" s="342"/>
      <c r="D495" s="359">
        <f t="shared" ca="1" si="211"/>
        <v>-4.4164120348529892</v>
      </c>
      <c r="E495" s="360">
        <f t="shared" ca="1" si="212"/>
        <v>-27.438617688658844</v>
      </c>
      <c r="F495" s="357">
        <f t="shared" ca="1" si="213"/>
        <v>27.79176921187236</v>
      </c>
      <c r="G495" s="359">
        <f t="shared" ca="1" si="214"/>
        <v>63.282191522695776</v>
      </c>
      <c r="H495" s="360">
        <f t="shared" ca="1" si="215"/>
        <v>252.50006159594946</v>
      </c>
      <c r="I495" s="357">
        <f t="shared" ca="1" si="216"/>
        <v>260.30927157877693</v>
      </c>
      <c r="J495" s="359">
        <f t="shared" ca="1" si="217"/>
        <v>188.4671872278852</v>
      </c>
      <c r="K495" s="360">
        <f t="shared" ca="1" si="218"/>
        <v>812.95090204250835</v>
      </c>
      <c r="L495" s="357">
        <f t="shared" ca="1" si="203"/>
        <v>834.51126403022192</v>
      </c>
      <c r="M495" s="359">
        <f t="shared" ca="1" si="219"/>
        <v>1.3252318864292381</v>
      </c>
      <c r="N495" s="357">
        <f t="shared" ca="1" si="220"/>
        <v>75.930193968555784</v>
      </c>
      <c r="O495" s="343"/>
      <c r="P495" s="363">
        <f t="shared" ca="1" si="221"/>
        <v>23</v>
      </c>
      <c r="Q495" s="357">
        <f t="shared" ca="1" si="222"/>
        <v>0</v>
      </c>
      <c r="R495" s="359">
        <f t="shared" ca="1" si="223"/>
        <v>0</v>
      </c>
      <c r="S495" s="360">
        <f t="shared" ca="1" si="224"/>
        <v>9.637999999999975</v>
      </c>
      <c r="T495" s="357">
        <f t="shared" ca="1" si="204"/>
        <v>94.548779999999766</v>
      </c>
      <c r="U495" s="364">
        <f t="shared" ca="1" si="205"/>
        <v>0</v>
      </c>
      <c r="V495" s="359">
        <f t="shared" ca="1" si="206"/>
        <v>1.1293033484594115</v>
      </c>
      <c r="W495" s="357">
        <f t="shared" ca="1" si="207"/>
        <v>174.73907497204777</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812.95090204250835</v>
      </c>
      <c r="AF495" s="344"/>
      <c r="AG495" s="359">
        <f t="shared" ca="1" si="230"/>
        <v>-27.689331650484043</v>
      </c>
      <c r="AH495" s="357">
        <f t="shared" ca="1" si="231"/>
        <v>-18.173410711104559</v>
      </c>
    </row>
    <row r="496" spans="1:34" x14ac:dyDescent="0.25">
      <c r="A496" s="402">
        <f t="shared" ca="1" si="209"/>
        <v>0.01</v>
      </c>
      <c r="B496" s="357">
        <f t="shared" ca="1" si="210"/>
        <v>4.9199999999999395</v>
      </c>
      <c r="C496" s="342"/>
      <c r="D496" s="359">
        <f t="shared" ca="1" si="211"/>
        <v>-4.4075270287970403</v>
      </c>
      <c r="E496" s="360">
        <f t="shared" ca="1" si="212"/>
        <v>-27.39631961818089</v>
      </c>
      <c r="F496" s="357">
        <f t="shared" ca="1" si="213"/>
        <v>27.748596777694896</v>
      </c>
      <c r="G496" s="359">
        <f t="shared" ca="1" si="214"/>
        <v>63.238116252407806</v>
      </c>
      <c r="H496" s="360">
        <f t="shared" ca="1" si="215"/>
        <v>252.22609839976766</v>
      </c>
      <c r="I496" s="357">
        <f t="shared" ca="1" si="216"/>
        <v>260.03281343154043</v>
      </c>
      <c r="J496" s="359">
        <f t="shared" ca="1" si="217"/>
        <v>189.09978876676072</v>
      </c>
      <c r="K496" s="360">
        <f t="shared" ca="1" si="218"/>
        <v>815.47453284248695</v>
      </c>
      <c r="L496" s="357">
        <f t="shared" ca="1" si="203"/>
        <v>837.11256341444664</v>
      </c>
      <c r="M496" s="359">
        <f t="shared" ca="1" si="219"/>
        <v>1.3251401730433658</v>
      </c>
      <c r="N496" s="357">
        <f t="shared" ca="1" si="220"/>
        <v>75.924939178620448</v>
      </c>
      <c r="O496" s="343"/>
      <c r="P496" s="363">
        <f t="shared" ca="1" si="221"/>
        <v>23</v>
      </c>
      <c r="Q496" s="357">
        <f t="shared" ca="1" si="222"/>
        <v>0</v>
      </c>
      <c r="R496" s="359">
        <f t="shared" ca="1" si="223"/>
        <v>0</v>
      </c>
      <c r="S496" s="360">
        <f t="shared" ca="1" si="224"/>
        <v>9.637999999999975</v>
      </c>
      <c r="T496" s="357">
        <f t="shared" ca="1" si="204"/>
        <v>94.548779999999766</v>
      </c>
      <c r="U496" s="364">
        <f t="shared" ca="1" si="205"/>
        <v>0</v>
      </c>
      <c r="V496" s="359">
        <f t="shared" ca="1" si="206"/>
        <v>1.1290179169438679</v>
      </c>
      <c r="W496" s="357">
        <f t="shared" ca="1" si="207"/>
        <v>174.32404169005196</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815.47453284248695</v>
      </c>
      <c r="AF496" s="344"/>
      <c r="AG496" s="359">
        <f t="shared" ca="1" si="230"/>
        <v>-27.645924084931899</v>
      </c>
      <c r="AH496" s="357">
        <f t="shared" ca="1" si="231"/>
        <v>-18.130221516087179</v>
      </c>
    </row>
    <row r="497" spans="1:34" x14ac:dyDescent="0.25">
      <c r="A497" s="402">
        <f t="shared" ca="1" si="209"/>
        <v>0.01</v>
      </c>
      <c r="B497" s="357">
        <f t="shared" ca="1" si="210"/>
        <v>4.9299999999999393</v>
      </c>
      <c r="C497" s="342"/>
      <c r="D497" s="359">
        <f t="shared" ca="1" si="211"/>
        <v>-4.3986674979020073</v>
      </c>
      <c r="E497" s="360">
        <f t="shared" ca="1" si="212"/>
        <v>-27.354145950290686</v>
      </c>
      <c r="F497" s="357">
        <f t="shared" ca="1" si="213"/>
        <v>27.705551364787958</v>
      </c>
      <c r="G497" s="359">
        <f t="shared" ca="1" si="214"/>
        <v>63.194129577428789</v>
      </c>
      <c r="H497" s="360">
        <f t="shared" ca="1" si="215"/>
        <v>251.95255694026477</v>
      </c>
      <c r="I497" s="357">
        <f t="shared" ca="1" si="216"/>
        <v>259.75678809568427</v>
      </c>
      <c r="J497" s="359">
        <f t="shared" ca="1" si="217"/>
        <v>189.7319499959099</v>
      </c>
      <c r="K497" s="360">
        <f t="shared" ca="1" si="218"/>
        <v>817.99542611918707</v>
      </c>
      <c r="L497" s="357">
        <f t="shared" ca="1" si="203"/>
        <v>839.71109912943325</v>
      </c>
      <c r="M497" s="359">
        <f t="shared" ca="1" si="219"/>
        <v>1.3250483286030128</v>
      </c>
      <c r="N497" s="357">
        <f t="shared" ca="1" si="220"/>
        <v>75.919676879816478</v>
      </c>
      <c r="O497" s="343"/>
      <c r="P497" s="363">
        <f t="shared" ca="1" si="221"/>
        <v>23</v>
      </c>
      <c r="Q497" s="357">
        <f t="shared" ca="1" si="222"/>
        <v>0</v>
      </c>
      <c r="R497" s="359">
        <f t="shared" ca="1" si="223"/>
        <v>0</v>
      </c>
      <c r="S497" s="360">
        <f t="shared" ca="1" si="224"/>
        <v>9.637999999999975</v>
      </c>
      <c r="T497" s="357">
        <f t="shared" ca="1" si="204"/>
        <v>94.548779999999766</v>
      </c>
      <c r="U497" s="364">
        <f t="shared" ca="1" si="205"/>
        <v>0</v>
      </c>
      <c r="V497" s="359">
        <f t="shared" ca="1" si="206"/>
        <v>1.1287328641413001</v>
      </c>
      <c r="W497" s="357">
        <f t="shared" ca="1" si="207"/>
        <v>173.91022780890103</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817.99542611918707</v>
      </c>
      <c r="AF497" s="344"/>
      <c r="AG497" s="359">
        <f t="shared" ca="1" si="230"/>
        <v>-27.602643143255857</v>
      </c>
      <c r="AH497" s="357">
        <f t="shared" ca="1" si="231"/>
        <v>-18.087159337004817</v>
      </c>
    </row>
    <row r="498" spans="1:34" x14ac:dyDescent="0.25">
      <c r="A498" s="402">
        <f t="shared" ca="1" si="209"/>
        <v>0.01</v>
      </c>
      <c r="B498" s="357">
        <f t="shared" ca="1" si="210"/>
        <v>4.9399999999999391</v>
      </c>
      <c r="C498" s="342"/>
      <c r="D498" s="359">
        <f t="shared" ca="1" si="211"/>
        <v>-4.3898333421562619</v>
      </c>
      <c r="E498" s="360">
        <f t="shared" ca="1" si="212"/>
        <v>-27.312096199342882</v>
      </c>
      <c r="F498" s="357">
        <f t="shared" ca="1" si="213"/>
        <v>27.662632477298082</v>
      </c>
      <c r="G498" s="359">
        <f t="shared" ca="1" si="214"/>
        <v>63.15023124400723</v>
      </c>
      <c r="H498" s="360">
        <f t="shared" ca="1" si="215"/>
        <v>251.67943597827133</v>
      </c>
      <c r="I498" s="357">
        <f t="shared" ca="1" si="216"/>
        <v>259.4811943099391</v>
      </c>
      <c r="J498" s="359">
        <f t="shared" ca="1" si="217"/>
        <v>190.36367180001707</v>
      </c>
      <c r="K498" s="360">
        <f t="shared" ca="1" si="218"/>
        <v>820.51358608377973</v>
      </c>
      <c r="L498" s="357">
        <f t="shared" ca="1" si="203"/>
        <v>842.30687548496769</v>
      </c>
      <c r="M498" s="359">
        <f t="shared" ca="1" si="219"/>
        <v>1.3249563529350408</v>
      </c>
      <c r="N498" s="357">
        <f t="shared" ca="1" si="220"/>
        <v>75.914407062223788</v>
      </c>
      <c r="O498" s="343"/>
      <c r="P498" s="363">
        <f t="shared" ca="1" si="221"/>
        <v>23</v>
      </c>
      <c r="Q498" s="357">
        <f t="shared" ca="1" si="222"/>
        <v>0</v>
      </c>
      <c r="R498" s="359">
        <f t="shared" ca="1" si="223"/>
        <v>0</v>
      </c>
      <c r="S498" s="360">
        <f t="shared" ca="1" si="224"/>
        <v>9.637999999999975</v>
      </c>
      <c r="T498" s="357">
        <f t="shared" ca="1" si="204"/>
        <v>94.548779999999766</v>
      </c>
      <c r="U498" s="364">
        <f t="shared" ca="1" si="205"/>
        <v>0</v>
      </c>
      <c r="V498" s="359">
        <f t="shared" ca="1" si="206"/>
        <v>1.1284481893256997</v>
      </c>
      <c r="W498" s="357">
        <f t="shared" ca="1" si="207"/>
        <v>173.49762857346212</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820.51358608377973</v>
      </c>
      <c r="AF498" s="344"/>
      <c r="AG498" s="359">
        <f t="shared" ca="1" si="230"/>
        <v>-27.559488328880391</v>
      </c>
      <c r="AH498" s="357">
        <f t="shared" ca="1" si="231"/>
        <v>-18.044223678035014</v>
      </c>
    </row>
    <row r="499" spans="1:34" x14ac:dyDescent="0.25">
      <c r="A499" s="402">
        <f t="shared" ca="1" si="209"/>
        <v>0.01</v>
      </c>
      <c r="B499" s="357">
        <f t="shared" ca="1" si="210"/>
        <v>4.9499999999999389</v>
      </c>
      <c r="C499" s="342"/>
      <c r="D499" s="359">
        <f t="shared" ca="1" si="211"/>
        <v>-4.3810244620418066</v>
      </c>
      <c r="E499" s="360">
        <f t="shared" ca="1" si="212"/>
        <v>-27.270169882090904</v>
      </c>
      <c r="F499" s="357">
        <f t="shared" ca="1" si="213"/>
        <v>27.61983962182088</v>
      </c>
      <c r="G499" s="359">
        <f t="shared" ca="1" si="214"/>
        <v>63.106420999386813</v>
      </c>
      <c r="H499" s="360">
        <f t="shared" ca="1" si="215"/>
        <v>251.40673427945043</v>
      </c>
      <c r="I499" s="357">
        <f t="shared" ca="1" si="216"/>
        <v>259.20603081797702</v>
      </c>
      <c r="J499" s="359">
        <f t="shared" ca="1" si="217"/>
        <v>190.99495506123404</v>
      </c>
      <c r="K499" s="360">
        <f t="shared" ca="1" si="218"/>
        <v>823.02901693506828</v>
      </c>
      <c r="L499" s="357">
        <f t="shared" ca="1" si="203"/>
        <v>844.89989677827964</v>
      </c>
      <c r="M499" s="359">
        <f t="shared" ca="1" si="219"/>
        <v>1.3248642458659081</v>
      </c>
      <c r="N499" s="357">
        <f t="shared" ca="1" si="220"/>
        <v>75.909129715899155</v>
      </c>
      <c r="O499" s="343"/>
      <c r="P499" s="363">
        <f t="shared" ca="1" si="221"/>
        <v>23</v>
      </c>
      <c r="Q499" s="357">
        <f t="shared" ca="1" si="222"/>
        <v>0</v>
      </c>
      <c r="R499" s="359">
        <f t="shared" ca="1" si="223"/>
        <v>0</v>
      </c>
      <c r="S499" s="360">
        <f t="shared" ca="1" si="224"/>
        <v>9.637999999999975</v>
      </c>
      <c r="T499" s="357">
        <f t="shared" ca="1" si="204"/>
        <v>94.548779999999766</v>
      </c>
      <c r="U499" s="364">
        <f t="shared" ca="1" si="205"/>
        <v>0</v>
      </c>
      <c r="V499" s="359">
        <f t="shared" ca="1" si="206"/>
        <v>1.1281638917733345</v>
      </c>
      <c r="W499" s="357">
        <f t="shared" ca="1" si="207"/>
        <v>173.08623925206641</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823.02901693506828</v>
      </c>
      <c r="AF499" s="344"/>
      <c r="AG499" s="359">
        <f t="shared" ca="1" si="230"/>
        <v>-27.51645914767699</v>
      </c>
      <c r="AH499" s="357">
        <f t="shared" ca="1" si="231"/>
        <v>-18.001414045804374</v>
      </c>
    </row>
    <row r="500" spans="1:34" x14ac:dyDescent="0.25">
      <c r="A500" s="402">
        <f t="shared" ca="1" si="209"/>
        <v>0.01</v>
      </c>
      <c r="B500" s="357">
        <f t="shared" ca="1" si="210"/>
        <v>4.9599999999999387</v>
      </c>
      <c r="C500" s="342"/>
      <c r="D500" s="359">
        <f t="shared" ca="1" si="211"/>
        <v>-4.3722407585313547</v>
      </c>
      <c r="E500" s="360">
        <f t="shared" ca="1" si="212"/>
        <v>-27.228366517672683</v>
      </c>
      <c r="F500" s="357">
        <f t="shared" ca="1" si="213"/>
        <v>27.577172307386441</v>
      </c>
      <c r="G500" s="359">
        <f t="shared" ca="1" si="214"/>
        <v>63.0626985918015</v>
      </c>
      <c r="H500" s="360">
        <f t="shared" ca="1" si="215"/>
        <v>251.1344506142737</v>
      </c>
      <c r="I500" s="357">
        <f t="shared" ca="1" si="216"/>
        <v>258.931296368387</v>
      </c>
      <c r="J500" s="359">
        <f t="shared" ca="1" si="217"/>
        <v>191.62580065918999</v>
      </c>
      <c r="K500" s="360">
        <f t="shared" ca="1" si="218"/>
        <v>825.54172285953689</v>
      </c>
      <c r="L500" s="357">
        <f t="shared" ca="1" si="203"/>
        <v>847.49016729409198</v>
      </c>
      <c r="M500" s="359">
        <f t="shared" ca="1" si="219"/>
        <v>1.3247720072216684</v>
      </c>
      <c r="N500" s="357">
        <f t="shared" ca="1" si="220"/>
        <v>75.903844830876224</v>
      </c>
      <c r="O500" s="343"/>
      <c r="P500" s="363">
        <f t="shared" ca="1" si="221"/>
        <v>23</v>
      </c>
      <c r="Q500" s="357">
        <f t="shared" ca="1" si="222"/>
        <v>0</v>
      </c>
      <c r="R500" s="359">
        <f t="shared" ca="1" si="223"/>
        <v>0</v>
      </c>
      <c r="S500" s="360">
        <f t="shared" ca="1" si="224"/>
        <v>9.637999999999975</v>
      </c>
      <c r="T500" s="357">
        <f t="shared" ca="1" si="204"/>
        <v>94.548779999999766</v>
      </c>
      <c r="U500" s="364">
        <f t="shared" ca="1" si="205"/>
        <v>0</v>
      </c>
      <c r="V500" s="359">
        <f t="shared" ca="1" si="206"/>
        <v>1.1278799707627418</v>
      </c>
      <c r="W500" s="357">
        <f t="shared" ca="1" si="207"/>
        <v>172.67605513636931</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825.54172285953689</v>
      </c>
      <c r="AF500" s="344"/>
      <c r="AG500" s="359">
        <f t="shared" ca="1" si="230"/>
        <v>-27.473555107949622</v>
      </c>
      <c r="AH500" s="357">
        <f t="shared" ca="1" si="231"/>
        <v>-17.958729949374025</v>
      </c>
    </row>
    <row r="501" spans="1:34" x14ac:dyDescent="0.25">
      <c r="A501" s="402">
        <f t="shared" ca="1" si="209"/>
        <v>0.01</v>
      </c>
      <c r="B501" s="357">
        <f t="shared" ca="1" si="210"/>
        <v>4.9699999999999385</v>
      </c>
      <c r="C501" s="342"/>
      <c r="D501" s="359">
        <f t="shared" ca="1" si="211"/>
        <v>-4.3634821330854194</v>
      </c>
      <c r="E501" s="360">
        <f t="shared" ca="1" si="212"/>
        <v>-27.186685627596475</v>
      </c>
      <c r="F501" s="357">
        <f t="shared" ca="1" si="213"/>
        <v>27.534630045444889</v>
      </c>
      <c r="G501" s="359">
        <f t="shared" ca="1" si="214"/>
        <v>63.019063770470645</v>
      </c>
      <c r="H501" s="360">
        <f t="shared" ca="1" si="215"/>
        <v>250.86258375799773</v>
      </c>
      <c r="I501" s="357">
        <f t="shared" ca="1" si="216"/>
        <v>258.65698971465099</v>
      </c>
      <c r="J501" s="359">
        <f t="shared" ca="1" si="217"/>
        <v>192.25620947100134</v>
      </c>
      <c r="K501" s="360">
        <f t="shared" ca="1" si="218"/>
        <v>828.05170803139822</v>
      </c>
      <c r="L501" s="357">
        <f t="shared" ca="1" si="203"/>
        <v>850.07769130466738</v>
      </c>
      <c r="M501" s="359">
        <f t="shared" ca="1" si="219"/>
        <v>1.3246796368279716</v>
      </c>
      <c r="N501" s="357">
        <f t="shared" ca="1" si="220"/>
        <v>75.898552397165432</v>
      </c>
      <c r="O501" s="343"/>
      <c r="P501" s="363">
        <f t="shared" ca="1" si="221"/>
        <v>23</v>
      </c>
      <c r="Q501" s="357">
        <f t="shared" ca="1" si="222"/>
        <v>0</v>
      </c>
      <c r="R501" s="359">
        <f t="shared" ca="1" si="223"/>
        <v>0</v>
      </c>
      <c r="S501" s="360">
        <f t="shared" ca="1" si="224"/>
        <v>9.637999999999975</v>
      </c>
      <c r="T501" s="357">
        <f t="shared" ca="1" si="204"/>
        <v>94.548779999999766</v>
      </c>
      <c r="U501" s="364">
        <f t="shared" ca="1" si="205"/>
        <v>0</v>
      </c>
      <c r="V501" s="359">
        <f t="shared" ca="1" si="206"/>
        <v>1.1275964255747148</v>
      </c>
      <c r="W501" s="357">
        <f t="shared" ca="1" si="207"/>
        <v>172.26707154121209</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828.05170803139822</v>
      </c>
      <c r="AF501" s="344"/>
      <c r="AG501" s="359">
        <f t="shared" ca="1" si="230"/>
        <v>-27.430775720420243</v>
      </c>
      <c r="AH501" s="357">
        <f t="shared" ca="1" si="231"/>
        <v>-17.916170900225126</v>
      </c>
    </row>
    <row r="502" spans="1:34" x14ac:dyDescent="0.25">
      <c r="A502" s="402">
        <f t="shared" ca="1" si="209"/>
        <v>0.01</v>
      </c>
      <c r="B502" s="357">
        <f t="shared" ca="1" si="210"/>
        <v>4.9799999999999383</v>
      </c>
      <c r="C502" s="342"/>
      <c r="D502" s="359">
        <f t="shared" ca="1" si="211"/>
        <v>-4.3547484876493856</v>
      </c>
      <c r="E502" s="360">
        <f t="shared" ca="1" si="212"/>
        <v>-27.145126735726812</v>
      </c>
      <c r="F502" s="357">
        <f t="shared" ca="1" si="213"/>
        <v>27.492212349852007</v>
      </c>
      <c r="G502" s="359">
        <f t="shared" ca="1" si="214"/>
        <v>62.975516285594153</v>
      </c>
      <c r="H502" s="360">
        <f t="shared" ca="1" si="215"/>
        <v>250.59113249064046</v>
      </c>
      <c r="I502" s="357">
        <f t="shared" ca="1" si="216"/>
        <v>258.38310961511945</v>
      </c>
      <c r="J502" s="359">
        <f t="shared" ca="1" si="217"/>
        <v>192.88618237128168</v>
      </c>
      <c r="K502" s="360">
        <f t="shared" ca="1" si="218"/>
        <v>830.55897661264146</v>
      </c>
      <c r="L502" s="357">
        <f t="shared" ca="1" si="203"/>
        <v>852.66247306985758</v>
      </c>
      <c r="M502" s="359">
        <f t="shared" ca="1" si="219"/>
        <v>1.3245871345100604</v>
      </c>
      <c r="N502" s="357">
        <f t="shared" ca="1" si="220"/>
        <v>75.893252404753937</v>
      </c>
      <c r="O502" s="343"/>
      <c r="P502" s="363">
        <f t="shared" ca="1" si="221"/>
        <v>23</v>
      </c>
      <c r="Q502" s="357">
        <f t="shared" ca="1" si="222"/>
        <v>0</v>
      </c>
      <c r="R502" s="359">
        <f t="shared" ca="1" si="223"/>
        <v>0</v>
      </c>
      <c r="S502" s="360">
        <f t="shared" ca="1" si="224"/>
        <v>9.637999999999975</v>
      </c>
      <c r="T502" s="357">
        <f t="shared" ca="1" si="204"/>
        <v>94.548779999999766</v>
      </c>
      <c r="U502" s="364">
        <f t="shared" ca="1" si="205"/>
        <v>0</v>
      </c>
      <c r="V502" s="359">
        <f t="shared" ca="1" si="206"/>
        <v>1.1273132554922982</v>
      </c>
      <c r="W502" s="357">
        <f t="shared" ca="1" si="207"/>
        <v>171.85928380448394</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830.55897661264146</v>
      </c>
      <c r="AF502" s="344"/>
      <c r="AG502" s="359">
        <f t="shared" ca="1" si="230"/>
        <v>-27.388120498214413</v>
      </c>
      <c r="AH502" s="357">
        <f t="shared" ca="1" si="231"/>
        <v>-17.873736412244504</v>
      </c>
    </row>
    <row r="503" spans="1:34" x14ac:dyDescent="0.25">
      <c r="A503" s="402">
        <f t="shared" ca="1" si="209"/>
        <v>0.01</v>
      </c>
      <c r="B503" s="357">
        <f t="shared" ca="1" si="210"/>
        <v>4.989999999999938</v>
      </c>
      <c r="C503" s="342"/>
      <c r="D503" s="359">
        <f t="shared" ca="1" si="211"/>
        <v>-4.3460397246506659</v>
      </c>
      <c r="E503" s="360">
        <f t="shared" ca="1" si="212"/>
        <v>-27.103689368270452</v>
      </c>
      <c r="F503" s="357">
        <f t="shared" ca="1" si="213"/>
        <v>27.449918736854912</v>
      </c>
      <c r="G503" s="359">
        <f t="shared" ca="1" si="214"/>
        <v>62.932055888347648</v>
      </c>
      <c r="H503" s="360">
        <f t="shared" ca="1" si="215"/>
        <v>250.32009559695777</v>
      </c>
      <c r="I503" s="357">
        <f t="shared" ca="1" si="216"/>
        <v>258.10965483298799</v>
      </c>
      <c r="J503" s="359">
        <f t="shared" ca="1" si="217"/>
        <v>193.51572023215138</v>
      </c>
      <c r="K503" s="360">
        <f t="shared" ca="1" si="218"/>
        <v>833.06353275307947</v>
      </c>
      <c r="L503" s="357">
        <f t="shared" ca="1" si="203"/>
        <v>855.2445168371496</v>
      </c>
      <c r="M503" s="359">
        <f t="shared" ca="1" si="219"/>
        <v>1.324494500092771</v>
      </c>
      <c r="N503" s="357">
        <f t="shared" ca="1" si="220"/>
        <v>75.887944843605609</v>
      </c>
      <c r="O503" s="343"/>
      <c r="P503" s="363">
        <f t="shared" ca="1" si="221"/>
        <v>23</v>
      </c>
      <c r="Q503" s="357">
        <f t="shared" ca="1" si="222"/>
        <v>0</v>
      </c>
      <c r="R503" s="359">
        <f t="shared" ca="1" si="223"/>
        <v>0</v>
      </c>
      <c r="S503" s="360">
        <f t="shared" ca="1" si="224"/>
        <v>9.637999999999975</v>
      </c>
      <c r="T503" s="357">
        <f t="shared" ca="1" si="204"/>
        <v>94.548779999999766</v>
      </c>
      <c r="U503" s="364">
        <f t="shared" ca="1" si="205"/>
        <v>0</v>
      </c>
      <c r="V503" s="359">
        <f t="shared" ca="1" si="206"/>
        <v>1.1270304598007759</v>
      </c>
      <c r="W503" s="357">
        <f t="shared" ca="1" si="207"/>
        <v>171.45268728698599</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833.06353275307947</v>
      </c>
      <c r="AF503" s="344"/>
      <c r="AG503" s="359">
        <f t="shared" ca="1" si="230"/>
        <v>-27.345588956847003</v>
      </c>
      <c r="AH503" s="357">
        <f t="shared" ca="1" si="231"/>
        <v>-17.831426001710351</v>
      </c>
    </row>
    <row r="504" spans="1:34" x14ac:dyDescent="0.25">
      <c r="A504" s="402">
        <f t="shared" ca="1" si="209"/>
        <v>0.01</v>
      </c>
      <c r="B504" s="357">
        <f t="shared" ca="1" si="210"/>
        <v>4.9999999999999378</v>
      </c>
      <c r="C504" s="342"/>
      <c r="D504" s="359">
        <f t="shared" ca="1" si="211"/>
        <v>-4.3373557469958293</v>
      </c>
      <c r="E504" s="360">
        <f t="shared" ca="1" si="212"/>
        <v>-27.062373053762585</v>
      </c>
      <c r="F504" s="357">
        <f t="shared" ca="1" si="213"/>
        <v>27.407748725077969</v>
      </c>
      <c r="G504" s="359">
        <f t="shared" ca="1" si="214"/>
        <v>62.888682330877693</v>
      </c>
      <c r="H504" s="360">
        <f t="shared" ca="1" si="215"/>
        <v>250.04947186642013</v>
      </c>
      <c r="I504" s="357">
        <f t="shared" ca="1" si="216"/>
        <v>257.83662413627292</v>
      </c>
      <c r="J504" s="359">
        <f t="shared" ca="1" si="217"/>
        <v>194.14482392324751</v>
      </c>
      <c r="K504" s="360">
        <f t="shared" ca="1" si="218"/>
        <v>835.56538059039633</v>
      </c>
      <c r="L504" s="357">
        <f t="shared" ca="1" si="203"/>
        <v>857.82382684171387</v>
      </c>
      <c r="M504" s="359">
        <f t="shared" ca="1" si="219"/>
        <v>1.3244017334005325</v>
      </c>
      <c r="N504" s="357">
        <f t="shared" ca="1" si="220"/>
        <v>75.882629703660939</v>
      </c>
      <c r="O504" s="343"/>
      <c r="P504" s="363">
        <f t="shared" ca="1" si="221"/>
        <v>23</v>
      </c>
      <c r="Q504" s="357">
        <f t="shared" ca="1" si="222"/>
        <v>0</v>
      </c>
      <c r="R504" s="359">
        <f t="shared" ca="1" si="223"/>
        <v>0</v>
      </c>
      <c r="S504" s="360">
        <f t="shared" ca="1" si="224"/>
        <v>9.637999999999975</v>
      </c>
      <c r="T504" s="357">
        <f t="shared" ca="1" si="204"/>
        <v>94.548779999999766</v>
      </c>
      <c r="U504" s="364">
        <f t="shared" ca="1" si="205"/>
        <v>0</v>
      </c>
      <c r="V504" s="359">
        <f t="shared" ca="1" si="206"/>
        <v>1.1267480377876617</v>
      </c>
      <c r="W504" s="357">
        <f t="shared" ca="1" si="207"/>
        <v>171.04727737229436</v>
      </c>
      <c r="X504" s="343"/>
      <c r="Y504" s="367" t="str">
        <f t="shared" ca="1" si="225"/>
        <v/>
      </c>
      <c r="Z504" s="368" t="str">
        <f t="shared" ca="1" si="226"/>
        <v/>
      </c>
      <c r="AA504" s="369" t="str">
        <f t="shared" ca="1" si="227"/>
        <v/>
      </c>
      <c r="AB504" s="344"/>
      <c r="AC504" s="363">
        <f t="shared" ca="1" si="228"/>
        <v>4.9999999999999378</v>
      </c>
      <c r="AD504" s="376">
        <f t="shared" ca="1" si="229"/>
        <v>194.14482392324751</v>
      </c>
      <c r="AE504" s="377">
        <f t="shared" ca="1" si="208"/>
        <v>835.56538059039633</v>
      </c>
      <c r="AF504" s="344"/>
      <c r="AG504" s="359">
        <f t="shared" ca="1" si="230"/>
        <v>-27.303180614208067</v>
      </c>
      <c r="AH504" s="357">
        <f t="shared" ca="1" si="231"/>
        <v>-17.78923918727811</v>
      </c>
    </row>
    <row r="505" spans="1:34" x14ac:dyDescent="0.25">
      <c r="A505" s="402">
        <f t="shared" ca="1" si="209"/>
        <v>0.1</v>
      </c>
      <c r="B505" s="357">
        <f t="shared" ca="1" si="210"/>
        <v>5.0999999999999375</v>
      </c>
      <c r="C505" s="342"/>
      <c r="D505" s="359">
        <f t="shared" ca="1" si="211"/>
        <v>-4.3286964580677347</v>
      </c>
      <c r="E505" s="360">
        <f t="shared" ca="1" si="212"/>
        <v>-27.021177323052918</v>
      </c>
      <c r="F505" s="357">
        <f t="shared" ca="1" si="213"/>
        <v>27.365701835508574</v>
      </c>
      <c r="G505" s="359">
        <f t="shared" ca="1" si="214"/>
        <v>62.455812685070917</v>
      </c>
      <c r="H505" s="360">
        <f t="shared" ca="1" si="215"/>
        <v>247.34735413411485</v>
      </c>
      <c r="I505" s="357">
        <f t="shared" ca="1" si="216"/>
        <v>255.11064684818604</v>
      </c>
      <c r="J505" s="359">
        <f t="shared" ca="1" si="217"/>
        <v>200.41204867404494</v>
      </c>
      <c r="K505" s="360">
        <f t="shared" ca="1" si="218"/>
        <v>860.43522189042312</v>
      </c>
      <c r="L505" s="357">
        <f t="shared" ca="1" si="203"/>
        <v>883.46689826124748</v>
      </c>
      <c r="M505" s="359">
        <f t="shared" ca="1" si="219"/>
        <v>1.3234638078300232</v>
      </c>
      <c r="N505" s="357">
        <f t="shared" ca="1" si="220"/>
        <v>75.828890526973368</v>
      </c>
      <c r="O505" s="343"/>
      <c r="P505" s="363">
        <f t="shared" ca="1" si="221"/>
        <v>23</v>
      </c>
      <c r="Q505" s="357">
        <f t="shared" ca="1" si="222"/>
        <v>0</v>
      </c>
      <c r="R505" s="359">
        <f t="shared" ca="1" si="223"/>
        <v>0</v>
      </c>
      <c r="S505" s="360">
        <f t="shared" ca="1" si="224"/>
        <v>9.637999999999975</v>
      </c>
      <c r="T505" s="357">
        <f t="shared" ca="1" si="204"/>
        <v>94.548779999999766</v>
      </c>
      <c r="U505" s="364">
        <f t="shared" ca="1" si="205"/>
        <v>0</v>
      </c>
      <c r="V505" s="359">
        <f t="shared" ca="1" si="206"/>
        <v>1.1239442803465871</v>
      </c>
      <c r="W505" s="357">
        <f t="shared" ca="1" si="207"/>
        <v>167.03292723200479</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860.43522189042312</v>
      </c>
      <c r="AF505" s="344"/>
      <c r="AG505" s="359">
        <f t="shared" ca="1" si="230"/>
        <v>-27.260894990548611</v>
      </c>
      <c r="AH505" s="357">
        <f t="shared" ca="1" si="231"/>
        <v>-17.74717548996626</v>
      </c>
    </row>
    <row r="506" spans="1:34" x14ac:dyDescent="0.25">
      <c r="A506" s="402">
        <f t="shared" ca="1" si="209"/>
        <v>0.1</v>
      </c>
      <c r="B506" s="357">
        <f t="shared" ca="1" si="210"/>
        <v>5.1999999999999371</v>
      </c>
      <c r="C506" s="342"/>
      <c r="D506" s="359">
        <f t="shared" ca="1" si="211"/>
        <v>-4.2428673107557078</v>
      </c>
      <c r="E506" s="360">
        <f t="shared" ca="1" si="212"/>
        <v>-26.613271915608415</v>
      </c>
      <c r="F506" s="357">
        <f t="shared" ca="1" si="213"/>
        <v>26.949362980797726</v>
      </c>
      <c r="G506" s="359">
        <f t="shared" ca="1" si="214"/>
        <v>62.031525953995349</v>
      </c>
      <c r="H506" s="360">
        <f t="shared" ca="1" si="215"/>
        <v>244.68602694255401</v>
      </c>
      <c r="I506" s="357">
        <f t="shared" ca="1" si="216"/>
        <v>252.42654771856596</v>
      </c>
      <c r="J506" s="359">
        <f t="shared" ca="1" si="217"/>
        <v>206.63641560599825</v>
      </c>
      <c r="K506" s="360">
        <f t="shared" ca="1" si="218"/>
        <v>885.03689094425658</v>
      </c>
      <c r="L506" s="357">
        <f t="shared" ca="1" si="203"/>
        <v>908.83931835433418</v>
      </c>
      <c r="M506" s="359">
        <f t="shared" ca="1" si="219"/>
        <v>1.3225123745793854</v>
      </c>
      <c r="N506" s="357">
        <f t="shared" ca="1" si="220"/>
        <v>75.774377417223405</v>
      </c>
      <c r="O506" s="343"/>
      <c r="P506" s="363">
        <f t="shared" ca="1" si="221"/>
        <v>23</v>
      </c>
      <c r="Q506" s="357">
        <f t="shared" ca="1" si="222"/>
        <v>0</v>
      </c>
      <c r="R506" s="359">
        <f t="shared" ca="1" si="223"/>
        <v>0</v>
      </c>
      <c r="S506" s="360">
        <f t="shared" ca="1" si="224"/>
        <v>9.637999999999975</v>
      </c>
      <c r="T506" s="357">
        <f t="shared" ca="1" si="204"/>
        <v>94.548779999999766</v>
      </c>
      <c r="U506" s="364">
        <f t="shared" ca="1" si="205"/>
        <v>0</v>
      </c>
      <c r="V506" s="359">
        <f t="shared" ca="1" si="206"/>
        <v>1.1211773257028044</v>
      </c>
      <c r="W506" s="357">
        <f t="shared" ca="1" si="207"/>
        <v>163.13400723729512</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885.03689094425658</v>
      </c>
      <c r="AF506" s="344"/>
      <c r="AG506" s="359">
        <f t="shared" ca="1" si="230"/>
        <v>-26.842133810513474</v>
      </c>
      <c r="AH506" s="357">
        <f t="shared" ca="1" si="231"/>
        <v>-17.330662713426566</v>
      </c>
    </row>
    <row r="507" spans="1:34" x14ac:dyDescent="0.25">
      <c r="A507" s="402">
        <f t="shared" ca="1" si="209"/>
        <v>0.1</v>
      </c>
      <c r="B507" s="357">
        <f t="shared" ca="1" si="210"/>
        <v>5.2999999999999368</v>
      </c>
      <c r="C507" s="342"/>
      <c r="D507" s="359">
        <f t="shared" ca="1" si="211"/>
        <v>-4.1594414888997848</v>
      </c>
      <c r="E507" s="360">
        <f t="shared" ca="1" si="212"/>
        <v>-26.217096175156371</v>
      </c>
      <c r="F507" s="357">
        <f t="shared" ca="1" si="213"/>
        <v>26.545001136880362</v>
      </c>
      <c r="G507" s="359">
        <f t="shared" ca="1" si="214"/>
        <v>61.615581805105371</v>
      </c>
      <c r="H507" s="360">
        <f t="shared" ca="1" si="215"/>
        <v>242.06431732503836</v>
      </c>
      <c r="I507" s="357">
        <f t="shared" ca="1" si="216"/>
        <v>249.78313322403997</v>
      </c>
      <c r="J507" s="359">
        <f t="shared" ca="1" si="217"/>
        <v>212.81877099395328</v>
      </c>
      <c r="K507" s="360">
        <f t="shared" ca="1" si="218"/>
        <v>909.37440815763625</v>
      </c>
      <c r="L507" s="357">
        <f t="shared" ca="1" si="203"/>
        <v>933.94520369207316</v>
      </c>
      <c r="M507" s="359">
        <f t="shared" ca="1" si="219"/>
        <v>1.3215472499407852</v>
      </c>
      <c r="N507" s="357">
        <f t="shared" ca="1" si="220"/>
        <v>75.719079848727532</v>
      </c>
      <c r="O507" s="343"/>
      <c r="P507" s="363">
        <f t="shared" ca="1" si="221"/>
        <v>23</v>
      </c>
      <c r="Q507" s="357">
        <f t="shared" ca="1" si="222"/>
        <v>0</v>
      </c>
      <c r="R507" s="359">
        <f t="shared" ca="1" si="223"/>
        <v>0</v>
      </c>
      <c r="S507" s="360">
        <f t="shared" ca="1" si="224"/>
        <v>9.637999999999975</v>
      </c>
      <c r="T507" s="357">
        <f t="shared" ca="1" si="204"/>
        <v>94.548779999999766</v>
      </c>
      <c r="U507" s="364">
        <f t="shared" ca="1" si="205"/>
        <v>0</v>
      </c>
      <c r="V507" s="359">
        <f t="shared" ca="1" si="206"/>
        <v>1.1184464868964714</v>
      </c>
      <c r="W507" s="357">
        <f t="shared" ca="1" si="207"/>
        <v>159.34614836840092</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909.37440815763625</v>
      </c>
      <c r="AF507" s="344"/>
      <c r="AG507" s="359">
        <f t="shared" ca="1" si="230"/>
        <v>-26.435308267110035</v>
      </c>
      <c r="AH507" s="357">
        <f t="shared" ca="1" si="231"/>
        <v>-16.926126503143344</v>
      </c>
    </row>
    <row r="508" spans="1:34" x14ac:dyDescent="0.25">
      <c r="A508" s="402">
        <f t="shared" ca="1" si="209"/>
        <v>0.1</v>
      </c>
      <c r="B508" s="357">
        <f t="shared" ca="1" si="210"/>
        <v>5.3999999999999364</v>
      </c>
      <c r="C508" s="342"/>
      <c r="D508" s="359">
        <f t="shared" ca="1" si="211"/>
        <v>-4.0783274559615972</v>
      </c>
      <c r="E508" s="360">
        <f t="shared" ca="1" si="212"/>
        <v>-25.832206113024242</v>
      </c>
      <c r="F508" s="357">
        <f t="shared" ca="1" si="213"/>
        <v>26.152162960333076</v>
      </c>
      <c r="G508" s="359">
        <f t="shared" ca="1" si="214"/>
        <v>61.207749059509212</v>
      </c>
      <c r="H508" s="360">
        <f t="shared" ca="1" si="215"/>
        <v>239.48109671373592</v>
      </c>
      <c r="I508" s="357">
        <f t="shared" ca="1" si="216"/>
        <v>247.1792552544521</v>
      </c>
      <c r="J508" s="359">
        <f t="shared" ca="1" si="217"/>
        <v>218.959937537184</v>
      </c>
      <c r="K508" s="360">
        <f t="shared" ca="1" si="218"/>
        <v>933.45167885957494</v>
      </c>
      <c r="L508" s="357">
        <f t="shared" ca="1" si="203"/>
        <v>958.78855385952875</v>
      </c>
      <c r="M508" s="359">
        <f t="shared" ca="1" si="219"/>
        <v>1.3205682458600962</v>
      </c>
      <c r="N508" s="357">
        <f t="shared" ca="1" si="220"/>
        <v>75.662987046777957</v>
      </c>
      <c r="O508" s="343"/>
      <c r="P508" s="363">
        <f t="shared" ca="1" si="221"/>
        <v>23</v>
      </c>
      <c r="Q508" s="357">
        <f t="shared" ca="1" si="222"/>
        <v>0</v>
      </c>
      <c r="R508" s="359">
        <f t="shared" ca="1" si="223"/>
        <v>0</v>
      </c>
      <c r="S508" s="360">
        <f t="shared" ca="1" si="224"/>
        <v>9.637999999999975</v>
      </c>
      <c r="T508" s="357">
        <f t="shared" ca="1" si="204"/>
        <v>94.548779999999766</v>
      </c>
      <c r="U508" s="364">
        <f t="shared" ca="1" si="205"/>
        <v>0</v>
      </c>
      <c r="V508" s="359">
        <f t="shared" ca="1" si="206"/>
        <v>1.115751097893926</v>
      </c>
      <c r="W508" s="357">
        <f t="shared" ca="1" si="207"/>
        <v>155.66518936996883</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933.45167885957494</v>
      </c>
      <c r="AF508" s="344"/>
      <c r="AG508" s="359">
        <f t="shared" ca="1" si="230"/>
        <v>-26.039964239321602</v>
      </c>
      <c r="AH508" s="357">
        <f t="shared" ca="1" si="231"/>
        <v>-16.533113547250604</v>
      </c>
    </row>
    <row r="509" spans="1:34" x14ac:dyDescent="0.25">
      <c r="A509" s="402">
        <f t="shared" ca="1" si="209"/>
        <v>0.1</v>
      </c>
      <c r="B509" s="357">
        <f t="shared" ca="1" si="210"/>
        <v>5.4999999999999361</v>
      </c>
      <c r="C509" s="342"/>
      <c r="D509" s="359">
        <f t="shared" ca="1" si="211"/>
        <v>-3.9994380251715556</v>
      </c>
      <c r="E509" s="360">
        <f t="shared" ca="1" si="212"/>
        <v>-25.458178853554834</v>
      </c>
      <c r="F509" s="357">
        <f t="shared" ca="1" si="213"/>
        <v>25.770416664399793</v>
      </c>
      <c r="G509" s="359">
        <f t="shared" ca="1" si="214"/>
        <v>60.807805256992054</v>
      </c>
      <c r="H509" s="360">
        <f t="shared" ca="1" si="215"/>
        <v>236.93527882838043</v>
      </c>
      <c r="I509" s="357">
        <f t="shared" ca="1" si="216"/>
        <v>244.61380895945888</v>
      </c>
      <c r="J509" s="359">
        <f t="shared" ca="1" si="217"/>
        <v>225.06071525300908</v>
      </c>
      <c r="K509" s="360">
        <f t="shared" ca="1" si="218"/>
        <v>957.27249763668078</v>
      </c>
      <c r="L509" s="357">
        <f t="shared" ca="1" si="203"/>
        <v>983.37325583003576</v>
      </c>
      <c r="M509" s="359">
        <f t="shared" ca="1" si="219"/>
        <v>1.3195751698342266</v>
      </c>
      <c r="N509" s="357">
        <f t="shared" ca="1" si="220"/>
        <v>75.606087981760012</v>
      </c>
      <c r="O509" s="343"/>
      <c r="P509" s="363">
        <f t="shared" ca="1" si="221"/>
        <v>23</v>
      </c>
      <c r="Q509" s="357">
        <f t="shared" ca="1" si="222"/>
        <v>0</v>
      </c>
      <c r="R509" s="359">
        <f t="shared" ca="1" si="223"/>
        <v>0</v>
      </c>
      <c r="S509" s="360">
        <f t="shared" ca="1" si="224"/>
        <v>9.637999999999975</v>
      </c>
      <c r="T509" s="357">
        <f t="shared" ca="1" si="204"/>
        <v>94.548779999999766</v>
      </c>
      <c r="U509" s="364">
        <f t="shared" ca="1" si="205"/>
        <v>0</v>
      </c>
      <c r="V509" s="359">
        <f t="shared" ca="1" si="206"/>
        <v>1.1130905127575956</v>
      </c>
      <c r="W509" s="357">
        <f t="shared" ca="1" si="207"/>
        <v>152.08716493562557</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957.27249763668078</v>
      </c>
      <c r="AF509" s="344"/>
      <c r="AG509" s="359">
        <f t="shared" ca="1" si="230"/>
        <v>-25.655669140516554</v>
      </c>
      <c r="AH509" s="357">
        <f t="shared" ca="1" si="231"/>
        <v>-16.151192090679523</v>
      </c>
    </row>
    <row r="510" spans="1:34" x14ac:dyDescent="0.25">
      <c r="A510" s="402">
        <f t="shared" ca="1" si="209"/>
        <v>0.1</v>
      </c>
      <c r="B510" s="357">
        <f t="shared" ca="1" si="210"/>
        <v>5.5999999999999357</v>
      </c>
      <c r="C510" s="342"/>
      <c r="D510" s="359">
        <f t="shared" ca="1" si="211"/>
        <v>-3.9226901121156481</v>
      </c>
      <c r="E510" s="360">
        <f t="shared" ca="1" si="212"/>
        <v>-25.094611433407742</v>
      </c>
      <c r="F510" s="357">
        <f t="shared" ca="1" si="213"/>
        <v>25.399350793069662</v>
      </c>
      <c r="G510" s="359">
        <f t="shared" ca="1" si="214"/>
        <v>60.415536245780487</v>
      </c>
      <c r="H510" s="360">
        <f t="shared" ca="1" si="215"/>
        <v>234.42581768503965</v>
      </c>
      <c r="I510" s="357">
        <f t="shared" ca="1" si="216"/>
        <v>242.08573071778656</v>
      </c>
      <c r="J510" s="359">
        <f t="shared" ca="1" si="217"/>
        <v>231.12188232814771</v>
      </c>
      <c r="K510" s="360">
        <f t="shared" ca="1" si="218"/>
        <v>980.84055246235175</v>
      </c>
      <c r="L510" s="357">
        <f t="shared" ca="1" si="203"/>
        <v>1007.7030881393376</v>
      </c>
      <c r="M510" s="359">
        <f t="shared" ca="1" si="219"/>
        <v>1.318567824805021</v>
      </c>
      <c r="N510" s="357">
        <f t="shared" ca="1" si="220"/>
        <v>75.548371363073045</v>
      </c>
      <c r="O510" s="343"/>
      <c r="P510" s="363">
        <f t="shared" ca="1" si="221"/>
        <v>23</v>
      </c>
      <c r="Q510" s="357">
        <f t="shared" ca="1" si="222"/>
        <v>0</v>
      </c>
      <c r="R510" s="359">
        <f t="shared" ca="1" si="223"/>
        <v>0</v>
      </c>
      <c r="S510" s="360">
        <f t="shared" ca="1" si="224"/>
        <v>9.637999999999975</v>
      </c>
      <c r="T510" s="357">
        <f t="shared" ca="1" si="204"/>
        <v>94.548779999999766</v>
      </c>
      <c r="U510" s="364">
        <f t="shared" ca="1" si="205"/>
        <v>0</v>
      </c>
      <c r="V510" s="359">
        <f t="shared" ca="1" si="206"/>
        <v>1.1104641048568127</v>
      </c>
      <c r="W510" s="357">
        <f t="shared" ca="1" si="207"/>
        <v>148.60829467314898</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980.84055246235175</v>
      </c>
      <c r="AF510" s="344"/>
      <c r="AG510" s="359">
        <f t="shared" ca="1" si="230"/>
        <v>-25.282010691842601</v>
      </c>
      <c r="AH510" s="357">
        <f t="shared" ca="1" si="231"/>
        <v>-15.779950709236974</v>
      </c>
    </row>
    <row r="511" spans="1:34" x14ac:dyDescent="0.25">
      <c r="A511" s="402">
        <f t="shared" ca="1" si="209"/>
        <v>0.1</v>
      </c>
      <c r="B511" s="357">
        <f t="shared" ca="1" si="210"/>
        <v>5.6999999999999353</v>
      </c>
      <c r="C511" s="342"/>
      <c r="D511" s="359">
        <f t="shared" ca="1" si="211"/>
        <v>-3.848004503669161</v>
      </c>
      <c r="E511" s="360">
        <f t="shared" ca="1" si="212"/>
        <v>-24.741119680185911</v>
      </c>
      <c r="F511" s="357">
        <f t="shared" ca="1" si="213"/>
        <v>25.038573076146747</v>
      </c>
      <c r="G511" s="359">
        <f t="shared" ca="1" si="214"/>
        <v>60.03073579541357</v>
      </c>
      <c r="H511" s="360">
        <f t="shared" ca="1" si="215"/>
        <v>231.95170571702104</v>
      </c>
      <c r="I511" s="357">
        <f t="shared" ca="1" si="216"/>
        <v>239.59399622105366</v>
      </c>
      <c r="J511" s="359">
        <f t="shared" ca="1" si="217"/>
        <v>237.14419593020742</v>
      </c>
      <c r="K511" s="360">
        <f t="shared" ca="1" si="218"/>
        <v>1004.1594286324548</v>
      </c>
      <c r="L511" s="357">
        <f t="shared" ca="1" si="203"/>
        <v>1031.7817248695785</v>
      </c>
      <c r="M511" s="359">
        <f t="shared" ca="1" si="219"/>
        <v>1.3175460090496218</v>
      </c>
      <c r="N511" s="357">
        <f t="shared" ca="1" si="220"/>
        <v>75.489825632848692</v>
      </c>
      <c r="O511" s="343"/>
      <c r="P511" s="363">
        <f t="shared" ca="1" si="221"/>
        <v>23</v>
      </c>
      <c r="Q511" s="357">
        <f t="shared" ca="1" si="222"/>
        <v>0</v>
      </c>
      <c r="R511" s="359">
        <f t="shared" ca="1" si="223"/>
        <v>0</v>
      </c>
      <c r="S511" s="360">
        <f t="shared" ca="1" si="224"/>
        <v>9.637999999999975</v>
      </c>
      <c r="T511" s="357">
        <f t="shared" ca="1" si="204"/>
        <v>94.548779999999766</v>
      </c>
      <c r="U511" s="364">
        <f t="shared" ca="1" si="205"/>
        <v>0</v>
      </c>
      <c r="V511" s="359">
        <f t="shared" ca="1" si="206"/>
        <v>1.1078712661171373</v>
      </c>
      <c r="W511" s="357">
        <f t="shared" ca="1" si="207"/>
        <v>145.2249727916365</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1004.1594286324548</v>
      </c>
      <c r="AF511" s="344"/>
      <c r="AG511" s="359">
        <f t="shared" ca="1" si="230"/>
        <v>-24.918595776587601</v>
      </c>
      <c r="AH511" s="357">
        <f t="shared" ca="1" si="231"/>
        <v>-15.418997164676215</v>
      </c>
    </row>
    <row r="512" spans="1:34" x14ac:dyDescent="0.25">
      <c r="A512" s="402">
        <f t="shared" ca="1" si="209"/>
        <v>0.1</v>
      </c>
      <c r="B512" s="357">
        <f t="shared" ca="1" si="210"/>
        <v>5.799999999999935</v>
      </c>
      <c r="C512" s="342"/>
      <c r="D512" s="359">
        <f t="shared" ca="1" si="211"/>
        <v>-3.7753056420501396</v>
      </c>
      <c r="E512" s="360">
        <f t="shared" ca="1" si="212"/>
        <v>-24.3973371644318</v>
      </c>
      <c r="F512" s="357">
        <f t="shared" ca="1" si="213"/>
        <v>24.687709359230976</v>
      </c>
      <c r="G512" s="359">
        <f t="shared" ca="1" si="214"/>
        <v>59.653205231208553</v>
      </c>
      <c r="H512" s="360">
        <f t="shared" ca="1" si="215"/>
        <v>229.51197200057786</v>
      </c>
      <c r="I512" s="357">
        <f t="shared" ca="1" si="216"/>
        <v>237.13761866467058</v>
      </c>
      <c r="J512" s="359">
        <f t="shared" ca="1" si="217"/>
        <v>243.12839298153852</v>
      </c>
      <c r="K512" s="360">
        <f t="shared" ca="1" si="218"/>
        <v>1027.2326125183347</v>
      </c>
      <c r="L512" s="357">
        <f t="shared" ca="1" si="203"/>
        <v>1055.6127394527923</v>
      </c>
      <c r="M512" s="359">
        <f t="shared" ca="1" si="219"/>
        <v>1.3165095160671807</v>
      </c>
      <c r="N512" s="357">
        <f t="shared" ca="1" si="220"/>
        <v>75.430438959459892</v>
      </c>
      <c r="O512" s="343"/>
      <c r="P512" s="363">
        <f t="shared" ca="1" si="221"/>
        <v>23</v>
      </c>
      <c r="Q512" s="357">
        <f t="shared" ca="1" si="222"/>
        <v>0</v>
      </c>
      <c r="R512" s="359">
        <f t="shared" ca="1" si="223"/>
        <v>0</v>
      </c>
      <c r="S512" s="360">
        <f t="shared" ca="1" si="224"/>
        <v>9.637999999999975</v>
      </c>
      <c r="T512" s="357">
        <f t="shared" ca="1" si="204"/>
        <v>94.548779999999766</v>
      </c>
      <c r="U512" s="364">
        <f t="shared" ca="1" si="205"/>
        <v>0</v>
      </c>
      <c r="V512" s="359">
        <f t="shared" ca="1" si="206"/>
        <v>1.105311406305953</v>
      </c>
      <c r="W512" s="357">
        <f t="shared" ca="1" si="207"/>
        <v>141.93375845698392</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1027.2326125183347</v>
      </c>
      <c r="AF512" s="344"/>
      <c r="AG512" s="359">
        <f t="shared" ca="1" si="230"/>
        <v>-24.565049369425253</v>
      </c>
      <c r="AH512" s="357">
        <f t="shared" ca="1" si="231"/>
        <v>-15.06795733467907</v>
      </c>
    </row>
    <row r="513" spans="1:34" x14ac:dyDescent="0.25">
      <c r="A513" s="402">
        <f t="shared" ca="1" si="209"/>
        <v>0.1</v>
      </c>
      <c r="B513" s="357">
        <f t="shared" ca="1" si="210"/>
        <v>5.8999999999999346</v>
      </c>
      <c r="C513" s="342"/>
      <c r="D513" s="359">
        <f t="shared" ca="1" si="211"/>
        <v>-3.7045214228682464</v>
      </c>
      <c r="E513" s="360">
        <f t="shared" ca="1" si="212"/>
        <v>-24.062914219537447</v>
      </c>
      <c r="F513" s="357">
        <f t="shared" ca="1" si="213"/>
        <v>24.346402603039884</v>
      </c>
      <c r="G513" s="359">
        <f t="shared" ca="1" si="214"/>
        <v>59.28275308892173</v>
      </c>
      <c r="H513" s="360">
        <f t="shared" ca="1" si="215"/>
        <v>227.10568057862412</v>
      </c>
      <c r="I513" s="357">
        <f t="shared" ca="1" si="216"/>
        <v>234.71564703888427</v>
      </c>
      <c r="J513" s="359">
        <f t="shared" ca="1" si="217"/>
        <v>249.07519089754504</v>
      </c>
      <c r="K513" s="360">
        <f t="shared" ca="1" si="218"/>
        <v>1050.0634951472948</v>
      </c>
      <c r="L513" s="357">
        <f t="shared" ca="1" si="203"/>
        <v>1079.199608303117</v>
      </c>
      <c r="M513" s="359">
        <f t="shared" ca="1" si="219"/>
        <v>1.3154581344617944</v>
      </c>
      <c r="N513" s="357">
        <f t="shared" ca="1" si="220"/>
        <v>75.370199230813569</v>
      </c>
      <c r="O513" s="343"/>
      <c r="P513" s="363">
        <f t="shared" ca="1" si="221"/>
        <v>23</v>
      </c>
      <c r="Q513" s="357">
        <f t="shared" ca="1" si="222"/>
        <v>0</v>
      </c>
      <c r="R513" s="359">
        <f t="shared" ca="1" si="223"/>
        <v>0</v>
      </c>
      <c r="S513" s="360">
        <f t="shared" ca="1" si="224"/>
        <v>9.637999999999975</v>
      </c>
      <c r="T513" s="357">
        <f t="shared" ca="1" si="204"/>
        <v>94.548779999999766</v>
      </c>
      <c r="U513" s="364">
        <f t="shared" ca="1" si="205"/>
        <v>0</v>
      </c>
      <c r="V513" s="359">
        <f t="shared" ca="1" si="206"/>
        <v>1.10278395235226</v>
      </c>
      <c r="W513" s="357">
        <f t="shared" ca="1" si="207"/>
        <v>138.73136676645166</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1050.0634951472948</v>
      </c>
      <c r="AF513" s="344"/>
      <c r="AG513" s="359">
        <f t="shared" ca="1" si="230"/>
        <v>-24.221013534974276</v>
      </c>
      <c r="AH513" s="357">
        <f t="shared" ca="1" si="231"/>
        <v>-14.726474212179321</v>
      </c>
    </row>
    <row r="514" spans="1:34" x14ac:dyDescent="0.25">
      <c r="A514" s="402">
        <f t="shared" ca="1" si="209"/>
        <v>0.1</v>
      </c>
      <c r="B514" s="357">
        <f t="shared" ca="1" si="210"/>
        <v>5.9999999999999343</v>
      </c>
      <c r="C514" s="342"/>
      <c r="D514" s="359">
        <f t="shared" ca="1" si="211"/>
        <v>-3.6355830061383196</v>
      </c>
      <c r="E514" s="360">
        <f t="shared" ca="1" si="212"/>
        <v>-23.737517024566387</v>
      </c>
      <c r="F514" s="357">
        <f t="shared" ca="1" si="213"/>
        <v>24.01431194696406</v>
      </c>
      <c r="G514" s="359">
        <f t="shared" ca="1" si="214"/>
        <v>58.919194788307898</v>
      </c>
      <c r="H514" s="360">
        <f t="shared" ca="1" si="215"/>
        <v>224.73192887616747</v>
      </c>
      <c r="I514" s="357">
        <f t="shared" ca="1" si="216"/>
        <v>232.32716451354835</v>
      </c>
      <c r="J514" s="359">
        <f t="shared" ca="1" si="217"/>
        <v>254.98528829140653</v>
      </c>
      <c r="K514" s="360">
        <f t="shared" ca="1" si="218"/>
        <v>1072.6553756200344</v>
      </c>
      <c r="L514" s="357">
        <f t="shared" ca="1" si="203"/>
        <v>1102.5457142865364</v>
      </c>
      <c r="M514" s="359">
        <f t="shared" ca="1" si="219"/>
        <v>1.3143916478215469</v>
      </c>
      <c r="N514" s="357">
        <f t="shared" ca="1" si="220"/>
        <v>75.309094047420302</v>
      </c>
      <c r="O514" s="343"/>
      <c r="P514" s="363">
        <f t="shared" ca="1" si="221"/>
        <v>23</v>
      </c>
      <c r="Q514" s="357">
        <f t="shared" ca="1" si="222"/>
        <v>0</v>
      </c>
      <c r="R514" s="359">
        <f t="shared" ca="1" si="223"/>
        <v>0</v>
      </c>
      <c r="S514" s="360">
        <f t="shared" ca="1" si="224"/>
        <v>9.637999999999975</v>
      </c>
      <c r="T514" s="357">
        <f t="shared" ca="1" si="204"/>
        <v>94.548779999999766</v>
      </c>
      <c r="U514" s="364">
        <f t="shared" ca="1" si="205"/>
        <v>0</v>
      </c>
      <c r="V514" s="359">
        <f t="shared" ca="1" si="206"/>
        <v>1.1002883476987173</v>
      </c>
      <c r="W514" s="357">
        <f t="shared" ca="1" si="207"/>
        <v>135.61466029714845</v>
      </c>
      <c r="X514" s="343"/>
      <c r="Y514" s="367" t="str">
        <f t="shared" ca="1" si="225"/>
        <v/>
      </c>
      <c r="Z514" s="368" t="str">
        <f t="shared" ca="1" si="226"/>
        <v/>
      </c>
      <c r="AA514" s="369" t="str">
        <f t="shared" ca="1" si="227"/>
        <v/>
      </c>
      <c r="AB514" s="344"/>
      <c r="AC514" s="363">
        <f t="shared" ca="1" si="228"/>
        <v>5.9999999999999343</v>
      </c>
      <c r="AD514" s="376">
        <f t="shared" ca="1" si="229"/>
        <v>254.98528829140653</v>
      </c>
      <c r="AE514" s="377">
        <f t="shared" ca="1" si="208"/>
        <v>1072.6553756200344</v>
      </c>
      <c r="AF514" s="344"/>
      <c r="AG514" s="359">
        <f t="shared" ca="1" si="230"/>
        <v>-23.886146490562716</v>
      </c>
      <c r="AH514" s="357">
        <f t="shared" ca="1" si="231"/>
        <v>-14.394206968920109</v>
      </c>
    </row>
    <row r="515" spans="1:34" x14ac:dyDescent="0.25">
      <c r="A515" s="402">
        <f t="shared" ca="1" si="209"/>
        <v>0.1</v>
      </c>
      <c r="B515" s="357">
        <f t="shared" ca="1" si="210"/>
        <v>6.0999999999999339</v>
      </c>
      <c r="C515" s="342"/>
      <c r="D515" s="359">
        <f t="shared" ca="1" si="211"/>
        <v>-3.5684246393126182</v>
      </c>
      <c r="E515" s="360">
        <f t="shared" ca="1" si="212"/>
        <v>-23.420826745397171</v>
      </c>
      <c r="F515" s="357">
        <f t="shared" ca="1" si="213"/>
        <v>23.691111832169568</v>
      </c>
      <c r="G515" s="359">
        <f t="shared" ca="1" si="214"/>
        <v>58.562352324376633</v>
      </c>
      <c r="H515" s="360">
        <f t="shared" ca="1" si="215"/>
        <v>222.38984620162776</v>
      </c>
      <c r="I515" s="357">
        <f t="shared" ca="1" si="216"/>
        <v>229.97128691066646</v>
      </c>
      <c r="J515" s="359">
        <f t="shared" ca="1" si="217"/>
        <v>260.85936564704076</v>
      </c>
      <c r="K515" s="360">
        <f t="shared" ca="1" si="218"/>
        <v>1095.0114643739241</v>
      </c>
      <c r="L515" s="357">
        <f t="shared" ca="1" si="203"/>
        <v>1125.654350036503</v>
      </c>
      <c r="M515" s="359">
        <f t="shared" ca="1" si="219"/>
        <v>1.3133098345935199</v>
      </c>
      <c r="N515" s="357">
        <f t="shared" ca="1" si="220"/>
        <v>75.247110715232935</v>
      </c>
      <c r="O515" s="343"/>
      <c r="P515" s="363">
        <f t="shared" ca="1" si="221"/>
        <v>23</v>
      </c>
      <c r="Q515" s="357">
        <f t="shared" ca="1" si="222"/>
        <v>0</v>
      </c>
      <c r="R515" s="359">
        <f t="shared" ca="1" si="223"/>
        <v>0</v>
      </c>
      <c r="S515" s="360">
        <f t="shared" ca="1" si="224"/>
        <v>9.637999999999975</v>
      </c>
      <c r="T515" s="357">
        <f t="shared" ca="1" si="204"/>
        <v>94.548779999999766</v>
      </c>
      <c r="U515" s="364">
        <f t="shared" ca="1" si="205"/>
        <v>0</v>
      </c>
      <c r="V515" s="359">
        <f t="shared" ca="1" si="206"/>
        <v>1.09782405168412</v>
      </c>
      <c r="W515" s="357">
        <f t="shared" ca="1" si="207"/>
        <v>132.58064118694659</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1095.0114643739241</v>
      </c>
      <c r="AF515" s="344"/>
      <c r="AG515" s="359">
        <f t="shared" ca="1" si="230"/>
        <v>-23.560121728509692</v>
      </c>
      <c r="AH515" s="357">
        <f t="shared" ca="1" si="231"/>
        <v>-14.070830078558705</v>
      </c>
    </row>
    <row r="516" spans="1:34" x14ac:dyDescent="0.25">
      <c r="A516" s="402">
        <f t="shared" ca="1" si="209"/>
        <v>0.1</v>
      </c>
      <c r="B516" s="357">
        <f t="shared" ca="1" si="210"/>
        <v>6.1999999999999336</v>
      </c>
      <c r="C516" s="342"/>
      <c r="D516" s="359">
        <f t="shared" ca="1" si="211"/>
        <v>-3.502983491463131</v>
      </c>
      <c r="E516" s="360">
        <f t="shared" ca="1" si="212"/>
        <v>-23.112538729972698</v>
      </c>
      <c r="F516" s="357">
        <f t="shared" ca="1" si="213"/>
        <v>23.376491179942963</v>
      </c>
      <c r="G516" s="359">
        <f t="shared" ca="1" si="214"/>
        <v>58.212053975230319</v>
      </c>
      <c r="H516" s="360">
        <f t="shared" ca="1" si="215"/>
        <v>220.07859232863049</v>
      </c>
      <c r="I516" s="357">
        <f t="shared" ca="1" si="216"/>
        <v>227.64716125918781</v>
      </c>
      <c r="J516" s="359">
        <f t="shared" ca="1" si="217"/>
        <v>266.69808596202108</v>
      </c>
      <c r="K516" s="360">
        <f t="shared" ca="1" si="218"/>
        <v>1117.1348863004371</v>
      </c>
      <c r="L516" s="357">
        <f t="shared" ref="L516:L579" ca="1" si="232">SQRT(pos_x^2+pos_z^2)</f>
        <v>1148.5287211233754</v>
      </c>
      <c r="M516" s="359">
        <f t="shared" ca="1" si="219"/>
        <v>1.3122124679546419</v>
      </c>
      <c r="N516" s="357">
        <f t="shared" ca="1" si="220"/>
        <v>75.184236238246768</v>
      </c>
      <c r="O516" s="343"/>
      <c r="P516" s="363">
        <f t="shared" ca="1" si="221"/>
        <v>23</v>
      </c>
      <c r="Q516" s="357">
        <f t="shared" ca="1" si="222"/>
        <v>0</v>
      </c>
      <c r="R516" s="359">
        <f t="shared" ca="1" si="223"/>
        <v>0</v>
      </c>
      <c r="S516" s="360">
        <f t="shared" ca="1" si="224"/>
        <v>9.637999999999975</v>
      </c>
      <c r="T516" s="357">
        <f t="shared" ref="T516:T579" ca="1" si="233">m*g</f>
        <v>94.548779999999766</v>
      </c>
      <c r="U516" s="364">
        <f t="shared" ref="U516:U579" ca="1" si="234">IF(pos_xz&lt;L_rampe,Poids*COS(Beta),0)</f>
        <v>0</v>
      </c>
      <c r="V516" s="359">
        <f t="shared" ref="V516:V579" ca="1" si="235">Rho_moyen*(20000-Alt_rampe-pos_z)/(20000+Alt_rampe+pos_z)</f>
        <v>1.0953905389546161</v>
      </c>
      <c r="W516" s="357">
        <f t="shared" ref="W516:W579" ca="1" si="236">1/2*Rho*Sref*Cx*vit_xz^2</f>
        <v>129.62644370969878</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1117.1348863004371</v>
      </c>
      <c r="AF516" s="344"/>
      <c r="AG516" s="359">
        <f t="shared" ca="1" si="230"/>
        <v>-23.242627193618645</v>
      </c>
      <c r="AH516" s="357">
        <f t="shared" ca="1" si="231"/>
        <v>-13.756032495014209</v>
      </c>
    </row>
    <row r="517" spans="1:34" x14ac:dyDescent="0.25">
      <c r="A517" s="402">
        <f t="shared" ref="A517:A580" ca="1" si="238">IF(B516+0.01&lt;=T_ini+ROUNDUP(Temps_fin_propu,0), 0.01, IF(K516&gt;0, 0.1, 0.0001))</f>
        <v>0.1</v>
      </c>
      <c r="B517" s="357">
        <f t="shared" ref="B517:B580" ca="1" si="239">B516+pas</f>
        <v>6.2999999999999332</v>
      </c>
      <c r="C517" s="342"/>
      <c r="D517" s="359">
        <f t="shared" ref="D517:D580" ca="1" si="240">IF(AND(L516&lt;L_rampe,Poussee&lt;Poids*SIN(M516)),0,(-W516+Poussee)/m*COS(M516)-U516/m*SIN(M516))</f>
        <v>-3.4391994978153702</v>
      </c>
      <c r="E517" s="360">
        <f t="shared" ref="E517:E580" ca="1" si="241">IF(AND(L516&lt;L_rampe,Poussee&lt;Poids*SIN(M516)),0,(-W516+Poussee)/m*SIN(M516)+U516/m*COS(M516)-Poids/m)</f>
        <v>-22.812361753780475</v>
      </c>
      <c r="F517" s="357">
        <f t="shared" ref="F517:F580" ca="1" si="242">SQRT(acc_x^2+acc_z^2)</f>
        <v>23.070152621322634</v>
      </c>
      <c r="G517" s="359">
        <f t="shared" ref="G517:G580" ca="1" si="243">G516+acc_x*pas</f>
        <v>57.868134025448782</v>
      </c>
      <c r="H517" s="360">
        <f t="shared" ref="H517:H580" ca="1" si="244">H516+acc_z*pas</f>
        <v>217.79735615325245</v>
      </c>
      <c r="I517" s="357">
        <f t="shared" ref="I517:I580" ca="1" si="245">SQRT(vit_x^2+vit_z^2)</f>
        <v>225.35396442692993</v>
      </c>
      <c r="J517" s="359">
        <f t="shared" ref="J517:J580" ca="1" si="246">J516+0.5*(vit_x+G516)*pas*(K516&gt;=0)</f>
        <v>272.50209536205506</v>
      </c>
      <c r="K517" s="360">
        <f t="shared" ref="K517:K580" ca="1" si="247">K516+0.5*(vit_z+H516)*pas</f>
        <v>1139.0286837245312</v>
      </c>
      <c r="L517" s="357">
        <f t="shared" ca="1" si="232"/>
        <v>1171.1719490851669</v>
      </c>
      <c r="M517" s="359">
        <f t="shared" ref="M517:M580" ca="1" si="248">IF(AND(L516&gt;L_rampe,G517&gt;0),ATAN2(G517,H517),$M$4)</f>
        <v>1.3110993156782305</v>
      </c>
      <c r="N517" s="357">
        <f t="shared" ref="N517:N580" ca="1" si="249">DEGREES(Beta)</f>
        <v>75.120457310853013</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9.637999999999975</v>
      </c>
      <c r="T517" s="357">
        <f t="shared" ca="1" si="233"/>
        <v>94.548779999999766</v>
      </c>
      <c r="U517" s="364">
        <f t="shared" ca="1" si="234"/>
        <v>0</v>
      </c>
      <c r="V517" s="359">
        <f t="shared" ca="1" si="235"/>
        <v>1.0929872989020699</v>
      </c>
      <c r="W517" s="357">
        <f t="shared" ca="1" si="236"/>
        <v>126.74932730967681</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1139.0286837245312</v>
      </c>
      <c r="AF517" s="344"/>
      <c r="AG517" s="359">
        <f t="shared" ref="AG517:AG580" ca="1" si="259">IF(AND(L516&lt;L_rampe,Poussee&lt;Poids*SIN(M516)),0,(-W516+Poussee)/m-Poids*SIN(M516)/m)</f>
        <v>-22.933364511924928</v>
      </c>
      <c r="AH517" s="357">
        <f t="shared" ref="AH517:AH580" ca="1" si="260">IF(AND(L516&lt;L_rampe,Poussee&lt;Poids*SIN(M516)), g*SIN(M516), (-W516+Poussee)/m)</f>
        <v>-13.449516882102003</v>
      </c>
    </row>
    <row r="518" spans="1:34" x14ac:dyDescent="0.25">
      <c r="A518" s="402">
        <f t="shared" ca="1" si="238"/>
        <v>0.1</v>
      </c>
      <c r="B518" s="357">
        <f t="shared" ca="1" si="239"/>
        <v>6.3999999999999329</v>
      </c>
      <c r="C518" s="342"/>
      <c r="D518" s="359">
        <f t="shared" ca="1" si="240"/>
        <v>-3.3770152138991221</v>
      </c>
      <c r="E518" s="360">
        <f t="shared" ca="1" si="241"/>
        <v>-22.520017311999112</v>
      </c>
      <c r="F518" s="357">
        <f t="shared" ca="1" si="242"/>
        <v>22.7718117743768</v>
      </c>
      <c r="G518" s="359">
        <f t="shared" ca="1" si="243"/>
        <v>57.530432504058872</v>
      </c>
      <c r="H518" s="360">
        <f t="shared" ca="1" si="244"/>
        <v>215.54535442205253</v>
      </c>
      <c r="I518" s="357">
        <f t="shared" ca="1" si="245"/>
        <v>223.09090182486671</v>
      </c>
      <c r="J518" s="359">
        <f t="shared" ca="1" si="246"/>
        <v>278.27202368853045</v>
      </c>
      <c r="K518" s="360">
        <f t="shared" ca="1" si="247"/>
        <v>1160.6958192532966</v>
      </c>
      <c r="L518" s="357">
        <f t="shared" ca="1" si="232"/>
        <v>1193.5870743267085</v>
      </c>
      <c r="M518" s="359">
        <f t="shared" ca="1" si="248"/>
        <v>1.3099701399960813</v>
      </c>
      <c r="N518" s="357">
        <f t="shared" ca="1" si="249"/>
        <v>75.055760309937057</v>
      </c>
      <c r="O518" s="343"/>
      <c r="P518" s="363">
        <f t="shared" ca="1" si="250"/>
        <v>23</v>
      </c>
      <c r="Q518" s="357">
        <f t="shared" ca="1" si="251"/>
        <v>0</v>
      </c>
      <c r="R518" s="359">
        <f t="shared" ca="1" si="252"/>
        <v>0</v>
      </c>
      <c r="S518" s="360">
        <f t="shared" ca="1" si="253"/>
        <v>9.637999999999975</v>
      </c>
      <c r="T518" s="357">
        <f t="shared" ca="1" si="233"/>
        <v>94.548779999999766</v>
      </c>
      <c r="U518" s="364">
        <f t="shared" ca="1" si="234"/>
        <v>0</v>
      </c>
      <c r="V518" s="359">
        <f t="shared" ca="1" si="235"/>
        <v>1.0906138351280867</v>
      </c>
      <c r="W518" s="357">
        <f t="shared" ca="1" si="236"/>
        <v>123.9466700629393</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1160.6958192532966</v>
      </c>
      <c r="AF518" s="344"/>
      <c r="AG518" s="359">
        <f t="shared" ca="1" si="259"/>
        <v>-22.632048267056341</v>
      </c>
      <c r="AH518" s="357">
        <f t="shared" ca="1" si="260"/>
        <v>-13.150998890815226</v>
      </c>
    </row>
    <row r="519" spans="1:34" x14ac:dyDescent="0.25">
      <c r="A519" s="402">
        <f t="shared" ca="1" si="238"/>
        <v>0.1</v>
      </c>
      <c r="B519" s="357">
        <f t="shared" ca="1" si="239"/>
        <v>6.4999999999999325</v>
      </c>
      <c r="C519" s="342"/>
      <c r="D519" s="359">
        <f t="shared" ca="1" si="240"/>
        <v>-3.316375678639901</v>
      </c>
      <c r="E519" s="360">
        <f t="shared" ca="1" si="241"/>
        <v>-22.235238955029232</v>
      </c>
      <c r="F519" s="357">
        <f t="shared" ca="1" si="242"/>
        <v>22.481196565777449</v>
      </c>
      <c r="G519" s="359">
        <f t="shared" ca="1" si="243"/>
        <v>57.198794936194879</v>
      </c>
      <c r="H519" s="360">
        <f t="shared" ca="1" si="244"/>
        <v>213.3218305265496</v>
      </c>
      <c r="I519" s="357">
        <f t="shared" ca="1" si="245"/>
        <v>220.85720617935658</v>
      </c>
      <c r="J519" s="359">
        <f t="shared" ca="1" si="246"/>
        <v>284.00848506054314</v>
      </c>
      <c r="K519" s="360">
        <f t="shared" ca="1" si="247"/>
        <v>1182.1391785007268</v>
      </c>
      <c r="L519" s="357">
        <f t="shared" ca="1" si="232"/>
        <v>1215.7770588939231</v>
      </c>
      <c r="M519" s="359">
        <f t="shared" ca="1" si="248"/>
        <v>1.3088246974559494</v>
      </c>
      <c r="N519" s="357">
        <f t="shared" ca="1" si="249"/>
        <v>74.990131286712753</v>
      </c>
      <c r="O519" s="343"/>
      <c r="P519" s="363">
        <f t="shared" ca="1" si="250"/>
        <v>23</v>
      </c>
      <c r="Q519" s="357">
        <f t="shared" ca="1" si="251"/>
        <v>0</v>
      </c>
      <c r="R519" s="359">
        <f t="shared" ca="1" si="252"/>
        <v>0</v>
      </c>
      <c r="S519" s="360">
        <f t="shared" ca="1" si="253"/>
        <v>9.637999999999975</v>
      </c>
      <c r="T519" s="357">
        <f t="shared" ca="1" si="233"/>
        <v>94.548779999999766</v>
      </c>
      <c r="U519" s="364">
        <f t="shared" ca="1" si="234"/>
        <v>0</v>
      </c>
      <c r="V519" s="359">
        <f t="shared" ca="1" si="235"/>
        <v>1.0882696649323134</v>
      </c>
      <c r="W519" s="357">
        <f t="shared" ca="1" si="236"/>
        <v>121.21596253587582</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1182.1391785007268</v>
      </c>
      <c r="AF519" s="344"/>
      <c r="AG519" s="359">
        <f t="shared" ca="1" si="259"/>
        <v>-22.338405320854811</v>
      </c>
      <c r="AH519" s="357">
        <f t="shared" ca="1" si="260"/>
        <v>-12.860206480902638</v>
      </c>
    </row>
    <row r="520" spans="1:34" x14ac:dyDescent="0.25">
      <c r="A520" s="402">
        <f t="shared" ca="1" si="238"/>
        <v>0.1</v>
      </c>
      <c r="B520" s="357">
        <f t="shared" ca="1" si="239"/>
        <v>6.5999999999999321</v>
      </c>
      <c r="C520" s="342"/>
      <c r="D520" s="359">
        <f t="shared" ca="1" si="240"/>
        <v>-3.2572282857680874</v>
      </c>
      <c r="E520" s="360">
        <f t="shared" ca="1" si="241"/>
        <v>-21.957771664385479</v>
      </c>
      <c r="F520" s="357">
        <f t="shared" ca="1" si="242"/>
        <v>22.198046593583356</v>
      </c>
      <c r="G520" s="359">
        <f t="shared" ca="1" si="243"/>
        <v>56.873072107618071</v>
      </c>
      <c r="H520" s="360">
        <f t="shared" ca="1" si="244"/>
        <v>211.12605336011106</v>
      </c>
      <c r="I520" s="357">
        <f t="shared" ca="1" si="245"/>
        <v>218.6521363681928</v>
      </c>
      <c r="J520" s="359">
        <f t="shared" ca="1" si="246"/>
        <v>289.71207841273377</v>
      </c>
      <c r="K520" s="360">
        <f t="shared" ca="1" si="247"/>
        <v>1203.3615726950597</v>
      </c>
      <c r="L520" s="357">
        <f t="shared" ca="1" si="232"/>
        <v>1237.7447891295496</v>
      </c>
      <c r="M520" s="359">
        <f t="shared" ca="1" si="248"/>
        <v>1.3076627387742621</v>
      </c>
      <c r="N520" s="357">
        <f t="shared" ca="1" si="249"/>
        <v>74.923555958283487</v>
      </c>
      <c r="O520" s="343"/>
      <c r="P520" s="363">
        <f t="shared" ca="1" si="250"/>
        <v>23</v>
      </c>
      <c r="Q520" s="357">
        <f t="shared" ca="1" si="251"/>
        <v>0</v>
      </c>
      <c r="R520" s="359">
        <f t="shared" ca="1" si="252"/>
        <v>0</v>
      </c>
      <c r="S520" s="360">
        <f t="shared" ca="1" si="253"/>
        <v>9.637999999999975</v>
      </c>
      <c r="T520" s="357">
        <f t="shared" ca="1" si="233"/>
        <v>94.548779999999766</v>
      </c>
      <c r="U520" s="364">
        <f t="shared" ca="1" si="234"/>
        <v>0</v>
      </c>
      <c r="V520" s="359">
        <f t="shared" ca="1" si="235"/>
        <v>1.085954318823694</v>
      </c>
      <c r="W520" s="357">
        <f t="shared" ca="1" si="236"/>
        <v>118.55480201349083</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1203.3615726950597</v>
      </c>
      <c r="AF520" s="344"/>
      <c r="AG520" s="359">
        <f t="shared" ca="1" si="259"/>
        <v>-22.052174175170595</v>
      </c>
      <c r="AH520" s="357">
        <f t="shared" ca="1" si="260"/>
        <v>-12.576879283655959</v>
      </c>
    </row>
    <row r="521" spans="1:34" x14ac:dyDescent="0.25">
      <c r="A521" s="402">
        <f t="shared" ca="1" si="238"/>
        <v>0.1</v>
      </c>
      <c r="B521" s="357">
        <f t="shared" ca="1" si="239"/>
        <v>6.6999999999999318</v>
      </c>
      <c r="C521" s="342"/>
      <c r="D521" s="359">
        <f t="shared" ca="1" si="240"/>
        <v>-3.1995226629712157</v>
      </c>
      <c r="E521" s="360">
        <f t="shared" ca="1" si="241"/>
        <v>-21.687371266161357</v>
      </c>
      <c r="F521" s="357">
        <f t="shared" ca="1" si="242"/>
        <v>21.922112528385298</v>
      </c>
      <c r="G521" s="359">
        <f t="shared" ca="1" si="243"/>
        <v>56.553119841320949</v>
      </c>
      <c r="H521" s="360">
        <f t="shared" ca="1" si="244"/>
        <v>208.95731623349494</v>
      </c>
      <c r="I521" s="357">
        <f t="shared" ca="1" si="245"/>
        <v>216.47497631664407</v>
      </c>
      <c r="J521" s="359">
        <f t="shared" ca="1" si="246"/>
        <v>295.38338801018074</v>
      </c>
      <c r="K521" s="360">
        <f t="shared" ca="1" si="247"/>
        <v>1224.3657411747402</v>
      </c>
      <c r="L521" s="357">
        <f t="shared" ca="1" si="232"/>
        <v>1259.4930782162892</v>
      </c>
      <c r="M521" s="359">
        <f t="shared" ca="1" si="248"/>
        <v>1.3064840086838967</v>
      </c>
      <c r="N521" s="357">
        <f t="shared" ca="1" si="249"/>
        <v>74.856019698920477</v>
      </c>
      <c r="O521" s="343"/>
      <c r="P521" s="363">
        <f t="shared" ca="1" si="250"/>
        <v>23</v>
      </c>
      <c r="Q521" s="357">
        <f t="shared" ca="1" si="251"/>
        <v>0</v>
      </c>
      <c r="R521" s="359">
        <f t="shared" ca="1" si="252"/>
        <v>0</v>
      </c>
      <c r="S521" s="360">
        <f t="shared" ca="1" si="253"/>
        <v>9.637999999999975</v>
      </c>
      <c r="T521" s="357">
        <f t="shared" ca="1" si="233"/>
        <v>94.548779999999766</v>
      </c>
      <c r="U521" s="364">
        <f t="shared" ca="1" si="234"/>
        <v>0</v>
      </c>
      <c r="V521" s="359">
        <f t="shared" ca="1" si="235"/>
        <v>1.0836673400534755</v>
      </c>
      <c r="W521" s="357">
        <f t="shared" ca="1" si="236"/>
        <v>115.96088707211584</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1224.3657411747402</v>
      </c>
      <c r="AF521" s="344"/>
      <c r="AG521" s="359">
        <f t="shared" ca="1" si="259"/>
        <v>-21.773104371980804</v>
      </c>
      <c r="AH521" s="357">
        <f t="shared" ca="1" si="260"/>
        <v>-12.300768003059881</v>
      </c>
    </row>
    <row r="522" spans="1:34" x14ac:dyDescent="0.25">
      <c r="A522" s="402">
        <f t="shared" ca="1" si="238"/>
        <v>0.1</v>
      </c>
      <c r="B522" s="357">
        <f t="shared" ca="1" si="239"/>
        <v>6.7999999999999314</v>
      </c>
      <c r="C522" s="342"/>
      <c r="D522" s="359">
        <f t="shared" ca="1" si="240"/>
        <v>-3.1432105582593826</v>
      </c>
      <c r="E522" s="360">
        <f t="shared" ca="1" si="241"/>
        <v>-21.423803879494777</v>
      </c>
      <c r="F522" s="357">
        <f t="shared" ca="1" si="242"/>
        <v>21.653155550187336</v>
      </c>
      <c r="G522" s="359">
        <f t="shared" ca="1" si="243"/>
        <v>56.238798785495014</v>
      </c>
      <c r="H522" s="360">
        <f t="shared" ca="1" si="244"/>
        <v>206.81493584554545</v>
      </c>
      <c r="I522" s="357">
        <f t="shared" ca="1" si="245"/>
        <v>214.32503394991562</v>
      </c>
      <c r="J522" s="359">
        <f t="shared" ca="1" si="246"/>
        <v>301.02298394152155</v>
      </c>
      <c r="K522" s="360">
        <f t="shared" ca="1" si="247"/>
        <v>1245.1543537786922</v>
      </c>
      <c r="L522" s="357">
        <f t="shared" ca="1" si="232"/>
        <v>1281.024668613017</v>
      </c>
      <c r="M522" s="359">
        <f t="shared" ca="1" si="248"/>
        <v>1.3052882457768471</v>
      </c>
      <c r="N522" s="357">
        <f t="shared" ca="1" si="249"/>
        <v>74.787507531048234</v>
      </c>
      <c r="O522" s="343"/>
      <c r="P522" s="363">
        <f t="shared" ca="1" si="250"/>
        <v>23</v>
      </c>
      <c r="Q522" s="357">
        <f t="shared" ca="1" si="251"/>
        <v>0</v>
      </c>
      <c r="R522" s="359">
        <f t="shared" ca="1" si="252"/>
        <v>0</v>
      </c>
      <c r="S522" s="360">
        <f t="shared" ca="1" si="253"/>
        <v>9.637999999999975</v>
      </c>
      <c r="T522" s="357">
        <f t="shared" ca="1" si="233"/>
        <v>94.548779999999766</v>
      </c>
      <c r="U522" s="364">
        <f t="shared" ca="1" si="234"/>
        <v>0</v>
      </c>
      <c r="V522" s="359">
        <f t="shared" ca="1" si="235"/>
        <v>1.0814082841687989</v>
      </c>
      <c r="W522" s="357">
        <f t="shared" ca="1" si="236"/>
        <v>113.43201247317214</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1245.1543537786922</v>
      </c>
      <c r="AF522" s="344"/>
      <c r="AG522" s="359">
        <f t="shared" ca="1" si="259"/>
        <v>-21.500955929204324</v>
      </c>
      <c r="AH522" s="357">
        <f t="shared" ca="1" si="260"/>
        <v>-12.031633852678578</v>
      </c>
    </row>
    <row r="523" spans="1:34" x14ac:dyDescent="0.25">
      <c r="A523" s="402">
        <f t="shared" ca="1" si="238"/>
        <v>0.1</v>
      </c>
      <c r="B523" s="357">
        <f t="shared" ca="1" si="239"/>
        <v>6.8999999999999311</v>
      </c>
      <c r="C523" s="342"/>
      <c r="D523" s="359">
        <f t="shared" ca="1" si="240"/>
        <v>-3.0882457330542703</v>
      </c>
      <c r="E523" s="360">
        <f t="shared" ca="1" si="241"/>
        <v>-21.166845397658623</v>
      </c>
      <c r="F523" s="357">
        <f t="shared" ca="1" si="242"/>
        <v>21.390946818598515</v>
      </c>
      <c r="G523" s="359">
        <f t="shared" ca="1" si="243"/>
        <v>55.929974212189585</v>
      </c>
      <c r="H523" s="360">
        <f t="shared" ca="1" si="244"/>
        <v>204.69825130577959</v>
      </c>
      <c r="I523" s="357">
        <f t="shared" ca="1" si="245"/>
        <v>212.20164019870413</v>
      </c>
      <c r="J523" s="359">
        <f t="shared" ca="1" si="246"/>
        <v>306.63142259140579</v>
      </c>
      <c r="K523" s="360">
        <f t="shared" ca="1" si="247"/>
        <v>1265.7300131362585</v>
      </c>
      <c r="L523" s="357">
        <f t="shared" ca="1" si="232"/>
        <v>1302.3422343893876</v>
      </c>
      <c r="M523" s="359">
        <f t="shared" ca="1" si="248"/>
        <v>1.3040751823415999</v>
      </c>
      <c r="N523" s="357">
        <f t="shared" ca="1" si="249"/>
        <v>74.718004115926931</v>
      </c>
      <c r="O523" s="343"/>
      <c r="P523" s="363">
        <f t="shared" ca="1" si="250"/>
        <v>23</v>
      </c>
      <c r="Q523" s="357">
        <f t="shared" ca="1" si="251"/>
        <v>0</v>
      </c>
      <c r="R523" s="359">
        <f t="shared" ca="1" si="252"/>
        <v>0</v>
      </c>
      <c r="S523" s="360">
        <f t="shared" ca="1" si="253"/>
        <v>9.637999999999975</v>
      </c>
      <c r="T523" s="357">
        <f t="shared" ca="1" si="233"/>
        <v>94.548779999999766</v>
      </c>
      <c r="U523" s="364">
        <f t="shared" ca="1" si="234"/>
        <v>0</v>
      </c>
      <c r="V523" s="359">
        <f t="shared" ca="1" si="235"/>
        <v>1.0791767185858065</v>
      </c>
      <c r="W523" s="357">
        <f t="shared" ca="1" si="236"/>
        <v>110.96606435638529</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1265.7300131362585</v>
      </c>
      <c r="AF523" s="344"/>
      <c r="AG523" s="359">
        <f t="shared" ca="1" si="259"/>
        <v>-21.235498809785874</v>
      </c>
      <c r="AH523" s="357">
        <f t="shared" ca="1" si="260"/>
        <v>-11.769248025853127</v>
      </c>
    </row>
    <row r="524" spans="1:34" x14ac:dyDescent="0.25">
      <c r="A524" s="402">
        <f t="shared" ca="1" si="238"/>
        <v>0.1</v>
      </c>
      <c r="B524" s="357">
        <f t="shared" ca="1" si="239"/>
        <v>6.9999999999999307</v>
      </c>
      <c r="C524" s="342"/>
      <c r="D524" s="359">
        <f t="shared" ca="1" si="240"/>
        <v>-3.0345838615494811</v>
      </c>
      <c r="E524" s="360">
        <f t="shared" ca="1" si="241"/>
        <v>-20.916280999581396</v>
      </c>
      <c r="F524" s="357">
        <f t="shared" ca="1" si="242"/>
        <v>21.135266974093945</v>
      </c>
      <c r="G524" s="359">
        <f t="shared" ca="1" si="243"/>
        <v>55.626515826034634</v>
      </c>
      <c r="H524" s="360">
        <f t="shared" ca="1" si="244"/>
        <v>202.60662320582145</v>
      </c>
      <c r="I524" s="357">
        <f t="shared" ca="1" si="245"/>
        <v>210.104148054744</v>
      </c>
      <c r="J524" s="359">
        <f t="shared" ca="1" si="246"/>
        <v>312.209247093317</v>
      </c>
      <c r="K524" s="360">
        <f t="shared" ca="1" si="247"/>
        <v>1286.0952568618386</v>
      </c>
      <c r="L524" s="357">
        <f t="shared" ca="1" si="232"/>
        <v>1323.4483834638563</v>
      </c>
      <c r="M524" s="359">
        <f t="shared" ca="1" si="248"/>
        <v>1.3028445441950265</v>
      </c>
      <c r="N524" s="357">
        <f t="shared" ca="1" si="249"/>
        <v>74.64749374402048</v>
      </c>
      <c r="O524" s="343"/>
      <c r="P524" s="363">
        <f t="shared" ca="1" si="250"/>
        <v>23</v>
      </c>
      <c r="Q524" s="357">
        <f t="shared" ca="1" si="251"/>
        <v>0</v>
      </c>
      <c r="R524" s="359">
        <f t="shared" ca="1" si="252"/>
        <v>0</v>
      </c>
      <c r="S524" s="360">
        <f t="shared" ca="1" si="253"/>
        <v>9.637999999999975</v>
      </c>
      <c r="T524" s="357">
        <f t="shared" ca="1" si="233"/>
        <v>94.548779999999766</v>
      </c>
      <c r="U524" s="364">
        <f t="shared" ca="1" si="234"/>
        <v>0</v>
      </c>
      <c r="V524" s="359">
        <f t="shared" ca="1" si="235"/>
        <v>1.0769722221812497</v>
      </c>
      <c r="W524" s="357">
        <f t="shared" ca="1" si="236"/>
        <v>108.56101571247609</v>
      </c>
      <c r="X524" s="343"/>
      <c r="Y524" s="367" t="str">
        <f t="shared" ca="1" si="254"/>
        <v/>
      </c>
      <c r="Z524" s="368" t="str">
        <f t="shared" ca="1" si="255"/>
        <v/>
      </c>
      <c r="AA524" s="369" t="str">
        <f t="shared" ca="1" si="256"/>
        <v/>
      </c>
      <c r="AB524" s="344"/>
      <c r="AC524" s="363">
        <f t="shared" ca="1" si="257"/>
        <v>6.9999999999999307</v>
      </c>
      <c r="AD524" s="376">
        <f t="shared" ca="1" si="258"/>
        <v>312.209247093317</v>
      </c>
      <c r="AE524" s="377">
        <f t="shared" ca="1" si="237"/>
        <v>1286.0952568618386</v>
      </c>
      <c r="AF524" s="344"/>
      <c r="AG524" s="359">
        <f t="shared" ca="1" si="259"/>
        <v>-20.976512421806376</v>
      </c>
      <c r="AH524" s="357">
        <f t="shared" ca="1" si="260"/>
        <v>-11.513391196968829</v>
      </c>
    </row>
    <row r="525" spans="1:34" x14ac:dyDescent="0.25">
      <c r="A525" s="402">
        <f t="shared" ca="1" si="238"/>
        <v>0.1</v>
      </c>
      <c r="B525" s="357">
        <f t="shared" ca="1" si="239"/>
        <v>7.0999999999999304</v>
      </c>
      <c r="C525" s="342"/>
      <c r="D525" s="359">
        <f t="shared" ca="1" si="240"/>
        <v>-2.9821824359239626</v>
      </c>
      <c r="E525" s="360">
        <f t="shared" ca="1" si="241"/>
        <v>-20.671904689768098</v>
      </c>
      <c r="F525" s="357">
        <f t="shared" ca="1" si="242"/>
        <v>20.885905668272795</v>
      </c>
      <c r="G525" s="359">
        <f t="shared" ca="1" si="243"/>
        <v>55.328297582442239</v>
      </c>
      <c r="H525" s="360">
        <f t="shared" ca="1" si="244"/>
        <v>200.53943273684465</v>
      </c>
      <c r="I525" s="357">
        <f t="shared" ca="1" si="245"/>
        <v>208.03193167344941</v>
      </c>
      <c r="J525" s="359">
        <f t="shared" ca="1" si="246"/>
        <v>317.75698776374082</v>
      </c>
      <c r="K525" s="360">
        <f t="shared" ca="1" si="247"/>
        <v>1306.2525596589719</v>
      </c>
      <c r="L525" s="357">
        <f t="shared" ca="1" si="232"/>
        <v>1344.3456597498659</v>
      </c>
      <c r="M525" s="359">
        <f t="shared" ca="1" si="248"/>
        <v>1.3015960505085979</v>
      </c>
      <c r="N525" s="357">
        <f t="shared" ca="1" si="249"/>
        <v>74.575960325039389</v>
      </c>
      <c r="O525" s="343"/>
      <c r="P525" s="363">
        <f t="shared" ca="1" si="250"/>
        <v>23</v>
      </c>
      <c r="Q525" s="357">
        <f t="shared" ca="1" si="251"/>
        <v>0</v>
      </c>
      <c r="R525" s="359">
        <f t="shared" ca="1" si="252"/>
        <v>0</v>
      </c>
      <c r="S525" s="360">
        <f t="shared" ca="1" si="253"/>
        <v>9.637999999999975</v>
      </c>
      <c r="T525" s="357">
        <f t="shared" ca="1" si="233"/>
        <v>94.548779999999766</v>
      </c>
      <c r="U525" s="364">
        <f t="shared" ca="1" si="234"/>
        <v>0</v>
      </c>
      <c r="V525" s="359">
        <f t="shared" ca="1" si="235"/>
        <v>1.0747943849016448</v>
      </c>
      <c r="W525" s="357">
        <f t="shared" ca="1" si="236"/>
        <v>106.21492211684493</v>
      </c>
      <c r="X525" s="343"/>
      <c r="Y525" s="367" t="str">
        <f t="shared" ca="1" si="254"/>
        <v/>
      </c>
      <c r="Z525" s="368" t="str">
        <f t="shared" ca="1" si="255"/>
        <v/>
      </c>
      <c r="AA525" s="369" t="str">
        <f t="shared" ca="1" si="256"/>
        <v/>
      </c>
      <c r="AB525" s="344"/>
      <c r="AC525" s="363" t="e">
        <f t="shared" ca="1" si="257"/>
        <v>#N/A</v>
      </c>
      <c r="AD525" s="376" t="e">
        <f t="shared" ca="1" si="258"/>
        <v>#N/A</v>
      </c>
      <c r="AE525" s="377">
        <f t="shared" ca="1" si="237"/>
        <v>1306.2525596589719</v>
      </c>
      <c r="AF525" s="344"/>
      <c r="AG525" s="359">
        <f t="shared" ca="1" si="259"/>
        <v>-20.723785147545222</v>
      </c>
      <c r="AH525" s="357">
        <f t="shared" ca="1" si="260"/>
        <v>-11.263853051719897</v>
      </c>
    </row>
    <row r="526" spans="1:34" x14ac:dyDescent="0.25">
      <c r="A526" s="402">
        <f t="shared" ca="1" si="238"/>
        <v>0.1</v>
      </c>
      <c r="B526" s="357">
        <f t="shared" ca="1" si="239"/>
        <v>7.19999999999993</v>
      </c>
      <c r="C526" s="342"/>
      <c r="D526" s="359">
        <f t="shared" ca="1" si="240"/>
        <v>-2.9310006770214478</v>
      </c>
      <c r="E526" s="360">
        <f t="shared" ca="1" si="241"/>
        <v>-20.433518864742982</v>
      </c>
      <c r="F526" s="357">
        <f t="shared" ca="1" si="242"/>
        <v>20.642661121195289</v>
      </c>
      <c r="G526" s="359">
        <f t="shared" ca="1" si="243"/>
        <v>55.035197514740098</v>
      </c>
      <c r="H526" s="360">
        <f t="shared" ca="1" si="244"/>
        <v>198.49608085037033</v>
      </c>
      <c r="I526" s="357">
        <f t="shared" ca="1" si="245"/>
        <v>205.98438552094964</v>
      </c>
      <c r="J526" s="359">
        <f t="shared" ca="1" si="246"/>
        <v>323.27516251859993</v>
      </c>
      <c r="K526" s="360">
        <f t="shared" ca="1" si="247"/>
        <v>1326.2043353383326</v>
      </c>
      <c r="L526" s="357">
        <f t="shared" ca="1" si="232"/>
        <v>1365.0365452146752</v>
      </c>
      <c r="M526" s="359">
        <f t="shared" ca="1" si="248"/>
        <v>1.300329413628714</v>
      </c>
      <c r="N526" s="357">
        <f t="shared" ca="1" si="249"/>
        <v>74.503387377646419</v>
      </c>
      <c r="O526" s="343"/>
      <c r="P526" s="363">
        <f t="shared" ca="1" si="250"/>
        <v>23</v>
      </c>
      <c r="Q526" s="357">
        <f t="shared" ca="1" si="251"/>
        <v>0</v>
      </c>
      <c r="R526" s="359">
        <f t="shared" ca="1" si="252"/>
        <v>0</v>
      </c>
      <c r="S526" s="360">
        <f t="shared" ca="1" si="253"/>
        <v>9.637999999999975</v>
      </c>
      <c r="T526" s="357">
        <f t="shared" ca="1" si="233"/>
        <v>94.548779999999766</v>
      </c>
      <c r="U526" s="364">
        <f t="shared" ca="1" si="234"/>
        <v>0</v>
      </c>
      <c r="V526" s="359">
        <f t="shared" ca="1" si="235"/>
        <v>1.072642807389083</v>
      </c>
      <c r="W526" s="357">
        <f t="shared" ca="1" si="236"/>
        <v>103.92591770713399</v>
      </c>
      <c r="X526" s="343"/>
      <c r="Y526" s="367" t="str">
        <f t="shared" ca="1" si="254"/>
        <v/>
      </c>
      <c r="Z526" s="368" t="str">
        <f t="shared" ca="1" si="255"/>
        <v/>
      </c>
      <c r="AA526" s="369" t="str">
        <f t="shared" ca="1" si="256"/>
        <v/>
      </c>
      <c r="AB526" s="344"/>
      <c r="AC526" s="363" t="e">
        <f t="shared" ca="1" si="257"/>
        <v>#N/A</v>
      </c>
      <c r="AD526" s="376" t="e">
        <f t="shared" ca="1" si="258"/>
        <v>#N/A</v>
      </c>
      <c r="AE526" s="377">
        <f t="shared" ca="1" si="237"/>
        <v>1326.2043353383326</v>
      </c>
      <c r="AF526" s="344"/>
      <c r="AG526" s="359">
        <f t="shared" ca="1" si="259"/>
        <v>-20.477113899574647</v>
      </c>
      <c r="AH526" s="357">
        <f t="shared" ca="1" si="260"/>
        <v>-11.020431844453746</v>
      </c>
    </row>
    <row r="527" spans="1:34" x14ac:dyDescent="0.25">
      <c r="A527" s="402">
        <f t="shared" ca="1" si="238"/>
        <v>0.1</v>
      </c>
      <c r="B527" s="357">
        <f t="shared" ca="1" si="239"/>
        <v>7.2999999999999297</v>
      </c>
      <c r="C527" s="342"/>
      <c r="D527" s="359">
        <f t="shared" ca="1" si="240"/>
        <v>-2.8809994501375664</v>
      </c>
      <c r="E527" s="360">
        <f t="shared" ca="1" si="241"/>
        <v>-20.200933904274908</v>
      </c>
      <c r="F527" s="357">
        <f t="shared" ca="1" si="242"/>
        <v>20.405339704022975</v>
      </c>
      <c r="G527" s="359">
        <f t="shared" ca="1" si="243"/>
        <v>54.747097569726343</v>
      </c>
      <c r="H527" s="360">
        <f t="shared" ca="1" si="244"/>
        <v>196.47598745994284</v>
      </c>
      <c r="I527" s="357">
        <f t="shared" ca="1" si="245"/>
        <v>203.96092356299221</v>
      </c>
      <c r="J527" s="359">
        <f t="shared" ca="1" si="246"/>
        <v>328.76427727282328</v>
      </c>
      <c r="K527" s="360">
        <f t="shared" ca="1" si="247"/>
        <v>1345.9529387538482</v>
      </c>
      <c r="L527" s="357">
        <f t="shared" ca="1" si="232"/>
        <v>1385.5234618550644</v>
      </c>
      <c r="M527" s="359">
        <f t="shared" ca="1" si="248"/>
        <v>1.2990443388909307</v>
      </c>
      <c r="N527" s="357">
        <f t="shared" ca="1" si="249"/>
        <v>74.429758018812564</v>
      </c>
      <c r="O527" s="343"/>
      <c r="P527" s="363">
        <f t="shared" ca="1" si="250"/>
        <v>23</v>
      </c>
      <c r="Q527" s="357">
        <f t="shared" ca="1" si="251"/>
        <v>0</v>
      </c>
      <c r="R527" s="359">
        <f t="shared" ca="1" si="252"/>
        <v>0</v>
      </c>
      <c r="S527" s="360">
        <f t="shared" ca="1" si="253"/>
        <v>9.637999999999975</v>
      </c>
      <c r="T527" s="357">
        <f t="shared" ca="1" si="233"/>
        <v>94.548779999999766</v>
      </c>
      <c r="U527" s="364">
        <f t="shared" ca="1" si="234"/>
        <v>0</v>
      </c>
      <c r="V527" s="359">
        <f t="shared" ca="1" si="235"/>
        <v>1.0705171006228482</v>
      </c>
      <c r="W527" s="357">
        <f t="shared" ca="1" si="236"/>
        <v>101.69221138880813</v>
      </c>
      <c r="X527" s="343"/>
      <c r="Y527" s="367" t="str">
        <f t="shared" ca="1" si="254"/>
        <v/>
      </c>
      <c r="Z527" s="368" t="str">
        <f t="shared" ca="1" si="255"/>
        <v/>
      </c>
      <c r="AA527" s="369" t="str">
        <f t="shared" ca="1" si="256"/>
        <v/>
      </c>
      <c r="AB527" s="344"/>
      <c r="AC527" s="363" t="e">
        <f t="shared" ca="1" si="257"/>
        <v>#N/A</v>
      </c>
      <c r="AD527" s="376" t="e">
        <f t="shared" ca="1" si="258"/>
        <v>#N/A</v>
      </c>
      <c r="AE527" s="377">
        <f t="shared" ca="1" si="237"/>
        <v>1345.9529387538482</v>
      </c>
      <c r="AF527" s="344"/>
      <c r="AG527" s="359">
        <f t="shared" ca="1" si="259"/>
        <v>-20.236303702108405</v>
      </c>
      <c r="AH527" s="357">
        <f t="shared" ca="1" si="260"/>
        <v>-10.782933980819077</v>
      </c>
    </row>
    <row r="528" spans="1:34" x14ac:dyDescent="0.25">
      <c r="A528" s="402">
        <f t="shared" ca="1" si="238"/>
        <v>0.1</v>
      </c>
      <c r="B528" s="357">
        <f t="shared" ca="1" si="239"/>
        <v>7.3999999999999293</v>
      </c>
      <c r="C528" s="342"/>
      <c r="D528" s="359">
        <f t="shared" ca="1" si="240"/>
        <v>-2.8321411855825604</v>
      </c>
      <c r="E528" s="360">
        <f t="shared" ca="1" si="241"/>
        <v>-19.973967785773677</v>
      </c>
      <c r="F528" s="357">
        <f t="shared" ca="1" si="242"/>
        <v>20.17375554531673</v>
      </c>
      <c r="G528" s="359">
        <f t="shared" ca="1" si="243"/>
        <v>54.463883451168087</v>
      </c>
      <c r="H528" s="360">
        <f t="shared" ca="1" si="244"/>
        <v>194.47859068136549</v>
      </c>
      <c r="I528" s="357">
        <f t="shared" ca="1" si="245"/>
        <v>201.96097849335283</v>
      </c>
      <c r="J528" s="359">
        <f t="shared" ca="1" si="246"/>
        <v>334.224826323868</v>
      </c>
      <c r="K528" s="360">
        <f t="shared" ca="1" si="247"/>
        <v>1365.5006676609137</v>
      </c>
      <c r="L528" s="357">
        <f t="shared" ca="1" si="232"/>
        <v>1405.8087735939127</v>
      </c>
      <c r="M528" s="359">
        <f t="shared" ca="1" si="248"/>
        <v>1.297740524427867</v>
      </c>
      <c r="N528" s="357">
        <f t="shared" ca="1" si="249"/>
        <v>74.355054952810889</v>
      </c>
      <c r="O528" s="343"/>
      <c r="P528" s="363">
        <f t="shared" ca="1" si="250"/>
        <v>23</v>
      </c>
      <c r="Q528" s="357">
        <f t="shared" ca="1" si="251"/>
        <v>0</v>
      </c>
      <c r="R528" s="359">
        <f t="shared" ca="1" si="252"/>
        <v>0</v>
      </c>
      <c r="S528" s="360">
        <f t="shared" ca="1" si="253"/>
        <v>9.637999999999975</v>
      </c>
      <c r="T528" s="357">
        <f t="shared" ca="1" si="233"/>
        <v>94.548779999999766</v>
      </c>
      <c r="U528" s="364">
        <f t="shared" ca="1" si="234"/>
        <v>0</v>
      </c>
      <c r="V528" s="359">
        <f t="shared" ca="1" si="235"/>
        <v>1.0684168855760545</v>
      </c>
      <c r="W528" s="357">
        <f t="shared" ca="1" si="236"/>
        <v>99.512083254048989</v>
      </c>
      <c r="X528" s="343"/>
      <c r="Y528" s="367" t="str">
        <f t="shared" ca="1" si="254"/>
        <v/>
      </c>
      <c r="Z528" s="368" t="str">
        <f t="shared" ca="1" si="255"/>
        <v/>
      </c>
      <c r="AA528" s="369" t="str">
        <f t="shared" ca="1" si="256"/>
        <v/>
      </c>
      <c r="AB528" s="344"/>
      <c r="AC528" s="363" t="e">
        <f t="shared" ca="1" si="257"/>
        <v>#N/A</v>
      </c>
      <c r="AD528" s="376" t="e">
        <f t="shared" ca="1" si="258"/>
        <v>#N/A</v>
      </c>
      <c r="AE528" s="377">
        <f t="shared" ca="1" si="237"/>
        <v>1365.5006676609137</v>
      </c>
      <c r="AF528" s="344"/>
      <c r="AG528" s="359">
        <f t="shared" ca="1" si="259"/>
        <v>-20.001167295956975</v>
      </c>
      <c r="AH528" s="357">
        <f t="shared" ca="1" si="260"/>
        <v>-10.551173624072256</v>
      </c>
    </row>
    <row r="529" spans="1:34" x14ac:dyDescent="0.25">
      <c r="A529" s="402">
        <f t="shared" ca="1" si="238"/>
        <v>0.1</v>
      </c>
      <c r="B529" s="357">
        <f t="shared" ca="1" si="239"/>
        <v>7.4999999999999289</v>
      </c>
      <c r="C529" s="342"/>
      <c r="D529" s="359">
        <f t="shared" ca="1" si="240"/>
        <v>-2.7843898037116683</v>
      </c>
      <c r="E529" s="360">
        <f t="shared" ca="1" si="241"/>
        <v>-19.752445720362886</v>
      </c>
      <c r="F529" s="357">
        <f t="shared" ca="1" si="242"/>
        <v>19.947730159466655</v>
      </c>
      <c r="G529" s="359">
        <f t="shared" ca="1" si="243"/>
        <v>54.185444470796924</v>
      </c>
      <c r="H529" s="360">
        <f t="shared" ca="1" si="244"/>
        <v>192.50334610932919</v>
      </c>
      <c r="I529" s="357">
        <f t="shared" ca="1" si="245"/>
        <v>199.98400099954495</v>
      </c>
      <c r="J529" s="359">
        <f t="shared" ca="1" si="246"/>
        <v>339.65729271996628</v>
      </c>
      <c r="K529" s="360">
        <f t="shared" ca="1" si="247"/>
        <v>1384.8497645004484</v>
      </c>
      <c r="L529" s="357">
        <f t="shared" ca="1" si="232"/>
        <v>1425.8947881014237</v>
      </c>
      <c r="M529" s="359">
        <f t="shared" ca="1" si="248"/>
        <v>1.2964176609705513</v>
      </c>
      <c r="N529" s="357">
        <f t="shared" ca="1" si="249"/>
        <v>74.279260459834617</v>
      </c>
      <c r="O529" s="343"/>
      <c r="P529" s="363">
        <f t="shared" ca="1" si="250"/>
        <v>23</v>
      </c>
      <c r="Q529" s="357">
        <f t="shared" ca="1" si="251"/>
        <v>0</v>
      </c>
      <c r="R529" s="359">
        <f t="shared" ca="1" si="252"/>
        <v>0</v>
      </c>
      <c r="S529" s="360">
        <f t="shared" ca="1" si="253"/>
        <v>9.637999999999975</v>
      </c>
      <c r="T529" s="357">
        <f t="shared" ca="1" si="233"/>
        <v>94.548779999999766</v>
      </c>
      <c r="U529" s="364">
        <f t="shared" ca="1" si="234"/>
        <v>0</v>
      </c>
      <c r="V529" s="359">
        <f t="shared" ca="1" si="235"/>
        <v>1.0663417928865511</v>
      </c>
      <c r="W529" s="357">
        <f t="shared" ca="1" si="236"/>
        <v>97.383881200319081</v>
      </c>
      <c r="X529" s="343"/>
      <c r="Y529" s="367" t="str">
        <f t="shared" ca="1" si="254"/>
        <v/>
      </c>
      <c r="Z529" s="368" t="str">
        <f t="shared" ca="1" si="255"/>
        <v/>
      </c>
      <c r="AA529" s="369" t="str">
        <f t="shared" ca="1" si="256"/>
        <v/>
      </c>
      <c r="AB529" s="344"/>
      <c r="AC529" s="363" t="e">
        <f t="shared" ca="1" si="257"/>
        <v>#N/A</v>
      </c>
      <c r="AD529" s="376" t="e">
        <f t="shared" ca="1" si="258"/>
        <v>#N/A</v>
      </c>
      <c r="AE529" s="377">
        <f t="shared" ca="1" si="237"/>
        <v>1384.8497645004484</v>
      </c>
      <c r="AF529" s="344"/>
      <c r="AG529" s="359">
        <f t="shared" ca="1" si="259"/>
        <v>-19.771524765561288</v>
      </c>
      <c r="AH529" s="357">
        <f t="shared" ca="1" si="260"/>
        <v>-10.324972323516212</v>
      </c>
    </row>
    <row r="530" spans="1:34" x14ac:dyDescent="0.25">
      <c r="A530" s="402">
        <f t="shared" ca="1" si="238"/>
        <v>0.1</v>
      </c>
      <c r="B530" s="357">
        <f t="shared" ca="1" si="239"/>
        <v>7.5999999999999286</v>
      </c>
      <c r="C530" s="342"/>
      <c r="D530" s="359">
        <f t="shared" ca="1" si="240"/>
        <v>-2.7377106441375538</v>
      </c>
      <c r="E530" s="360">
        <f t="shared" ca="1" si="241"/>
        <v>-19.536199809242888</v>
      </c>
      <c r="F530" s="357">
        <f t="shared" ca="1" si="242"/>
        <v>19.727092095838298</v>
      </c>
      <c r="G530" s="359">
        <f t="shared" ca="1" si="243"/>
        <v>53.911673406383166</v>
      </c>
      <c r="H530" s="360">
        <f t="shared" ca="1" si="244"/>
        <v>190.5497261284049</v>
      </c>
      <c r="I530" s="357">
        <f t="shared" ca="1" si="245"/>
        <v>198.02945906376314</v>
      </c>
      <c r="J530" s="359">
        <f t="shared" ca="1" si="246"/>
        <v>345.06214861382529</v>
      </c>
      <c r="K530" s="360">
        <f t="shared" ca="1" si="247"/>
        <v>1404.0024181123351</v>
      </c>
      <c r="L530" s="357">
        <f t="shared" ca="1" si="232"/>
        <v>1445.7837585445736</v>
      </c>
      <c r="M530" s="359">
        <f t="shared" ca="1" si="248"/>
        <v>1.2950754316429693</v>
      </c>
      <c r="N530" s="357">
        <f t="shared" ca="1" si="249"/>
        <v>74.202356384225496</v>
      </c>
      <c r="O530" s="343"/>
      <c r="P530" s="363">
        <f t="shared" ca="1" si="250"/>
        <v>23</v>
      </c>
      <c r="Q530" s="357">
        <f t="shared" ca="1" si="251"/>
        <v>0</v>
      </c>
      <c r="R530" s="359">
        <f t="shared" ca="1" si="252"/>
        <v>0</v>
      </c>
      <c r="S530" s="360">
        <f t="shared" ca="1" si="253"/>
        <v>9.637999999999975</v>
      </c>
      <c r="T530" s="357">
        <f t="shared" ca="1" si="233"/>
        <v>94.548779999999766</v>
      </c>
      <c r="U530" s="364">
        <f t="shared" ca="1" si="234"/>
        <v>0</v>
      </c>
      <c r="V530" s="359">
        <f t="shared" ca="1" si="235"/>
        <v>1.0642914625413979</v>
      </c>
      <c r="W530" s="357">
        <f t="shared" ca="1" si="236"/>
        <v>95.306017735929728</v>
      </c>
      <c r="X530" s="343"/>
      <c r="Y530" s="367" t="str">
        <f t="shared" ca="1" si="254"/>
        <v/>
      </c>
      <c r="Z530" s="368" t="str">
        <f t="shared" ca="1" si="255"/>
        <v/>
      </c>
      <c r="AA530" s="369" t="str">
        <f t="shared" ca="1" si="256"/>
        <v/>
      </c>
      <c r="AB530" s="344"/>
      <c r="AC530" s="363" t="e">
        <f t="shared" ca="1" si="257"/>
        <v>#N/A</v>
      </c>
      <c r="AD530" s="376" t="e">
        <f t="shared" ca="1" si="258"/>
        <v>#N/A</v>
      </c>
      <c r="AE530" s="377">
        <f t="shared" ca="1" si="237"/>
        <v>1404.0024181123351</v>
      </c>
      <c r="AF530" s="344"/>
      <c r="AG530" s="359">
        <f t="shared" ca="1" si="259"/>
        <v>-19.547203186686993</v>
      </c>
      <c r="AH530" s="357">
        <f t="shared" ca="1" si="260"/>
        <v>-10.104158663656291</v>
      </c>
    </row>
    <row r="531" spans="1:34" x14ac:dyDescent="0.25">
      <c r="A531" s="402">
        <f t="shared" ca="1" si="238"/>
        <v>0.1</v>
      </c>
      <c r="B531" s="357">
        <f t="shared" ca="1" si="239"/>
        <v>7.6999999999999282</v>
      </c>
      <c r="C531" s="342"/>
      <c r="D531" s="359">
        <f t="shared" ca="1" si="240"/>
        <v>-2.6920703988595713</v>
      </c>
      <c r="E531" s="360">
        <f t="shared" ca="1" si="241"/>
        <v>-19.325068719056688</v>
      </c>
      <c r="F531" s="357">
        <f t="shared" ca="1" si="242"/>
        <v>19.511676607321043</v>
      </c>
      <c r="G531" s="359">
        <f t="shared" ca="1" si="243"/>
        <v>53.64246636649721</v>
      </c>
      <c r="H531" s="360">
        <f t="shared" ca="1" si="244"/>
        <v>188.61721925649923</v>
      </c>
      <c r="I531" s="357">
        <f t="shared" ca="1" si="245"/>
        <v>196.09683729712492</v>
      </c>
      <c r="J531" s="359">
        <f t="shared" ca="1" si="246"/>
        <v>350.43985560246932</v>
      </c>
      <c r="K531" s="360">
        <f t="shared" ca="1" si="247"/>
        <v>1422.9607653815804</v>
      </c>
      <c r="L531" s="357">
        <f t="shared" ca="1" si="232"/>
        <v>1465.4778852681511</v>
      </c>
      <c r="M531" s="359">
        <f t="shared" ca="1" si="248"/>
        <v>1.2937135117495586</v>
      </c>
      <c r="N531" s="357">
        <f t="shared" ca="1" si="249"/>
        <v>74.124324122298148</v>
      </c>
      <c r="O531" s="343"/>
      <c r="P531" s="363">
        <f t="shared" ca="1" si="250"/>
        <v>23</v>
      </c>
      <c r="Q531" s="357">
        <f t="shared" ca="1" si="251"/>
        <v>0</v>
      </c>
      <c r="R531" s="359">
        <f t="shared" ca="1" si="252"/>
        <v>0</v>
      </c>
      <c r="S531" s="360">
        <f t="shared" ca="1" si="253"/>
        <v>9.637999999999975</v>
      </c>
      <c r="T531" s="357">
        <f t="shared" ca="1" si="233"/>
        <v>94.548779999999766</v>
      </c>
      <c r="U531" s="364">
        <f t="shared" ca="1" si="234"/>
        <v>0</v>
      </c>
      <c r="V531" s="359">
        <f t="shared" ca="1" si="235"/>
        <v>1.0622655435742345</v>
      </c>
      <c r="W531" s="357">
        <f t="shared" ca="1" si="236"/>
        <v>93.276966960843495</v>
      </c>
      <c r="X531" s="343"/>
      <c r="Y531" s="367" t="str">
        <f t="shared" ca="1" si="254"/>
        <v/>
      </c>
      <c r="Z531" s="368" t="str">
        <f t="shared" ca="1" si="255"/>
        <v/>
      </c>
      <c r="AA531" s="369" t="str">
        <f t="shared" ca="1" si="256"/>
        <v/>
      </c>
      <c r="AB531" s="344"/>
      <c r="AC531" s="363" t="e">
        <f t="shared" ca="1" si="257"/>
        <v>#N/A</v>
      </c>
      <c r="AD531" s="376" t="e">
        <f t="shared" ca="1" si="258"/>
        <v>#N/A</v>
      </c>
      <c r="AE531" s="377">
        <f t="shared" ca="1" si="237"/>
        <v>1422.9607653815804</v>
      </c>
      <c r="AF531" s="344"/>
      <c r="AG531" s="359">
        <f t="shared" ca="1" si="259"/>
        <v>-19.328036293462528</v>
      </c>
      <c r="AH531" s="357">
        <f t="shared" ca="1" si="260"/>
        <v>-9.8885679327588694</v>
      </c>
    </row>
    <row r="532" spans="1:34" x14ac:dyDescent="0.25">
      <c r="A532" s="402">
        <f t="shared" ca="1" si="238"/>
        <v>0.1</v>
      </c>
      <c r="B532" s="357">
        <f t="shared" ca="1" si="239"/>
        <v>7.7999999999999279</v>
      </c>
      <c r="C532" s="342"/>
      <c r="D532" s="359">
        <f t="shared" ca="1" si="240"/>
        <v>-2.6474370490634227</v>
      </c>
      <c r="E532" s="360">
        <f t="shared" ca="1" si="241"/>
        <v>-19.118897375062698</v>
      </c>
      <c r="F532" s="357">
        <f t="shared" ca="1" si="242"/>
        <v>19.301325337057374</v>
      </c>
      <c r="G532" s="359">
        <f t="shared" ca="1" si="243"/>
        <v>53.377722661590866</v>
      </c>
      <c r="H532" s="360">
        <f t="shared" ca="1" si="244"/>
        <v>186.70532951899295</v>
      </c>
      <c r="I532" s="357">
        <f t="shared" ca="1" si="245"/>
        <v>194.18563630540095</v>
      </c>
      <c r="J532" s="359">
        <f t="shared" ca="1" si="246"/>
        <v>355.79086505387374</v>
      </c>
      <c r="K532" s="360">
        <f t="shared" ca="1" si="247"/>
        <v>1441.726892820355</v>
      </c>
      <c r="L532" s="357">
        <f t="shared" ca="1" si="232"/>
        <v>1484.9793174105891</v>
      </c>
      <c r="M532" s="359">
        <f t="shared" ca="1" si="248"/>
        <v>1.292331568555382</v>
      </c>
      <c r="N532" s="357">
        <f t="shared" ca="1" si="249"/>
        <v>74.045144609744995</v>
      </c>
      <c r="O532" s="343"/>
      <c r="P532" s="363">
        <f t="shared" ca="1" si="250"/>
        <v>23</v>
      </c>
      <c r="Q532" s="357">
        <f t="shared" ca="1" si="251"/>
        <v>0</v>
      </c>
      <c r="R532" s="359">
        <f t="shared" ca="1" si="252"/>
        <v>0</v>
      </c>
      <c r="S532" s="360">
        <f t="shared" ca="1" si="253"/>
        <v>9.637999999999975</v>
      </c>
      <c r="T532" s="357">
        <f t="shared" ca="1" si="233"/>
        <v>94.548779999999766</v>
      </c>
      <c r="U532" s="364">
        <f t="shared" ca="1" si="234"/>
        <v>0</v>
      </c>
      <c r="V532" s="359">
        <f t="shared" ca="1" si="235"/>
        <v>1.0602636937749348</v>
      </c>
      <c r="W532" s="357">
        <f t="shared" ca="1" si="236"/>
        <v>91.295261711776277</v>
      </c>
      <c r="X532" s="343"/>
      <c r="Y532" s="367" t="str">
        <f t="shared" ca="1" si="254"/>
        <v/>
      </c>
      <c r="Z532" s="368" t="str">
        <f t="shared" ca="1" si="255"/>
        <v/>
      </c>
      <c r="AA532" s="369" t="str">
        <f t="shared" ca="1" si="256"/>
        <v/>
      </c>
      <c r="AB532" s="344"/>
      <c r="AC532" s="363" t="e">
        <f t="shared" ca="1" si="257"/>
        <v>#N/A</v>
      </c>
      <c r="AD532" s="376" t="e">
        <f t="shared" ca="1" si="258"/>
        <v>#N/A</v>
      </c>
      <c r="AE532" s="377">
        <f t="shared" ca="1" si="237"/>
        <v>1441.726892820355</v>
      </c>
      <c r="AF532" s="344"/>
      <c r="AG532" s="359">
        <f t="shared" ca="1" si="259"/>
        <v>-19.113864163537254</v>
      </c>
      <c r="AH532" s="357">
        <f t="shared" ca="1" si="260"/>
        <v>-9.6780418095915888</v>
      </c>
    </row>
    <row r="533" spans="1:34" x14ac:dyDescent="0.25">
      <c r="A533" s="402">
        <f t="shared" ca="1" si="238"/>
        <v>0.1</v>
      </c>
      <c r="B533" s="357">
        <f t="shared" ca="1" si="239"/>
        <v>7.8999999999999275</v>
      </c>
      <c r="C533" s="342"/>
      <c r="D533" s="359">
        <f t="shared" ca="1" si="240"/>
        <v>-2.6037798053623487</v>
      </c>
      <c r="E533" s="360">
        <f t="shared" ca="1" si="241"/>
        <v>-18.917536671003191</v>
      </c>
      <c r="F533" s="357">
        <f t="shared" ca="1" si="242"/>
        <v>19.09588602221859</v>
      </c>
      <c r="G533" s="359">
        <f t="shared" ca="1" si="243"/>
        <v>53.117344681054632</v>
      </c>
      <c r="H533" s="360">
        <f t="shared" ca="1" si="244"/>
        <v>184.81357585189264</v>
      </c>
      <c r="I533" s="357">
        <f t="shared" ca="1" si="245"/>
        <v>192.29537208453362</v>
      </c>
      <c r="J533" s="359">
        <f t="shared" ca="1" si="246"/>
        <v>361.11561842100605</v>
      </c>
      <c r="K533" s="360">
        <f t="shared" ca="1" si="247"/>
        <v>1460.3028380888993</v>
      </c>
      <c r="L533" s="357">
        <f t="shared" ca="1" si="232"/>
        <v>1504.2901544576032</v>
      </c>
      <c r="M533" s="359">
        <f t="shared" ca="1" si="248"/>
        <v>1.2909292610587104</v>
      </c>
      <c r="N533" s="357">
        <f t="shared" ca="1" si="249"/>
        <v>73.964798308606163</v>
      </c>
      <c r="O533" s="343"/>
      <c r="P533" s="363">
        <f t="shared" ca="1" si="250"/>
        <v>23</v>
      </c>
      <c r="Q533" s="357">
        <f t="shared" ca="1" si="251"/>
        <v>0</v>
      </c>
      <c r="R533" s="359">
        <f t="shared" ca="1" si="252"/>
        <v>0</v>
      </c>
      <c r="S533" s="360">
        <f t="shared" ca="1" si="253"/>
        <v>9.637999999999975</v>
      </c>
      <c r="T533" s="357">
        <f t="shared" ca="1" si="233"/>
        <v>94.548779999999766</v>
      </c>
      <c r="U533" s="364">
        <f t="shared" ca="1" si="234"/>
        <v>0</v>
      </c>
      <c r="V533" s="359">
        <f t="shared" ca="1" si="235"/>
        <v>1.0582855794109374</v>
      </c>
      <c r="W533" s="357">
        <f t="shared" ca="1" si="236"/>
        <v>89.359490861421662</v>
      </c>
      <c r="X533" s="343"/>
      <c r="Y533" s="367" t="str">
        <f t="shared" ca="1" si="254"/>
        <v/>
      </c>
      <c r="Z533" s="368" t="str">
        <f t="shared" ca="1" si="255"/>
        <v/>
      </c>
      <c r="AA533" s="369" t="str">
        <f t="shared" ca="1" si="256"/>
        <v/>
      </c>
      <c r="AB533" s="344"/>
      <c r="AC533" s="363" t="e">
        <f t="shared" ca="1" si="257"/>
        <v>#N/A</v>
      </c>
      <c r="AD533" s="376" t="e">
        <f t="shared" ca="1" si="258"/>
        <v>#N/A</v>
      </c>
      <c r="AE533" s="377">
        <f t="shared" ca="1" si="237"/>
        <v>1460.3028380888993</v>
      </c>
      <c r="AF533" s="344"/>
      <c r="AG533" s="359">
        <f t="shared" ca="1" si="259"/>
        <v>-18.904532920222294</v>
      </c>
      <c r="AH533" s="357">
        <f t="shared" ca="1" si="260"/>
        <v>-9.4724280672106786</v>
      </c>
    </row>
    <row r="534" spans="1:34" x14ac:dyDescent="0.25">
      <c r="A534" s="402">
        <f t="shared" ca="1" si="238"/>
        <v>0.1</v>
      </c>
      <c r="B534" s="357">
        <f t="shared" ca="1" si="239"/>
        <v>7.9999999999999272</v>
      </c>
      <c r="C534" s="342"/>
      <c r="D534" s="359">
        <f t="shared" ca="1" si="240"/>
        <v>-2.5610690512666792</v>
      </c>
      <c r="E534" s="360">
        <f t="shared" ca="1" si="241"/>
        <v>-18.720843194634096</v>
      </c>
      <c r="F534" s="357">
        <f t="shared" ca="1" si="242"/>
        <v>18.895212213770815</v>
      </c>
      <c r="G534" s="359">
        <f t="shared" ca="1" si="243"/>
        <v>52.861237775927961</v>
      </c>
      <c r="H534" s="360">
        <f t="shared" ca="1" si="244"/>
        <v>182.94149153242924</v>
      </c>
      <c r="I534" s="357">
        <f t="shared" ca="1" si="245"/>
        <v>190.42557544435326</v>
      </c>
      <c r="J534" s="359">
        <f t="shared" ca="1" si="246"/>
        <v>366.41454754385518</v>
      </c>
      <c r="K534" s="360">
        <f t="shared" ca="1" si="247"/>
        <v>1478.6905914581155</v>
      </c>
      <c r="L534" s="357">
        <f t="shared" ca="1" si="232"/>
        <v>1523.4124477365017</v>
      </c>
      <c r="M534" s="359">
        <f t="shared" ca="1" si="248"/>
        <v>1.2895062397557224</v>
      </c>
      <c r="N534" s="357">
        <f t="shared" ca="1" si="249"/>
        <v>73.88326519378775</v>
      </c>
      <c r="O534" s="343"/>
      <c r="P534" s="363">
        <f t="shared" ca="1" si="250"/>
        <v>23</v>
      </c>
      <c r="Q534" s="357">
        <f t="shared" ca="1" si="251"/>
        <v>0</v>
      </c>
      <c r="R534" s="359">
        <f t="shared" ca="1" si="252"/>
        <v>0</v>
      </c>
      <c r="S534" s="360">
        <f t="shared" ca="1" si="253"/>
        <v>9.637999999999975</v>
      </c>
      <c r="T534" s="357">
        <f t="shared" ca="1" si="233"/>
        <v>94.548779999999766</v>
      </c>
      <c r="U534" s="364">
        <f t="shared" ca="1" si="234"/>
        <v>0</v>
      </c>
      <c r="V534" s="359">
        <f t="shared" ca="1" si="235"/>
        <v>1.0563308749597085</v>
      </c>
      <c r="W534" s="357">
        <f t="shared" ca="1" si="236"/>
        <v>87.468296762331931</v>
      </c>
      <c r="X534" s="343"/>
      <c r="Y534" s="367" t="str">
        <f t="shared" ca="1" si="254"/>
        <v/>
      </c>
      <c r="Z534" s="368" t="str">
        <f t="shared" ca="1" si="255"/>
        <v/>
      </c>
      <c r="AA534" s="369" t="str">
        <f t="shared" ca="1" si="256"/>
        <v/>
      </c>
      <c r="AB534" s="344"/>
      <c r="AC534" s="363">
        <f t="shared" ca="1" si="257"/>
        <v>7.9999999999999272</v>
      </c>
      <c r="AD534" s="376">
        <f t="shared" ca="1" si="258"/>
        <v>366.41454754385518</v>
      </c>
      <c r="AE534" s="377">
        <f t="shared" ca="1" si="237"/>
        <v>1478.6905914581155</v>
      </c>
      <c r="AF534" s="344"/>
      <c r="AG534" s="359">
        <f t="shared" ca="1" si="259"/>
        <v>-18.699894450555163</v>
      </c>
      <c r="AH534" s="357">
        <f t="shared" ca="1" si="260"/>
        <v>-9.2715802927393547</v>
      </c>
    </row>
    <row r="535" spans="1:34" x14ac:dyDescent="0.25">
      <c r="A535" s="402">
        <f t="shared" ca="1" si="238"/>
        <v>0.1</v>
      </c>
      <c r="B535" s="357">
        <f t="shared" ca="1" si="239"/>
        <v>8.0999999999999268</v>
      </c>
      <c r="C535" s="342"/>
      <c r="D535" s="359">
        <f t="shared" ca="1" si="240"/>
        <v>-2.51927628968367</v>
      </c>
      <c r="E535" s="360">
        <f t="shared" ca="1" si="241"/>
        <v>-18.52867896795431</v>
      </c>
      <c r="F535" s="357">
        <f t="shared" ca="1" si="242"/>
        <v>18.699163011249322</v>
      </c>
      <c r="G535" s="359">
        <f t="shared" ca="1" si="243"/>
        <v>52.609310146959594</v>
      </c>
      <c r="H535" s="360">
        <f t="shared" ca="1" si="244"/>
        <v>181.08862363563381</v>
      </c>
      <c r="I535" s="357">
        <f t="shared" ca="1" si="245"/>
        <v>188.57579145899723</v>
      </c>
      <c r="J535" s="359">
        <f t="shared" ca="1" si="246"/>
        <v>371.68807493999958</v>
      </c>
      <c r="K535" s="360">
        <f t="shared" ca="1" si="247"/>
        <v>1496.8920972165186</v>
      </c>
      <c r="L535" s="357">
        <f t="shared" ca="1" si="232"/>
        <v>1542.3482018538712</v>
      </c>
      <c r="M535" s="359">
        <f t="shared" ca="1" si="248"/>
        <v>1.2880621463970225</v>
      </c>
      <c r="N535" s="357">
        <f t="shared" ca="1" si="249"/>
        <v>73.800524739111367</v>
      </c>
      <c r="O535" s="343"/>
      <c r="P535" s="363">
        <f t="shared" ca="1" si="250"/>
        <v>23</v>
      </c>
      <c r="Q535" s="357">
        <f t="shared" ca="1" si="251"/>
        <v>0</v>
      </c>
      <c r="R535" s="359">
        <f t="shared" ca="1" si="252"/>
        <v>0</v>
      </c>
      <c r="S535" s="360">
        <f t="shared" ca="1" si="253"/>
        <v>9.637999999999975</v>
      </c>
      <c r="T535" s="357">
        <f t="shared" ca="1" si="233"/>
        <v>94.548779999999766</v>
      </c>
      <c r="U535" s="364">
        <f t="shared" ca="1" si="234"/>
        <v>0</v>
      </c>
      <c r="V535" s="359">
        <f t="shared" ca="1" si="235"/>
        <v>1.0543992628517993</v>
      </c>
      <c r="W535" s="357">
        <f t="shared" ca="1" si="236"/>
        <v>85.620372826636839</v>
      </c>
      <c r="X535" s="343"/>
      <c r="Y535" s="367" t="str">
        <f t="shared" ca="1" si="254"/>
        <v/>
      </c>
      <c r="Z535" s="368" t="str">
        <f t="shared" ca="1" si="255"/>
        <v/>
      </c>
      <c r="AA535" s="369" t="str">
        <f t="shared" ca="1" si="256"/>
        <v/>
      </c>
      <c r="AB535" s="344"/>
      <c r="AC535" s="363" t="e">
        <f t="shared" ca="1" si="257"/>
        <v>#N/A</v>
      </c>
      <c r="AD535" s="376" t="e">
        <f t="shared" ca="1" si="258"/>
        <v>#N/A</v>
      </c>
      <c r="AE535" s="377">
        <f t="shared" ca="1" si="237"/>
        <v>1496.8920972165186</v>
      </c>
      <c r="AF535" s="344"/>
      <c r="AG535" s="359">
        <f t="shared" ca="1" si="259"/>
        <v>-18.499806138303065</v>
      </c>
      <c r="AH535" s="357">
        <f t="shared" ca="1" si="260"/>
        <v>-9.0753576221552361</v>
      </c>
    </row>
    <row r="536" spans="1:34" x14ac:dyDescent="0.25">
      <c r="A536" s="402">
        <f t="shared" ca="1" si="238"/>
        <v>0.1</v>
      </c>
      <c r="B536" s="357">
        <f t="shared" ca="1" si="239"/>
        <v>8.1999999999999265</v>
      </c>
      <c r="C536" s="342"/>
      <c r="D536" s="359">
        <f t="shared" ca="1" si="240"/>
        <v>-2.4783740922629556</v>
      </c>
      <c r="E536" s="360">
        <f t="shared" ca="1" si="241"/>
        <v>-18.3409112012382</v>
      </c>
      <c r="F536" s="357">
        <f t="shared" ca="1" si="242"/>
        <v>18.507602811625958</v>
      </c>
      <c r="G536" s="359">
        <f t="shared" ca="1" si="243"/>
        <v>52.361472737733301</v>
      </c>
      <c r="H536" s="360">
        <f t="shared" ca="1" si="244"/>
        <v>179.25453251550999</v>
      </c>
      <c r="I536" s="357">
        <f t="shared" ca="1" si="245"/>
        <v>186.74557894263097</v>
      </c>
      <c r="J536" s="359">
        <f t="shared" ca="1" si="246"/>
        <v>376.93661408423424</v>
      </c>
      <c r="K536" s="360">
        <f t="shared" ca="1" si="247"/>
        <v>1514.9092550240757</v>
      </c>
      <c r="L536" s="357">
        <f t="shared" ca="1" si="232"/>
        <v>1561.0993760792062</v>
      </c>
      <c r="M536" s="359">
        <f t="shared" ca="1" si="248"/>
        <v>1.286596613735667</v>
      </c>
      <c r="N536" s="357">
        <f t="shared" ca="1" si="249"/>
        <v>73.716555902877118</v>
      </c>
      <c r="O536" s="343"/>
      <c r="P536" s="363">
        <f t="shared" ca="1" si="250"/>
        <v>23</v>
      </c>
      <c r="Q536" s="357">
        <f t="shared" ca="1" si="251"/>
        <v>0</v>
      </c>
      <c r="R536" s="359">
        <f t="shared" ca="1" si="252"/>
        <v>0</v>
      </c>
      <c r="S536" s="360">
        <f t="shared" ca="1" si="253"/>
        <v>9.637999999999975</v>
      </c>
      <c r="T536" s="357">
        <f t="shared" ca="1" si="233"/>
        <v>94.548779999999766</v>
      </c>
      <c r="U536" s="364">
        <f t="shared" ca="1" si="234"/>
        <v>0</v>
      </c>
      <c r="V536" s="359">
        <f t="shared" ca="1" si="235"/>
        <v>1.0524904332240081</v>
      </c>
      <c r="W536" s="357">
        <f t="shared" ca="1" si="236"/>
        <v>83.814461233385984</v>
      </c>
      <c r="X536" s="343"/>
      <c r="Y536" s="367" t="str">
        <f t="shared" ca="1" si="254"/>
        <v/>
      </c>
      <c r="Z536" s="368" t="str">
        <f t="shared" ca="1" si="255"/>
        <v/>
      </c>
      <c r="AA536" s="369" t="str">
        <f t="shared" ca="1" si="256"/>
        <v/>
      </c>
      <c r="AB536" s="344"/>
      <c r="AC536" s="363" t="e">
        <f t="shared" ca="1" si="257"/>
        <v>#N/A</v>
      </c>
      <c r="AD536" s="376" t="e">
        <f t="shared" ca="1" si="258"/>
        <v>#N/A</v>
      </c>
      <c r="AE536" s="377">
        <f t="shared" ca="1" si="237"/>
        <v>1514.9092550240757</v>
      </c>
      <c r="AF536" s="344"/>
      <c r="AG536" s="359">
        <f t="shared" ca="1" si="259"/>
        <v>-18.304130610986594</v>
      </c>
      <c r="AH536" s="357">
        <f t="shared" ca="1" si="260"/>
        <v>-8.8836244891717229</v>
      </c>
    </row>
    <row r="537" spans="1:34" x14ac:dyDescent="0.25">
      <c r="A537" s="402">
        <f t="shared" ca="1" si="238"/>
        <v>0.1</v>
      </c>
      <c r="B537" s="357">
        <f t="shared" ca="1" si="239"/>
        <v>8.2999999999999261</v>
      </c>
      <c r="C537" s="342"/>
      <c r="D537" s="359">
        <f t="shared" ca="1" si="240"/>
        <v>-2.438336051415682</v>
      </c>
      <c r="E537" s="360">
        <f t="shared" ca="1" si="241"/>
        <v>-18.157412060036602</v>
      </c>
      <c r="F537" s="357">
        <f t="shared" ca="1" si="242"/>
        <v>18.320401071417518</v>
      </c>
      <c r="G537" s="359">
        <f t="shared" ca="1" si="243"/>
        <v>52.117639132591734</v>
      </c>
      <c r="H537" s="360">
        <f t="shared" ca="1" si="244"/>
        <v>177.43879130950634</v>
      </c>
      <c r="I537" s="357">
        <f t="shared" ca="1" si="245"/>
        <v>184.93450994915361</v>
      </c>
      <c r="J537" s="359">
        <f t="shared" ca="1" si="246"/>
        <v>382.16056967775046</v>
      </c>
      <c r="K537" s="360">
        <f t="shared" ca="1" si="247"/>
        <v>1532.7439212153265</v>
      </c>
      <c r="L537" s="357">
        <f t="shared" ca="1" si="232"/>
        <v>1579.6678856769097</v>
      </c>
      <c r="M537" s="359">
        <f t="shared" ca="1" si="248"/>
        <v>1.2851092652663685</v>
      </c>
      <c r="N537" s="357">
        <f t="shared" ca="1" si="249"/>
        <v>73.631337112921074</v>
      </c>
      <c r="O537" s="343"/>
      <c r="P537" s="363">
        <f t="shared" ca="1" si="250"/>
        <v>23</v>
      </c>
      <c r="Q537" s="357">
        <f t="shared" ca="1" si="251"/>
        <v>0</v>
      </c>
      <c r="R537" s="359">
        <f t="shared" ca="1" si="252"/>
        <v>0</v>
      </c>
      <c r="S537" s="360">
        <f t="shared" ca="1" si="253"/>
        <v>9.637999999999975</v>
      </c>
      <c r="T537" s="357">
        <f t="shared" ca="1" si="233"/>
        <v>94.548779999999766</v>
      </c>
      <c r="U537" s="364">
        <f t="shared" ca="1" si="234"/>
        <v>0</v>
      </c>
      <c r="V537" s="359">
        <f t="shared" ca="1" si="235"/>
        <v>1.0506040836821693</v>
      </c>
      <c r="W537" s="357">
        <f t="shared" ca="1" si="236"/>
        <v>82.049350755855301</v>
      </c>
      <c r="X537" s="343"/>
      <c r="Y537" s="367" t="str">
        <f t="shared" ca="1" si="254"/>
        <v/>
      </c>
      <c r="Z537" s="368" t="str">
        <f t="shared" ca="1" si="255"/>
        <v/>
      </c>
      <c r="AA537" s="369" t="str">
        <f t="shared" ca="1" si="256"/>
        <v/>
      </c>
      <c r="AB537" s="344"/>
      <c r="AC537" s="363" t="e">
        <f t="shared" ca="1" si="257"/>
        <v>#N/A</v>
      </c>
      <c r="AD537" s="376" t="e">
        <f t="shared" ca="1" si="258"/>
        <v>#N/A</v>
      </c>
      <c r="AE537" s="377">
        <f t="shared" ca="1" si="237"/>
        <v>1532.7439212153265</v>
      </c>
      <c r="AF537" s="344"/>
      <c r="AG537" s="359">
        <f t="shared" ca="1" si="259"/>
        <v>-18.11273550006819</v>
      </c>
      <c r="AH537" s="357">
        <f t="shared" ca="1" si="260"/>
        <v>-8.6962503873610917</v>
      </c>
    </row>
    <row r="538" spans="1:34" x14ac:dyDescent="0.25">
      <c r="A538" s="402">
        <f t="shared" ca="1" si="238"/>
        <v>0.1</v>
      </c>
      <c r="B538" s="357">
        <f t="shared" ca="1" si="239"/>
        <v>8.3999999999999257</v>
      </c>
      <c r="C538" s="342"/>
      <c r="D538" s="359">
        <f t="shared" ca="1" si="240"/>
        <v>-2.3991367348469965</v>
      </c>
      <c r="E538" s="360">
        <f t="shared" ca="1" si="241"/>
        <v>-17.978058444367939</v>
      </c>
      <c r="F538" s="357">
        <f t="shared" ca="1" si="242"/>
        <v>18.137432081240213</v>
      </c>
      <c r="G538" s="359">
        <f t="shared" ca="1" si="243"/>
        <v>51.877725459107033</v>
      </c>
      <c r="H538" s="360">
        <f t="shared" ca="1" si="244"/>
        <v>175.64098546506955</v>
      </c>
      <c r="I538" s="357">
        <f t="shared" ca="1" si="245"/>
        <v>183.14216929465277</v>
      </c>
      <c r="J538" s="359">
        <f t="shared" ca="1" si="246"/>
        <v>387.36033790733541</v>
      </c>
      <c r="K538" s="360">
        <f t="shared" ca="1" si="247"/>
        <v>1550.3979100540553</v>
      </c>
      <c r="L538" s="357">
        <f t="shared" ca="1" si="232"/>
        <v>1598.0556031889716</v>
      </c>
      <c r="M538" s="359">
        <f t="shared" ca="1" si="248"/>
        <v>1.2835997149555418</v>
      </c>
      <c r="N538" s="357">
        <f t="shared" ca="1" si="249"/>
        <v>73.544846251148044</v>
      </c>
      <c r="O538" s="343"/>
      <c r="P538" s="363">
        <f t="shared" ca="1" si="250"/>
        <v>23</v>
      </c>
      <c r="Q538" s="357">
        <f t="shared" ca="1" si="251"/>
        <v>0</v>
      </c>
      <c r="R538" s="359">
        <f t="shared" ca="1" si="252"/>
        <v>0</v>
      </c>
      <c r="S538" s="360">
        <f t="shared" ca="1" si="253"/>
        <v>9.637999999999975</v>
      </c>
      <c r="T538" s="357">
        <f t="shared" ca="1" si="233"/>
        <v>94.548779999999766</v>
      </c>
      <c r="U538" s="364">
        <f t="shared" ca="1" si="234"/>
        <v>0</v>
      </c>
      <c r="V538" s="359">
        <f t="shared" ca="1" si="235"/>
        <v>1.0487399190731272</v>
      </c>
      <c r="W538" s="357">
        <f t="shared" ca="1" si="236"/>
        <v>80.323874701673915</v>
      </c>
      <c r="X538" s="343"/>
      <c r="Y538" s="367" t="str">
        <f t="shared" ca="1" si="254"/>
        <v/>
      </c>
      <c r="Z538" s="368" t="str">
        <f t="shared" ca="1" si="255"/>
        <v/>
      </c>
      <c r="AA538" s="369" t="str">
        <f t="shared" ca="1" si="256"/>
        <v/>
      </c>
      <c r="AB538" s="344"/>
      <c r="AC538" s="363" t="e">
        <f t="shared" ca="1" si="257"/>
        <v>#N/A</v>
      </c>
      <c r="AD538" s="376" t="e">
        <f t="shared" ca="1" si="258"/>
        <v>#N/A</v>
      </c>
      <c r="AE538" s="377">
        <f t="shared" ca="1" si="237"/>
        <v>1550.3979100540553</v>
      </c>
      <c r="AF538" s="344"/>
      <c r="AG538" s="359">
        <f t="shared" ca="1" si="259"/>
        <v>-17.925493213507082</v>
      </c>
      <c r="AH538" s="357">
        <f t="shared" ca="1" si="260"/>
        <v>-8.5131096447245813</v>
      </c>
    </row>
    <row r="539" spans="1:34" x14ac:dyDescent="0.25">
      <c r="A539" s="402">
        <f t="shared" ca="1" si="238"/>
        <v>0.1</v>
      </c>
      <c r="B539" s="357">
        <f t="shared" ca="1" si="239"/>
        <v>8.4999999999999254</v>
      </c>
      <c r="C539" s="342"/>
      <c r="D539" s="359">
        <f t="shared" ca="1" si="240"/>
        <v>-2.3607516424523411</v>
      </c>
      <c r="E539" s="360">
        <f t="shared" ca="1" si="241"/>
        <v>-17.802731779373346</v>
      </c>
      <c r="F539" s="357">
        <f t="shared" ca="1" si="242"/>
        <v>17.958574752069026</v>
      </c>
      <c r="G539" s="359">
        <f t="shared" ca="1" si="243"/>
        <v>51.641650294861797</v>
      </c>
      <c r="H539" s="360">
        <f t="shared" ca="1" si="244"/>
        <v>173.8607122871322</v>
      </c>
      <c r="I539" s="357">
        <f t="shared" ca="1" si="245"/>
        <v>181.36815410144573</v>
      </c>
      <c r="J539" s="359">
        <f t="shared" ca="1" si="246"/>
        <v>392.53630669503383</v>
      </c>
      <c r="K539" s="360">
        <f t="shared" ca="1" si="247"/>
        <v>1567.8729949416654</v>
      </c>
      <c r="L539" s="357">
        <f t="shared" ca="1" si="232"/>
        <v>1616.2643596705104</v>
      </c>
      <c r="M539" s="359">
        <f t="shared" ca="1" si="248"/>
        <v>1.282067566961836</v>
      </c>
      <c r="N539" s="357">
        <f t="shared" ca="1" si="249"/>
        <v>73.457060637519263</v>
      </c>
      <c r="O539" s="343"/>
      <c r="P539" s="363">
        <f t="shared" ca="1" si="250"/>
        <v>23</v>
      </c>
      <c r="Q539" s="357">
        <f t="shared" ca="1" si="251"/>
        <v>0</v>
      </c>
      <c r="R539" s="359">
        <f t="shared" ca="1" si="252"/>
        <v>0</v>
      </c>
      <c r="S539" s="360">
        <f t="shared" ca="1" si="253"/>
        <v>9.637999999999975</v>
      </c>
      <c r="T539" s="357">
        <f t="shared" ca="1" si="233"/>
        <v>94.548779999999766</v>
      </c>
      <c r="U539" s="364">
        <f t="shared" ca="1" si="234"/>
        <v>0</v>
      </c>
      <c r="V539" s="359">
        <f t="shared" ca="1" si="235"/>
        <v>1.0468976512654733</v>
      </c>
      <c r="W539" s="357">
        <f t="shared" ca="1" si="236"/>
        <v>78.636908959103366</v>
      </c>
      <c r="X539" s="343"/>
      <c r="Y539" s="367" t="str">
        <f t="shared" ca="1" si="254"/>
        <v/>
      </c>
      <c r="Z539" s="368" t="str">
        <f t="shared" ca="1" si="255"/>
        <v/>
      </c>
      <c r="AA539" s="369" t="str">
        <f t="shared" ca="1" si="256"/>
        <v/>
      </c>
      <c r="AB539" s="344"/>
      <c r="AC539" s="363" t="e">
        <f t="shared" ca="1" si="257"/>
        <v>#N/A</v>
      </c>
      <c r="AD539" s="376" t="e">
        <f t="shared" ca="1" si="258"/>
        <v>#N/A</v>
      </c>
      <c r="AE539" s="377">
        <f t="shared" ca="1" si="237"/>
        <v>1567.8729949416654</v>
      </c>
      <c r="AF539" s="344"/>
      <c r="AG539" s="359">
        <f t="shared" ca="1" si="259"/>
        <v>-17.742280719935735</v>
      </c>
      <c r="AH539" s="357">
        <f t="shared" ca="1" si="260"/>
        <v>-8.3340812099682626</v>
      </c>
    </row>
    <row r="540" spans="1:34" x14ac:dyDescent="0.25">
      <c r="A540" s="402">
        <f t="shared" ca="1" si="238"/>
        <v>0.1</v>
      </c>
      <c r="B540" s="357">
        <f t="shared" ca="1" si="239"/>
        <v>8.599999999999925</v>
      </c>
      <c r="C540" s="342"/>
      <c r="D540" s="359">
        <f t="shared" ca="1" si="240"/>
        <v>-2.3231571654380012</v>
      </c>
      <c r="E540" s="360">
        <f t="shared" ca="1" si="241"/>
        <v>-17.631317816758333</v>
      </c>
      <c r="F540" s="357">
        <f t="shared" ca="1" si="242"/>
        <v>17.783712412510098</v>
      </c>
      <c r="G540" s="359">
        <f t="shared" ca="1" si="243"/>
        <v>51.409334578317996</v>
      </c>
      <c r="H540" s="360">
        <f t="shared" ca="1" si="244"/>
        <v>172.09758050545636</v>
      </c>
      <c r="I540" s="357">
        <f t="shared" ca="1" si="245"/>
        <v>179.61207336261523</v>
      </c>
      <c r="J540" s="359">
        <f t="shared" ca="1" si="246"/>
        <v>397.68885593869283</v>
      </c>
      <c r="K540" s="360">
        <f t="shared" ca="1" si="247"/>
        <v>1585.1709095812948</v>
      </c>
      <c r="L540" s="357">
        <f t="shared" ca="1" si="232"/>
        <v>1634.2959458802484</v>
      </c>
      <c r="M540" s="359">
        <f t="shared" ca="1" si="248"/>
        <v>1.28051241534678</v>
      </c>
      <c r="N540" s="357">
        <f t="shared" ca="1" si="249"/>
        <v>73.3679570134736</v>
      </c>
      <c r="O540" s="343"/>
      <c r="P540" s="363">
        <f t="shared" ca="1" si="250"/>
        <v>23</v>
      </c>
      <c r="Q540" s="357">
        <f t="shared" ca="1" si="251"/>
        <v>0</v>
      </c>
      <c r="R540" s="359">
        <f t="shared" ca="1" si="252"/>
        <v>0</v>
      </c>
      <c r="S540" s="360">
        <f t="shared" ca="1" si="253"/>
        <v>9.637999999999975</v>
      </c>
      <c r="T540" s="357">
        <f t="shared" ca="1" si="233"/>
        <v>94.548779999999766</v>
      </c>
      <c r="U540" s="364">
        <f t="shared" ca="1" si="234"/>
        <v>0</v>
      </c>
      <c r="V540" s="359">
        <f t="shared" ca="1" si="235"/>
        <v>1.0450769989386428</v>
      </c>
      <c r="W540" s="357">
        <f t="shared" ca="1" si="236"/>
        <v>76.987370143243666</v>
      </c>
      <c r="X540" s="343"/>
      <c r="Y540" s="367" t="str">
        <f t="shared" ca="1" si="254"/>
        <v/>
      </c>
      <c r="Z540" s="368" t="str">
        <f t="shared" ca="1" si="255"/>
        <v/>
      </c>
      <c r="AA540" s="369" t="str">
        <f t="shared" ca="1" si="256"/>
        <v/>
      </c>
      <c r="AB540" s="344"/>
      <c r="AC540" s="363" t="e">
        <f t="shared" ca="1" si="257"/>
        <v>#N/A</v>
      </c>
      <c r="AD540" s="376" t="e">
        <f t="shared" ca="1" si="258"/>
        <v>#N/A</v>
      </c>
      <c r="AE540" s="377">
        <f t="shared" ca="1" si="237"/>
        <v>1585.1709095812948</v>
      </c>
      <c r="AF540" s="344"/>
      <c r="AG540" s="359">
        <f t="shared" ca="1" si="259"/>
        <v>-17.562979343762144</v>
      </c>
      <c r="AH540" s="357">
        <f t="shared" ca="1" si="260"/>
        <v>-8.1590484497928593</v>
      </c>
    </row>
    <row r="541" spans="1:34" x14ac:dyDescent="0.25">
      <c r="A541" s="402">
        <f t="shared" ca="1" si="238"/>
        <v>0.1</v>
      </c>
      <c r="B541" s="357">
        <f t="shared" ca="1" si="239"/>
        <v>8.6999999999999247</v>
      </c>
      <c r="C541" s="342"/>
      <c r="D541" s="359">
        <f t="shared" ca="1" si="240"/>
        <v>-2.2863305475356204</v>
      </c>
      <c r="E541" s="360">
        <f t="shared" ca="1" si="241"/>
        <v>-17.463706446388109</v>
      </c>
      <c r="F541" s="357">
        <f t="shared" ca="1" si="242"/>
        <v>17.612732616440077</v>
      </c>
      <c r="G541" s="359">
        <f t="shared" ca="1" si="243"/>
        <v>51.18070152356443</v>
      </c>
      <c r="H541" s="360">
        <f t="shared" ca="1" si="244"/>
        <v>170.35120986081756</v>
      </c>
      <c r="I541" s="357">
        <f t="shared" ca="1" si="245"/>
        <v>177.87354752601215</v>
      </c>
      <c r="J541" s="359">
        <f t="shared" ca="1" si="246"/>
        <v>402.81835774378692</v>
      </c>
      <c r="K541" s="360">
        <f t="shared" ca="1" si="247"/>
        <v>1602.2933490996086</v>
      </c>
      <c r="L541" s="357">
        <f t="shared" ca="1" si="232"/>
        <v>1652.1521134278894</v>
      </c>
      <c r="M541" s="359">
        <f t="shared" ca="1" si="248"/>
        <v>1.2789338437751601</v>
      </c>
      <c r="N541" s="357">
        <f t="shared" ca="1" si="249"/>
        <v>73.277511524760442</v>
      </c>
      <c r="O541" s="343"/>
      <c r="P541" s="363">
        <f t="shared" ca="1" si="250"/>
        <v>23</v>
      </c>
      <c r="Q541" s="357">
        <f t="shared" ca="1" si="251"/>
        <v>0</v>
      </c>
      <c r="R541" s="359">
        <f t="shared" ca="1" si="252"/>
        <v>0</v>
      </c>
      <c r="S541" s="360">
        <f t="shared" ca="1" si="253"/>
        <v>9.637999999999975</v>
      </c>
      <c r="T541" s="357">
        <f t="shared" ca="1" si="233"/>
        <v>94.548779999999766</v>
      </c>
      <c r="U541" s="364">
        <f t="shared" ca="1" si="234"/>
        <v>0</v>
      </c>
      <c r="V541" s="359">
        <f t="shared" ca="1" si="235"/>
        <v>1.0432776873799994</v>
      </c>
      <c r="W541" s="357">
        <f t="shared" ca="1" si="236"/>
        <v>75.374213836348446</v>
      </c>
      <c r="X541" s="343"/>
      <c r="Y541" s="367" t="str">
        <f t="shared" ca="1" si="254"/>
        <v/>
      </c>
      <c r="Z541" s="368" t="str">
        <f t="shared" ca="1" si="255"/>
        <v/>
      </c>
      <c r="AA541" s="369" t="str">
        <f t="shared" ca="1" si="256"/>
        <v/>
      </c>
      <c r="AB541" s="344"/>
      <c r="AC541" s="363" t="e">
        <f t="shared" ca="1" si="257"/>
        <v>#N/A</v>
      </c>
      <c r="AD541" s="376" t="e">
        <f t="shared" ca="1" si="258"/>
        <v>#N/A</v>
      </c>
      <c r="AE541" s="377">
        <f t="shared" ca="1" si="237"/>
        <v>1602.2933490996086</v>
      </c>
      <c r="AF541" s="344"/>
      <c r="AG541" s="359">
        <f t="shared" ca="1" si="259"/>
        <v>-17.387474570547713</v>
      </c>
      <c r="AH541" s="357">
        <f t="shared" ca="1" si="260"/>
        <v>-7.987898956551553</v>
      </c>
    </row>
    <row r="542" spans="1:34" x14ac:dyDescent="0.25">
      <c r="A542" s="402">
        <f t="shared" ca="1" si="238"/>
        <v>0.1</v>
      </c>
      <c r="B542" s="357">
        <f t="shared" ca="1" si="239"/>
        <v>8.7999999999999243</v>
      </c>
      <c r="C542" s="342"/>
      <c r="D542" s="359">
        <f t="shared" ca="1" si="240"/>
        <v>-2.2502498481889113</v>
      </c>
      <c r="E542" s="360">
        <f t="shared" ca="1" si="241"/>
        <v>-17.299791517445485</v>
      </c>
      <c r="F542" s="357">
        <f t="shared" ca="1" si="242"/>
        <v>17.445526960408877</v>
      </c>
      <c r="G542" s="359">
        <f t="shared" ca="1" si="243"/>
        <v>50.955676538745536</v>
      </c>
      <c r="H542" s="360">
        <f t="shared" ca="1" si="244"/>
        <v>168.62123070907302</v>
      </c>
      <c r="I542" s="357">
        <f t="shared" ca="1" si="245"/>
        <v>176.15220809675844</v>
      </c>
      <c r="J542" s="359">
        <f t="shared" ca="1" si="246"/>
        <v>407.9251766469024</v>
      </c>
      <c r="K542" s="360">
        <f t="shared" ca="1" si="247"/>
        <v>1619.2419711281032</v>
      </c>
      <c r="L542" s="357">
        <f t="shared" ca="1" si="232"/>
        <v>1669.834575880267</v>
      </c>
      <c r="M542" s="359">
        <f t="shared" ca="1" si="248"/>
        <v>1.2773314252047236</v>
      </c>
      <c r="N542" s="357">
        <f t="shared" ca="1" si="249"/>
        <v>73.185699703661044</v>
      </c>
      <c r="O542" s="343"/>
      <c r="P542" s="363">
        <f t="shared" ca="1" si="250"/>
        <v>23</v>
      </c>
      <c r="Q542" s="357">
        <f t="shared" ca="1" si="251"/>
        <v>0</v>
      </c>
      <c r="R542" s="359">
        <f t="shared" ca="1" si="252"/>
        <v>0</v>
      </c>
      <c r="S542" s="360">
        <f t="shared" ca="1" si="253"/>
        <v>9.637999999999975</v>
      </c>
      <c r="T542" s="357">
        <f t="shared" ca="1" si="233"/>
        <v>94.548779999999766</v>
      </c>
      <c r="U542" s="364">
        <f t="shared" ca="1" si="234"/>
        <v>0</v>
      </c>
      <c r="V542" s="359">
        <f t="shared" ca="1" si="235"/>
        <v>1.0414994482895441</v>
      </c>
      <c r="W542" s="357">
        <f t="shared" ca="1" si="236"/>
        <v>73.79643291681154</v>
      </c>
      <c r="X542" s="343"/>
      <c r="Y542" s="367" t="str">
        <f t="shared" ca="1" si="254"/>
        <v/>
      </c>
      <c r="Z542" s="368" t="str">
        <f t="shared" ca="1" si="255"/>
        <v/>
      </c>
      <c r="AA542" s="369" t="str">
        <f t="shared" ca="1" si="256"/>
        <v/>
      </c>
      <c r="AB542" s="344"/>
      <c r="AC542" s="363" t="e">
        <f t="shared" ca="1" si="257"/>
        <v>#N/A</v>
      </c>
      <c r="AD542" s="376" t="e">
        <f t="shared" ca="1" si="258"/>
        <v>#N/A</v>
      </c>
      <c r="AE542" s="377">
        <f t="shared" ca="1" si="237"/>
        <v>1619.2419711281032</v>
      </c>
      <c r="AF542" s="344"/>
      <c r="AG542" s="359">
        <f t="shared" ca="1" si="259"/>
        <v>-17.215655862052976</v>
      </c>
      <c r="AH542" s="357">
        <f t="shared" ca="1" si="260"/>
        <v>-7.8205243656721972</v>
      </c>
    </row>
    <row r="543" spans="1:34" x14ac:dyDescent="0.25">
      <c r="A543" s="402">
        <f t="shared" ca="1" si="238"/>
        <v>0.1</v>
      </c>
      <c r="B543" s="357">
        <f t="shared" ca="1" si="239"/>
        <v>8.899999999999924</v>
      </c>
      <c r="C543" s="342"/>
      <c r="D543" s="359">
        <f t="shared" ca="1" si="240"/>
        <v>-2.2148939075987806</v>
      </c>
      <c r="E543" s="360">
        <f t="shared" ca="1" si="241"/>
        <v>-17.139470668598619</v>
      </c>
      <c r="F543" s="357">
        <f t="shared" ca="1" si="242"/>
        <v>17.281990910241522</v>
      </c>
      <c r="G543" s="359">
        <f t="shared" ca="1" si="243"/>
        <v>50.734187147985658</v>
      </c>
      <c r="H543" s="360">
        <f t="shared" ca="1" si="244"/>
        <v>166.90728364221314</v>
      </c>
      <c r="I543" s="357">
        <f t="shared" ca="1" si="245"/>
        <v>174.44769725734136</v>
      </c>
      <c r="J543" s="359">
        <f t="shared" ca="1" si="246"/>
        <v>413.00966983123897</v>
      </c>
      <c r="K543" s="360">
        <f t="shared" ca="1" si="247"/>
        <v>1636.0183968456674</v>
      </c>
      <c r="L543" s="357">
        <f t="shared" ca="1" si="232"/>
        <v>1687.3450098280366</v>
      </c>
      <c r="M543" s="359">
        <f t="shared" ca="1" si="248"/>
        <v>1.2757047215647896</v>
      </c>
      <c r="N543" s="357">
        <f t="shared" ca="1" si="249"/>
        <v>73.092496450574259</v>
      </c>
      <c r="O543" s="343"/>
      <c r="P543" s="363">
        <f t="shared" ca="1" si="250"/>
        <v>23</v>
      </c>
      <c r="Q543" s="357">
        <f t="shared" ca="1" si="251"/>
        <v>0</v>
      </c>
      <c r="R543" s="359">
        <f t="shared" ca="1" si="252"/>
        <v>0</v>
      </c>
      <c r="S543" s="360">
        <f t="shared" ca="1" si="253"/>
        <v>9.637999999999975</v>
      </c>
      <c r="T543" s="357">
        <f t="shared" ca="1" si="233"/>
        <v>94.548779999999766</v>
      </c>
      <c r="U543" s="364">
        <f t="shared" ca="1" si="234"/>
        <v>0</v>
      </c>
      <c r="V543" s="359">
        <f t="shared" ca="1" si="235"/>
        <v>1.0397420195919114</v>
      </c>
      <c r="W543" s="357">
        <f t="shared" ca="1" si="236"/>
        <v>72.253055971739727</v>
      </c>
      <c r="X543" s="343"/>
      <c r="Y543" s="367" t="str">
        <f t="shared" ca="1" si="254"/>
        <v/>
      </c>
      <c r="Z543" s="368" t="str">
        <f t="shared" ca="1" si="255"/>
        <v/>
      </c>
      <c r="AA543" s="369" t="str">
        <f t="shared" ca="1" si="256"/>
        <v/>
      </c>
      <c r="AB543" s="344"/>
      <c r="AC543" s="363" t="e">
        <f t="shared" ca="1" si="257"/>
        <v>#N/A</v>
      </c>
      <c r="AD543" s="376" t="e">
        <f t="shared" ca="1" si="258"/>
        <v>#N/A</v>
      </c>
      <c r="AE543" s="377">
        <f t="shared" ca="1" si="237"/>
        <v>1636.0183968456674</v>
      </c>
      <c r="AF543" s="344"/>
      <c r="AG543" s="359">
        <f t="shared" ca="1" si="259"/>
        <v>-17.047416480382228</v>
      </c>
      <c r="AH543" s="357">
        <f t="shared" ca="1" si="260"/>
        <v>-7.6568201822796977</v>
      </c>
    </row>
    <row r="544" spans="1:34" x14ac:dyDescent="0.25">
      <c r="A544" s="402">
        <f t="shared" ca="1" si="238"/>
        <v>0.1</v>
      </c>
      <c r="B544" s="357">
        <f t="shared" ca="1" si="239"/>
        <v>8.9999999999999236</v>
      </c>
      <c r="C544" s="342"/>
      <c r="D544" s="359">
        <f t="shared" ca="1" si="240"/>
        <v>-2.1802423135204716</v>
      </c>
      <c r="E544" s="360">
        <f t="shared" ca="1" si="241"/>
        <v>-16.982645166661836</v>
      </c>
      <c r="F544" s="357">
        <f t="shared" ca="1" si="242"/>
        <v>17.122023636311443</v>
      </c>
      <c r="G544" s="359">
        <f t="shared" ca="1" si="243"/>
        <v>50.516162916633611</v>
      </c>
      <c r="H544" s="360">
        <f t="shared" ca="1" si="244"/>
        <v>165.20901912554697</v>
      </c>
      <c r="I544" s="357">
        <f t="shared" ca="1" si="245"/>
        <v>172.75966750444161</v>
      </c>
      <c r="J544" s="359">
        <f t="shared" ca="1" si="246"/>
        <v>418.07218733446996</v>
      </c>
      <c r="K544" s="360">
        <f t="shared" ca="1" si="247"/>
        <v>1652.6242119840554</v>
      </c>
      <c r="L544" s="357">
        <f t="shared" ca="1" si="232"/>
        <v>1704.6850559145958</v>
      </c>
      <c r="M544" s="359">
        <f t="shared" ca="1" si="248"/>
        <v>1.2740532834233291</v>
      </c>
      <c r="N544" s="357">
        <f t="shared" ca="1" si="249"/>
        <v>72.997876014941653</v>
      </c>
      <c r="O544" s="343"/>
      <c r="P544" s="363">
        <f t="shared" ca="1" si="250"/>
        <v>23</v>
      </c>
      <c r="Q544" s="357">
        <f t="shared" ca="1" si="251"/>
        <v>0</v>
      </c>
      <c r="R544" s="359">
        <f t="shared" ca="1" si="252"/>
        <v>0</v>
      </c>
      <c r="S544" s="360">
        <f t="shared" ca="1" si="253"/>
        <v>9.637999999999975</v>
      </c>
      <c r="T544" s="357">
        <f t="shared" ca="1" si="233"/>
        <v>94.548779999999766</v>
      </c>
      <c r="U544" s="364">
        <f t="shared" ca="1" si="234"/>
        <v>0</v>
      </c>
      <c r="V544" s="359">
        <f t="shared" ca="1" si="235"/>
        <v>1.0380051452553278</v>
      </c>
      <c r="W544" s="357">
        <f t="shared" ca="1" si="236"/>
        <v>70.743145788351981</v>
      </c>
      <c r="X544" s="343"/>
      <c r="Y544" s="367" t="str">
        <f t="shared" ca="1" si="254"/>
        <v/>
      </c>
      <c r="Z544" s="368" t="str">
        <f t="shared" ca="1" si="255"/>
        <v/>
      </c>
      <c r="AA544" s="369" t="str">
        <f t="shared" ca="1" si="256"/>
        <v/>
      </c>
      <c r="AB544" s="344"/>
      <c r="AC544" s="363">
        <f t="shared" ca="1" si="257"/>
        <v>8.9999999999999236</v>
      </c>
      <c r="AD544" s="376">
        <f t="shared" ca="1" si="258"/>
        <v>418.07218733446996</v>
      </c>
      <c r="AE544" s="377">
        <f t="shared" ca="1" si="237"/>
        <v>1652.6242119840554</v>
      </c>
      <c r="AF544" s="344"/>
      <c r="AG544" s="359">
        <f t="shared" ca="1" si="259"/>
        <v>-16.882653320694669</v>
      </c>
      <c r="AH544" s="357">
        <f t="shared" ca="1" si="260"/>
        <v>-7.4966856164909643</v>
      </c>
    </row>
    <row r="545" spans="1:34" x14ac:dyDescent="0.25">
      <c r="A545" s="402">
        <f t="shared" ca="1" si="238"/>
        <v>0.1</v>
      </c>
      <c r="B545" s="357">
        <f t="shared" ca="1" si="239"/>
        <v>9.0999999999999233</v>
      </c>
      <c r="C545" s="342"/>
      <c r="D545" s="359">
        <f t="shared" ca="1" si="240"/>
        <v>-2.1462753697131207</v>
      </c>
      <c r="E545" s="360">
        <f t="shared" ca="1" si="241"/>
        <v>-16.829219753265747</v>
      </c>
      <c r="F545" s="357">
        <f t="shared" ca="1" si="242"/>
        <v>16.965527856991283</v>
      </c>
      <c r="G545" s="359">
        <f t="shared" ca="1" si="243"/>
        <v>50.301535379662297</v>
      </c>
      <c r="H545" s="360">
        <f t="shared" ca="1" si="244"/>
        <v>163.52609715022041</v>
      </c>
      <c r="I545" s="357">
        <f t="shared" ca="1" si="245"/>
        <v>171.08778130168952</v>
      </c>
      <c r="J545" s="359">
        <f t="shared" ca="1" si="246"/>
        <v>423.11307224928476</v>
      </c>
      <c r="K545" s="360">
        <f t="shared" ca="1" si="247"/>
        <v>1669.0609677978437</v>
      </c>
      <c r="L545" s="357">
        <f t="shared" ca="1" si="232"/>
        <v>1721.8563198288361</v>
      </c>
      <c r="M545" s="359">
        <f t="shared" ca="1" si="248"/>
        <v>1.2723766496420563</v>
      </c>
      <c r="N545" s="357">
        <f t="shared" ca="1" si="249"/>
        <v>72.901811975485657</v>
      </c>
      <c r="O545" s="343"/>
      <c r="P545" s="363">
        <f t="shared" ca="1" si="250"/>
        <v>23</v>
      </c>
      <c r="Q545" s="357">
        <f t="shared" ca="1" si="251"/>
        <v>0</v>
      </c>
      <c r="R545" s="359">
        <f t="shared" ca="1" si="252"/>
        <v>0</v>
      </c>
      <c r="S545" s="360">
        <f t="shared" ca="1" si="253"/>
        <v>9.637999999999975</v>
      </c>
      <c r="T545" s="357">
        <f t="shared" ca="1" si="233"/>
        <v>94.548779999999766</v>
      </c>
      <c r="U545" s="364">
        <f t="shared" ca="1" si="234"/>
        <v>0</v>
      </c>
      <c r="V545" s="359">
        <f t="shared" ca="1" si="235"/>
        <v>1.0362885751172315</v>
      </c>
      <c r="W545" s="357">
        <f t="shared" ca="1" si="236"/>
        <v>69.265797919750284</v>
      </c>
      <c r="X545" s="343"/>
      <c r="Y545" s="367" t="str">
        <f t="shared" ca="1" si="254"/>
        <v/>
      </c>
      <c r="Z545" s="368" t="str">
        <f t="shared" ca="1" si="255"/>
        <v/>
      </c>
      <c r="AA545" s="369" t="str">
        <f t="shared" ca="1" si="256"/>
        <v/>
      </c>
      <c r="AB545" s="344"/>
      <c r="AC545" s="363" t="e">
        <f t="shared" ca="1" si="257"/>
        <v>#N/A</v>
      </c>
      <c r="AD545" s="376" t="e">
        <f t="shared" ca="1" si="258"/>
        <v>#N/A</v>
      </c>
      <c r="AE545" s="377">
        <f t="shared" ca="1" si="237"/>
        <v>1669.0609677978437</v>
      </c>
      <c r="AF545" s="344"/>
      <c r="AG545" s="359">
        <f t="shared" ca="1" si="259"/>
        <v>-16.721266751983244</v>
      </c>
      <c r="AH545" s="357">
        <f t="shared" ca="1" si="260"/>
        <v>-7.3400234268885836</v>
      </c>
    </row>
    <row r="546" spans="1:34" x14ac:dyDescent="0.25">
      <c r="A546" s="402">
        <f t="shared" ca="1" si="238"/>
        <v>0.1</v>
      </c>
      <c r="B546" s="357">
        <f t="shared" ca="1" si="239"/>
        <v>9.1999999999999229</v>
      </c>
      <c r="C546" s="342"/>
      <c r="D546" s="359">
        <f t="shared" ca="1" si="240"/>
        <v>-2.1129740659485448</v>
      </c>
      <c r="E546" s="360">
        <f t="shared" ca="1" si="241"/>
        <v>-16.679102499083946</v>
      </c>
      <c r="F546" s="357">
        <f t="shared" ca="1" si="242"/>
        <v>16.812409689818988</v>
      </c>
      <c r="G546" s="359">
        <f t="shared" ca="1" si="243"/>
        <v>50.090237973067445</v>
      </c>
      <c r="H546" s="360">
        <f t="shared" ca="1" si="244"/>
        <v>161.85818690031201</v>
      </c>
      <c r="I546" s="357">
        <f t="shared" ca="1" si="245"/>
        <v>169.43171074758956</v>
      </c>
      <c r="J546" s="359">
        <f t="shared" ca="1" si="246"/>
        <v>428.13266091692122</v>
      </c>
      <c r="K546" s="360">
        <f t="shared" ca="1" si="247"/>
        <v>1685.3301820003703</v>
      </c>
      <c r="L546" s="357">
        <f t="shared" ca="1" si="232"/>
        <v>1738.8603732632487</v>
      </c>
      <c r="M546" s="359">
        <f t="shared" ca="1" si="248"/>
        <v>1.2706743470190536</v>
      </c>
      <c r="N546" s="357">
        <f t="shared" ca="1" si="249"/>
        <v>72.804277219733549</v>
      </c>
      <c r="O546" s="343"/>
      <c r="P546" s="363">
        <f t="shared" ca="1" si="250"/>
        <v>23</v>
      </c>
      <c r="Q546" s="357">
        <f t="shared" ca="1" si="251"/>
        <v>0</v>
      </c>
      <c r="R546" s="359">
        <f t="shared" ca="1" si="252"/>
        <v>0</v>
      </c>
      <c r="S546" s="360">
        <f t="shared" ca="1" si="253"/>
        <v>9.637999999999975</v>
      </c>
      <c r="T546" s="357">
        <f t="shared" ca="1" si="233"/>
        <v>94.548779999999766</v>
      </c>
      <c r="U546" s="364">
        <f t="shared" ca="1" si="234"/>
        <v>0</v>
      </c>
      <c r="V546" s="359">
        <f t="shared" ca="1" si="235"/>
        <v>1.0345920647162581</v>
      </c>
      <c r="W546" s="357">
        <f t="shared" ca="1" si="236"/>
        <v>67.820139320888956</v>
      </c>
      <c r="X546" s="343"/>
      <c r="Y546" s="367" t="str">
        <f t="shared" ca="1" si="254"/>
        <v/>
      </c>
      <c r="Z546" s="368" t="str">
        <f t="shared" ca="1" si="255"/>
        <v/>
      </c>
      <c r="AA546" s="369" t="str">
        <f t="shared" ca="1" si="256"/>
        <v/>
      </c>
      <c r="AB546" s="344"/>
      <c r="AC546" s="363" t="e">
        <f t="shared" ca="1" si="257"/>
        <v>#N/A</v>
      </c>
      <c r="AD546" s="376" t="e">
        <f t="shared" ca="1" si="258"/>
        <v>#N/A</v>
      </c>
      <c r="AE546" s="377">
        <f t="shared" ca="1" si="237"/>
        <v>1685.3301820003703</v>
      </c>
      <c r="AF546" s="344"/>
      <c r="AG546" s="359">
        <f t="shared" ca="1" si="259"/>
        <v>-16.563160465453542</v>
      </c>
      <c r="AH546" s="357">
        <f t="shared" ca="1" si="260"/>
        <v>-7.1867397717109842</v>
      </c>
    </row>
    <row r="547" spans="1:34" x14ac:dyDescent="0.25">
      <c r="A547" s="402">
        <f t="shared" ca="1" si="238"/>
        <v>0.1</v>
      </c>
      <c r="B547" s="357">
        <f t="shared" ca="1" si="239"/>
        <v>9.2999999999999226</v>
      </c>
      <c r="C547" s="342"/>
      <c r="D547" s="359">
        <f t="shared" ca="1" si="240"/>
        <v>-2.0803200494919771</v>
      </c>
      <c r="E547" s="360">
        <f t="shared" ca="1" si="241"/>
        <v>-16.532204665192143</v>
      </c>
      <c r="F547" s="357">
        <f t="shared" ca="1" si="242"/>
        <v>16.662578509946147</v>
      </c>
      <c r="G547" s="359">
        <f t="shared" ca="1" si="243"/>
        <v>49.882205968118249</v>
      </c>
      <c r="H547" s="360">
        <f t="shared" ca="1" si="244"/>
        <v>160.2049664337928</v>
      </c>
      <c r="I547" s="357">
        <f t="shared" ca="1" si="245"/>
        <v>167.79113725789705</v>
      </c>
      <c r="J547" s="359">
        <f t="shared" ca="1" si="246"/>
        <v>433.13128311398049</v>
      </c>
      <c r="K547" s="360">
        <f t="shared" ca="1" si="247"/>
        <v>1701.4333396670756</v>
      </c>
      <c r="L547" s="357">
        <f t="shared" ca="1" si="232"/>
        <v>1755.6987548388311</v>
      </c>
      <c r="M547" s="359">
        <f t="shared" ca="1" si="248"/>
        <v>1.2689458899184343</v>
      </c>
      <c r="N547" s="357">
        <f t="shared" ca="1" si="249"/>
        <v>72.705243922798644</v>
      </c>
      <c r="O547" s="343"/>
      <c r="P547" s="363">
        <f t="shared" ca="1" si="250"/>
        <v>23</v>
      </c>
      <c r="Q547" s="357">
        <f t="shared" ca="1" si="251"/>
        <v>0</v>
      </c>
      <c r="R547" s="359">
        <f t="shared" ca="1" si="252"/>
        <v>0</v>
      </c>
      <c r="S547" s="360">
        <f t="shared" ca="1" si="253"/>
        <v>9.637999999999975</v>
      </c>
      <c r="T547" s="357">
        <f t="shared" ca="1" si="233"/>
        <v>94.548779999999766</v>
      </c>
      <c r="U547" s="364">
        <f t="shared" ca="1" si="234"/>
        <v>0</v>
      </c>
      <c r="V547" s="359">
        <f t="shared" ca="1" si="235"/>
        <v>1.0329153751303191</v>
      </c>
      <c r="W547" s="357">
        <f t="shared" ca="1" si="236"/>
        <v>66.405327050831247</v>
      </c>
      <c r="X547" s="343"/>
      <c r="Y547" s="367" t="str">
        <f t="shared" ca="1" si="254"/>
        <v/>
      </c>
      <c r="Z547" s="368" t="str">
        <f t="shared" ca="1" si="255"/>
        <v/>
      </c>
      <c r="AA547" s="369" t="str">
        <f t="shared" ca="1" si="256"/>
        <v/>
      </c>
      <c r="AB547" s="344"/>
      <c r="AC547" s="363" t="e">
        <f t="shared" ca="1" si="257"/>
        <v>#N/A</v>
      </c>
      <c r="AD547" s="376" t="e">
        <f t="shared" ca="1" si="258"/>
        <v>#N/A</v>
      </c>
      <c r="AE547" s="377">
        <f t="shared" ca="1" si="237"/>
        <v>1701.4333396670756</v>
      </c>
      <c r="AF547" s="344"/>
      <c r="AG547" s="359">
        <f t="shared" ca="1" si="259"/>
        <v>-16.408241330064172</v>
      </c>
      <c r="AH547" s="357">
        <f t="shared" ca="1" si="260"/>
        <v>-7.0367440673261186</v>
      </c>
    </row>
    <row r="548" spans="1:34" x14ac:dyDescent="0.25">
      <c r="A548" s="402">
        <f t="shared" ca="1" si="238"/>
        <v>0.1</v>
      </c>
      <c r="B548" s="357">
        <f t="shared" ca="1" si="239"/>
        <v>9.3999999999999222</v>
      </c>
      <c r="C548" s="342"/>
      <c r="D548" s="359">
        <f t="shared" ca="1" si="240"/>
        <v>-2.0482955979729138</v>
      </c>
      <c r="E548" s="360">
        <f t="shared" ca="1" si="241"/>
        <v>-16.388440571162157</v>
      </c>
      <c r="F548" s="357">
        <f t="shared" ca="1" si="242"/>
        <v>16.515946815462595</v>
      </c>
      <c r="G548" s="359">
        <f t="shared" ca="1" si="243"/>
        <v>49.67737640832096</v>
      </c>
      <c r="H548" s="360">
        <f t="shared" ca="1" si="244"/>
        <v>158.56612237667659</v>
      </c>
      <c r="I548" s="357">
        <f t="shared" ca="1" si="245"/>
        <v>166.1657512617723</v>
      </c>
      <c r="J548" s="359">
        <f t="shared" ca="1" si="246"/>
        <v>438.10926223280245</v>
      </c>
      <c r="K548" s="360">
        <f t="shared" ca="1" si="247"/>
        <v>1717.371894107599</v>
      </c>
      <c r="L548" s="357">
        <f t="shared" ca="1" si="232"/>
        <v>1772.3729709981735</v>
      </c>
      <c r="M548" s="359">
        <f t="shared" ca="1" si="248"/>
        <v>1.2671907798865214</v>
      </c>
      <c r="N548" s="357">
        <f t="shared" ca="1" si="249"/>
        <v>72.604683525388964</v>
      </c>
      <c r="O548" s="343"/>
      <c r="P548" s="363">
        <f t="shared" ca="1" si="250"/>
        <v>23</v>
      </c>
      <c r="Q548" s="357">
        <f t="shared" ca="1" si="251"/>
        <v>0</v>
      </c>
      <c r="R548" s="359">
        <f t="shared" ca="1" si="252"/>
        <v>0</v>
      </c>
      <c r="S548" s="360">
        <f t="shared" ca="1" si="253"/>
        <v>9.637999999999975</v>
      </c>
      <c r="T548" s="357">
        <f t="shared" ca="1" si="233"/>
        <v>94.548779999999766</v>
      </c>
      <c r="U548" s="364">
        <f t="shared" ca="1" si="234"/>
        <v>0</v>
      </c>
      <c r="V548" s="359">
        <f t="shared" ca="1" si="235"/>
        <v>1.0312582728205146</v>
      </c>
      <c r="W548" s="357">
        <f t="shared" ca="1" si="236"/>
        <v>65.02054703762704</v>
      </c>
      <c r="X548" s="343"/>
      <c r="Y548" s="367" t="str">
        <f t="shared" ca="1" si="254"/>
        <v/>
      </c>
      <c r="Z548" s="368" t="str">
        <f t="shared" ca="1" si="255"/>
        <v/>
      </c>
      <c r="AA548" s="369" t="str">
        <f t="shared" ca="1" si="256"/>
        <v/>
      </c>
      <c r="AB548" s="344"/>
      <c r="AC548" s="363" t="e">
        <f t="shared" ca="1" si="257"/>
        <v>#N/A</v>
      </c>
      <c r="AD548" s="376" t="e">
        <f t="shared" ca="1" si="258"/>
        <v>#N/A</v>
      </c>
      <c r="AE548" s="377">
        <f t="shared" ca="1" si="237"/>
        <v>1717.371894107599</v>
      </c>
      <c r="AF548" s="344"/>
      <c r="AG548" s="359">
        <f t="shared" ca="1" si="259"/>
        <v>-16.256419254816979</v>
      </c>
      <c r="AH548" s="357">
        <f t="shared" ca="1" si="260"/>
        <v>-6.8899488535828404</v>
      </c>
    </row>
    <row r="549" spans="1:34" x14ac:dyDescent="0.25">
      <c r="A549" s="402">
        <f t="shared" ca="1" si="238"/>
        <v>0.1</v>
      </c>
      <c r="B549" s="357">
        <f t="shared" ca="1" si="239"/>
        <v>9.4999999999999218</v>
      </c>
      <c r="C549" s="342"/>
      <c r="D549" s="359">
        <f t="shared" ca="1" si="240"/>
        <v>-2.0168835935694425</v>
      </c>
      <c r="E549" s="360">
        <f t="shared" ca="1" si="241"/>
        <v>-16.247727469518207</v>
      </c>
      <c r="F549" s="357">
        <f t="shared" ca="1" si="242"/>
        <v>16.372430099216977</v>
      </c>
      <c r="G549" s="359">
        <f t="shared" ca="1" si="243"/>
        <v>49.475688048964017</v>
      </c>
      <c r="H549" s="360">
        <f t="shared" ca="1" si="244"/>
        <v>156.94134962972475</v>
      </c>
      <c r="I549" s="357">
        <f t="shared" ca="1" si="245"/>
        <v>164.55525191107668</v>
      </c>
      <c r="J549" s="359">
        <f t="shared" ca="1" si="246"/>
        <v>443.06691545566667</v>
      </c>
      <c r="K549" s="360">
        <f t="shared" ca="1" si="247"/>
        <v>1733.1472677079191</v>
      </c>
      <c r="L549" s="357">
        <f t="shared" ca="1" si="232"/>
        <v>1788.884496868041</v>
      </c>
      <c r="M549" s="359">
        <f t="shared" ca="1" si="248"/>
        <v>1.2654085052540005</v>
      </c>
      <c r="N549" s="357">
        <f t="shared" ca="1" si="249"/>
        <v>72.502566711012292</v>
      </c>
      <c r="O549" s="343"/>
      <c r="P549" s="363">
        <f t="shared" ca="1" si="250"/>
        <v>23</v>
      </c>
      <c r="Q549" s="357">
        <f t="shared" ca="1" si="251"/>
        <v>0</v>
      </c>
      <c r="R549" s="359">
        <f t="shared" ca="1" si="252"/>
        <v>0</v>
      </c>
      <c r="S549" s="360">
        <f t="shared" ca="1" si="253"/>
        <v>9.637999999999975</v>
      </c>
      <c r="T549" s="357">
        <f t="shared" ca="1" si="233"/>
        <v>94.548779999999766</v>
      </c>
      <c r="U549" s="364">
        <f t="shared" ca="1" si="234"/>
        <v>0</v>
      </c>
      <c r="V549" s="359">
        <f t="shared" ca="1" si="235"/>
        <v>1.029620529480624</v>
      </c>
      <c r="W549" s="357">
        <f t="shared" ca="1" si="236"/>
        <v>63.66501290237197</v>
      </c>
      <c r="X549" s="343"/>
      <c r="Y549" s="367" t="str">
        <f t="shared" ca="1" si="254"/>
        <v/>
      </c>
      <c r="Z549" s="368" t="str">
        <f t="shared" ca="1" si="255"/>
        <v/>
      </c>
      <c r="AA549" s="369" t="str">
        <f t="shared" ca="1" si="256"/>
        <v/>
      </c>
      <c r="AB549" s="344"/>
      <c r="AC549" s="363" t="e">
        <f t="shared" ca="1" si="257"/>
        <v>#N/A</v>
      </c>
      <c r="AD549" s="376" t="e">
        <f t="shared" ca="1" si="258"/>
        <v>#N/A</v>
      </c>
      <c r="AE549" s="377">
        <f t="shared" ca="1" si="237"/>
        <v>1733.1472677079191</v>
      </c>
      <c r="AF549" s="344"/>
      <c r="AG549" s="359">
        <f t="shared" ca="1" si="259"/>
        <v>-16.107607057410434</v>
      </c>
      <c r="AH549" s="357">
        <f t="shared" ca="1" si="260"/>
        <v>-6.7462696656595984</v>
      </c>
    </row>
    <row r="550" spans="1:34" x14ac:dyDescent="0.25">
      <c r="A550" s="402">
        <f t="shared" ca="1" si="238"/>
        <v>0.1</v>
      </c>
      <c r="B550" s="357">
        <f t="shared" ca="1" si="239"/>
        <v>9.5999999999999215</v>
      </c>
      <c r="C550" s="342"/>
      <c r="D550" s="359">
        <f t="shared" ca="1" si="240"/>
        <v>-1.9860674984341102</v>
      </c>
      <c r="E550" s="360">
        <f t="shared" ca="1" si="241"/>
        <v>-16.109985426205856</v>
      </c>
      <c r="F550" s="357">
        <f t="shared" ca="1" si="242"/>
        <v>16.231946726776226</v>
      </c>
      <c r="G550" s="359">
        <f t="shared" ca="1" si="243"/>
        <v>49.277081299120603</v>
      </c>
      <c r="H550" s="360">
        <f t="shared" ca="1" si="244"/>
        <v>155.33035108710416</v>
      </c>
      <c r="I550" s="357">
        <f t="shared" ca="1" si="245"/>
        <v>162.95934680221072</v>
      </c>
      <c r="J550" s="359">
        <f t="shared" ca="1" si="246"/>
        <v>448.00455392307089</v>
      </c>
      <c r="K550" s="360">
        <f t="shared" ca="1" si="247"/>
        <v>1748.7608527437606</v>
      </c>
      <c r="L550" s="357">
        <f t="shared" ca="1" si="232"/>
        <v>1805.2347770926901</v>
      </c>
      <c r="M550" s="359">
        <f t="shared" ca="1" si="248"/>
        <v>1.2635985407234822</v>
      </c>
      <c r="N550" s="357">
        <f t="shared" ca="1" si="249"/>
        <v>72.398863382345212</v>
      </c>
      <c r="O550" s="343"/>
      <c r="P550" s="363">
        <f t="shared" ca="1" si="250"/>
        <v>23</v>
      </c>
      <c r="Q550" s="357">
        <f t="shared" ca="1" si="251"/>
        <v>0</v>
      </c>
      <c r="R550" s="359">
        <f t="shared" ca="1" si="252"/>
        <v>0</v>
      </c>
      <c r="S550" s="360">
        <f t="shared" ca="1" si="253"/>
        <v>9.637999999999975</v>
      </c>
      <c r="T550" s="357">
        <f t="shared" ca="1" si="233"/>
        <v>94.548779999999766</v>
      </c>
      <c r="U550" s="364">
        <f t="shared" ca="1" si="234"/>
        <v>0</v>
      </c>
      <c r="V550" s="359">
        <f t="shared" ca="1" si="235"/>
        <v>1.0280019218919454</v>
      </c>
      <c r="W550" s="357">
        <f t="shared" ca="1" si="236"/>
        <v>62.337964839220945</v>
      </c>
      <c r="X550" s="343"/>
      <c r="Y550" s="367" t="str">
        <f t="shared" ca="1" si="254"/>
        <v/>
      </c>
      <c r="Z550" s="368" t="str">
        <f t="shared" ca="1" si="255"/>
        <v/>
      </c>
      <c r="AA550" s="369" t="str">
        <f t="shared" ca="1" si="256"/>
        <v/>
      </c>
      <c r="AB550" s="344"/>
      <c r="AC550" s="363" t="e">
        <f t="shared" ca="1" si="257"/>
        <v>#N/A</v>
      </c>
      <c r="AD550" s="376" t="e">
        <f t="shared" ca="1" si="258"/>
        <v>#N/A</v>
      </c>
      <c r="AE550" s="377">
        <f t="shared" ca="1" si="237"/>
        <v>1748.7608527437606</v>
      </c>
      <c r="AF550" s="344"/>
      <c r="AG550" s="359">
        <f t="shared" ca="1" si="259"/>
        <v>-15.961720338892771</v>
      </c>
      <c r="AH550" s="357">
        <f t="shared" ca="1" si="260"/>
        <v>-6.6056249120535524</v>
      </c>
    </row>
    <row r="551" spans="1:34" x14ac:dyDescent="0.25">
      <c r="A551" s="402">
        <f t="shared" ca="1" si="238"/>
        <v>0.1</v>
      </c>
      <c r="B551" s="357">
        <f t="shared" ca="1" si="239"/>
        <v>9.6999999999999211</v>
      </c>
      <c r="C551" s="342"/>
      <c r="D551" s="359">
        <f t="shared" ca="1" si="240"/>
        <v>-1.9558313312938793</v>
      </c>
      <c r="E551" s="360">
        <f t="shared" ca="1" si="241"/>
        <v>-15.975137206745607</v>
      </c>
      <c r="F551" s="357">
        <f t="shared" ca="1" si="242"/>
        <v>16.094417820189044</v>
      </c>
      <c r="G551" s="359">
        <f t="shared" ca="1" si="243"/>
        <v>49.081498165991214</v>
      </c>
      <c r="H551" s="360">
        <f t="shared" ca="1" si="244"/>
        <v>153.73283736642961</v>
      </c>
      <c r="I551" s="357">
        <f t="shared" ca="1" si="245"/>
        <v>161.37775170992839</v>
      </c>
      <c r="J551" s="359">
        <f t="shared" ca="1" si="246"/>
        <v>452.92248289632647</v>
      </c>
      <c r="K551" s="360">
        <f t="shared" ca="1" si="247"/>
        <v>1764.2140121664372</v>
      </c>
      <c r="L551" s="357">
        <f t="shared" ca="1" si="232"/>
        <v>1821.4252266391204</v>
      </c>
      <c r="M551" s="359">
        <f t="shared" ca="1" si="248"/>
        <v>1.2617603469418814</v>
      </c>
      <c r="N551" s="357">
        <f t="shared" ca="1" si="249"/>
        <v>72.293542636732298</v>
      </c>
      <c r="O551" s="343"/>
      <c r="P551" s="363">
        <f t="shared" ca="1" si="250"/>
        <v>23</v>
      </c>
      <c r="Q551" s="357">
        <f t="shared" ca="1" si="251"/>
        <v>0</v>
      </c>
      <c r="R551" s="359">
        <f t="shared" ca="1" si="252"/>
        <v>0</v>
      </c>
      <c r="S551" s="360">
        <f t="shared" ca="1" si="253"/>
        <v>9.637999999999975</v>
      </c>
      <c r="T551" s="357">
        <f t="shared" ca="1" si="233"/>
        <v>94.548779999999766</v>
      </c>
      <c r="U551" s="364">
        <f t="shared" ca="1" si="234"/>
        <v>0</v>
      </c>
      <c r="V551" s="359">
        <f t="shared" ca="1" si="235"/>
        <v>1.0264022317832593</v>
      </c>
      <c r="W551" s="357">
        <f t="shared" ca="1" si="236"/>
        <v>61.038668548325177</v>
      </c>
      <c r="X551" s="343"/>
      <c r="Y551" s="367" t="str">
        <f t="shared" ca="1" si="254"/>
        <v/>
      </c>
      <c r="Z551" s="368" t="str">
        <f t="shared" ca="1" si="255"/>
        <v/>
      </c>
      <c r="AA551" s="369" t="str">
        <f t="shared" ca="1" si="256"/>
        <v/>
      </c>
      <c r="AB551" s="344"/>
      <c r="AC551" s="363" t="e">
        <f t="shared" ca="1" si="257"/>
        <v>#N/A</v>
      </c>
      <c r="AD551" s="376" t="e">
        <f t="shared" ca="1" si="258"/>
        <v>#N/A</v>
      </c>
      <c r="AE551" s="377">
        <f t="shared" ca="1" si="237"/>
        <v>1764.2140121664372</v>
      </c>
      <c r="AF551" s="344"/>
      <c r="AG551" s="359">
        <f t="shared" ca="1" si="259"/>
        <v>-15.818677363973215</v>
      </c>
      <c r="AH551" s="357">
        <f t="shared" ca="1" si="260"/>
        <v>-6.4679357583752966</v>
      </c>
    </row>
    <row r="552" spans="1:34" x14ac:dyDescent="0.25">
      <c r="A552" s="402">
        <f t="shared" ca="1" si="238"/>
        <v>0.1</v>
      </c>
      <c r="B552" s="357">
        <f t="shared" ca="1" si="239"/>
        <v>9.7999999999999208</v>
      </c>
      <c r="C552" s="342"/>
      <c r="D552" s="359">
        <f t="shared" ca="1" si="240"/>
        <v>-1.9261596451608272</v>
      </c>
      <c r="E552" s="360">
        <f t="shared" ca="1" si="241"/>
        <v>-15.843108167763059</v>
      </c>
      <c r="F552" s="357">
        <f t="shared" ca="1" si="242"/>
        <v>15.959767147238917</v>
      </c>
      <c r="G552" s="359">
        <f t="shared" ca="1" si="243"/>
        <v>48.888882201475134</v>
      </c>
      <c r="H552" s="360">
        <f t="shared" ca="1" si="244"/>
        <v>152.1485265496533</v>
      </c>
      <c r="I552" s="357">
        <f t="shared" ca="1" si="245"/>
        <v>159.81019033259508</v>
      </c>
      <c r="J552" s="359">
        <f t="shared" ca="1" si="246"/>
        <v>457.82100191469976</v>
      </c>
      <c r="K552" s="360">
        <f t="shared" ca="1" si="247"/>
        <v>1779.5080803622413</v>
      </c>
      <c r="L552" s="357">
        <f t="shared" ca="1" si="232"/>
        <v>1837.4572315753878</v>
      </c>
      <c r="M552" s="359">
        <f t="shared" ca="1" si="248"/>
        <v>1.2598933700569988</v>
      </c>
      <c r="N552" s="357">
        <f t="shared" ca="1" si="249"/>
        <v>72.186572740780036</v>
      </c>
      <c r="O552" s="343"/>
      <c r="P552" s="363">
        <f t="shared" ca="1" si="250"/>
        <v>23</v>
      </c>
      <c r="Q552" s="357">
        <f t="shared" ca="1" si="251"/>
        <v>0</v>
      </c>
      <c r="R552" s="359">
        <f t="shared" ca="1" si="252"/>
        <v>0</v>
      </c>
      <c r="S552" s="360">
        <f t="shared" ca="1" si="253"/>
        <v>9.637999999999975</v>
      </c>
      <c r="T552" s="357">
        <f t="shared" ca="1" si="233"/>
        <v>94.548779999999766</v>
      </c>
      <c r="U552" s="364">
        <f t="shared" ca="1" si="234"/>
        <v>0</v>
      </c>
      <c r="V552" s="359">
        <f t="shared" ca="1" si="235"/>
        <v>1.0248212456956936</v>
      </c>
      <c r="W552" s="357">
        <f t="shared" ca="1" si="236"/>
        <v>59.766414218846606</v>
      </c>
      <c r="X552" s="343"/>
      <c r="Y552" s="367" t="str">
        <f t="shared" ca="1" si="254"/>
        <v/>
      </c>
      <c r="Z552" s="368" t="str">
        <f t="shared" ca="1" si="255"/>
        <v/>
      </c>
      <c r="AA552" s="369" t="str">
        <f t="shared" ca="1" si="256"/>
        <v/>
      </c>
      <c r="AB552" s="344"/>
      <c r="AC552" s="363" t="e">
        <f t="shared" ca="1" si="257"/>
        <v>#N/A</v>
      </c>
      <c r="AD552" s="376" t="e">
        <f t="shared" ca="1" si="258"/>
        <v>#N/A</v>
      </c>
      <c r="AE552" s="377">
        <f t="shared" ca="1" si="237"/>
        <v>1779.5080803622413</v>
      </c>
      <c r="AF552" s="344"/>
      <c r="AG552" s="359">
        <f t="shared" ca="1" si="259"/>
        <v>-15.678398946669533</v>
      </c>
      <c r="AH552" s="357">
        <f t="shared" ca="1" si="260"/>
        <v>-6.3331260166347096</v>
      </c>
    </row>
    <row r="553" spans="1:34" x14ac:dyDescent="0.25">
      <c r="A553" s="402">
        <f t="shared" ca="1" si="238"/>
        <v>0.1</v>
      </c>
      <c r="B553" s="357">
        <f t="shared" ca="1" si="239"/>
        <v>9.8999999999999204</v>
      </c>
      <c r="C553" s="342"/>
      <c r="D553" s="359">
        <f t="shared" ca="1" si="240"/>
        <v>-1.8970375060941089</v>
      </c>
      <c r="E553" s="360">
        <f t="shared" ca="1" si="241"/>
        <v>-15.713826153606327</v>
      </c>
      <c r="F553" s="357">
        <f t="shared" ca="1" si="242"/>
        <v>15.827921015891189</v>
      </c>
      <c r="G553" s="359">
        <f t="shared" ca="1" si="243"/>
        <v>48.699178450865723</v>
      </c>
      <c r="H553" s="360">
        <f t="shared" ca="1" si="244"/>
        <v>150.57714393429268</v>
      </c>
      <c r="I553" s="357">
        <f t="shared" ca="1" si="245"/>
        <v>158.2563940483858</v>
      </c>
      <c r="J553" s="359">
        <f t="shared" ca="1" si="246"/>
        <v>462.70040494731683</v>
      </c>
      <c r="K553" s="360">
        <f t="shared" ca="1" si="247"/>
        <v>1794.6443638864387</v>
      </c>
      <c r="L553" s="357">
        <f t="shared" ca="1" si="232"/>
        <v>1853.3321498230616</v>
      </c>
      <c r="M553" s="359">
        <f t="shared" ca="1" si="248"/>
        <v>1.2579970412576593</v>
      </c>
      <c r="N553" s="357">
        <f t="shared" ca="1" si="249"/>
        <v>72.07792110400878</v>
      </c>
      <c r="O553" s="343"/>
      <c r="P553" s="363">
        <f t="shared" ca="1" si="250"/>
        <v>23</v>
      </c>
      <c r="Q553" s="357">
        <f t="shared" ca="1" si="251"/>
        <v>0</v>
      </c>
      <c r="R553" s="359">
        <f t="shared" ca="1" si="252"/>
        <v>0</v>
      </c>
      <c r="S553" s="360">
        <f t="shared" ca="1" si="253"/>
        <v>9.637999999999975</v>
      </c>
      <c r="T553" s="357">
        <f t="shared" ca="1" si="233"/>
        <v>94.548779999999766</v>
      </c>
      <c r="U553" s="364">
        <f t="shared" ca="1" si="234"/>
        <v>0</v>
      </c>
      <c r="V553" s="359">
        <f t="shared" ca="1" si="235"/>
        <v>1.0232587548522989</v>
      </c>
      <c r="W553" s="357">
        <f t="shared" ca="1" si="236"/>
        <v>58.520515559375326</v>
      </c>
      <c r="X553" s="343"/>
      <c r="Y553" s="367" t="str">
        <f t="shared" ca="1" si="254"/>
        <v/>
      </c>
      <c r="Z553" s="368" t="str">
        <f t="shared" ca="1" si="255"/>
        <v/>
      </c>
      <c r="AA553" s="369" t="str">
        <f t="shared" ca="1" si="256"/>
        <v/>
      </c>
      <c r="AB553" s="344"/>
      <c r="AC553" s="363" t="e">
        <f t="shared" ca="1" si="257"/>
        <v>#N/A</v>
      </c>
      <c r="AD553" s="376" t="e">
        <f t="shared" ca="1" si="258"/>
        <v>#N/A</v>
      </c>
      <c r="AE553" s="377">
        <f t="shared" ca="1" si="237"/>
        <v>1794.6443638864387</v>
      </c>
      <c r="AF553" s="344"/>
      <c r="AG553" s="359">
        <f t="shared" ca="1" si="259"/>
        <v>-15.54080834098894</v>
      </c>
      <c r="AH553" s="357">
        <f t="shared" ca="1" si="260"/>
        <v>-6.2011220397226356</v>
      </c>
    </row>
    <row r="554" spans="1:34" x14ac:dyDescent="0.25">
      <c r="A554" s="402">
        <f t="shared" ca="1" si="238"/>
        <v>0.1</v>
      </c>
      <c r="B554" s="357">
        <f t="shared" ca="1" si="239"/>
        <v>9.9999999999999201</v>
      </c>
      <c r="C554" s="342"/>
      <c r="D554" s="359">
        <f t="shared" ca="1" si="240"/>
        <v>-1.868450472957323</v>
      </c>
      <c r="E554" s="360">
        <f t="shared" ca="1" si="241"/>
        <v>-15.587221397778848</v>
      </c>
      <c r="F554" s="357">
        <f t="shared" ca="1" si="242"/>
        <v>15.698808173656662</v>
      </c>
      <c r="G554" s="359">
        <f t="shared" ca="1" si="243"/>
        <v>48.51233340356999</v>
      </c>
      <c r="H554" s="360">
        <f t="shared" ca="1" si="244"/>
        <v>149.01842179451478</v>
      </c>
      <c r="I554" s="357">
        <f t="shared" ca="1" si="245"/>
        <v>156.71610168194923</v>
      </c>
      <c r="J554" s="359">
        <f t="shared" ca="1" si="246"/>
        <v>467.5609805400386</v>
      </c>
      <c r="K554" s="360">
        <f t="shared" ca="1" si="247"/>
        <v>1809.6241421728791</v>
      </c>
      <c r="L554" s="357">
        <f t="shared" ca="1" si="232"/>
        <v>1869.0513118848532</v>
      </c>
      <c r="M554" s="359">
        <f t="shared" ca="1" si="248"/>
        <v>1.2560707762967398</v>
      </c>
      <c r="N554" s="357">
        <f t="shared" ca="1" si="249"/>
        <v>71.967554251524149</v>
      </c>
      <c r="O554" s="343"/>
      <c r="P554" s="363">
        <f t="shared" ca="1" si="250"/>
        <v>23</v>
      </c>
      <c r="Q554" s="357">
        <f t="shared" ca="1" si="251"/>
        <v>0</v>
      </c>
      <c r="R554" s="359">
        <f t="shared" ca="1" si="252"/>
        <v>0</v>
      </c>
      <c r="S554" s="360">
        <f t="shared" ca="1" si="253"/>
        <v>9.637999999999975</v>
      </c>
      <c r="T554" s="357">
        <f t="shared" ca="1" si="233"/>
        <v>94.548779999999766</v>
      </c>
      <c r="U554" s="364">
        <f t="shared" ca="1" si="234"/>
        <v>0</v>
      </c>
      <c r="V554" s="359">
        <f t="shared" ca="1" si="235"/>
        <v>1.0217145550321332</v>
      </c>
      <c r="W554" s="357">
        <f t="shared" ca="1" si="236"/>
        <v>57.300308873235075</v>
      </c>
      <c r="X554" s="343"/>
      <c r="Y554" s="367" t="str">
        <f t="shared" ca="1" si="254"/>
        <v/>
      </c>
      <c r="Z554" s="368" t="str">
        <f t="shared" ca="1" si="255"/>
        <v/>
      </c>
      <c r="AA554" s="369" t="str">
        <f t="shared" ca="1" si="256"/>
        <v/>
      </c>
      <c r="AB554" s="344"/>
      <c r="AC554" s="363">
        <f t="shared" ca="1" si="257"/>
        <v>9.9999999999999201</v>
      </c>
      <c r="AD554" s="376">
        <f t="shared" ca="1" si="258"/>
        <v>467.5609805400386</v>
      </c>
      <c r="AE554" s="377">
        <f t="shared" ca="1" si="237"/>
        <v>1809.6241421728791</v>
      </c>
      <c r="AF554" s="344"/>
      <c r="AG554" s="359">
        <f t="shared" ca="1" si="259"/>
        <v>-15.405831136356881</v>
      </c>
      <c r="AH554" s="357">
        <f t="shared" ca="1" si="260"/>
        <v>-6.071852620810902</v>
      </c>
    </row>
    <row r="555" spans="1:34" x14ac:dyDescent="0.25">
      <c r="A555" s="402">
        <f t="shared" ca="1" si="238"/>
        <v>0.1</v>
      </c>
      <c r="B555" s="357">
        <f t="shared" ca="1" si="239"/>
        <v>10.09999999999992</v>
      </c>
      <c r="C555" s="342"/>
      <c r="D555" s="359">
        <f t="shared" ca="1" si="240"/>
        <v>-1.8403845781187476</v>
      </c>
      <c r="E555" s="360">
        <f t="shared" ca="1" si="241"/>
        <v>-15.463226428931943</v>
      </c>
      <c r="F555" s="357">
        <f t="shared" ca="1" si="242"/>
        <v>15.572359711610718</v>
      </c>
      <c r="G555" s="359">
        <f t="shared" ca="1" si="243"/>
        <v>48.328294945758117</v>
      </c>
      <c r="H555" s="360">
        <f t="shared" ca="1" si="244"/>
        <v>147.47209915162159</v>
      </c>
      <c r="I555" s="357">
        <f t="shared" ca="1" si="245"/>
        <v>155.18905928109075</v>
      </c>
      <c r="J555" s="359">
        <f t="shared" ca="1" si="246"/>
        <v>472.40301195750499</v>
      </c>
      <c r="K555" s="360">
        <f t="shared" ca="1" si="247"/>
        <v>1824.4486682201859</v>
      </c>
      <c r="L555" s="357">
        <f t="shared" ca="1" si="232"/>
        <v>1884.6160215484035</v>
      </c>
      <c r="M555" s="359">
        <f t="shared" ca="1" si="248"/>
        <v>1.2541139749963783</v>
      </c>
      <c r="N555" s="357">
        <f t="shared" ca="1" si="249"/>
        <v>71.855437795667726</v>
      </c>
      <c r="O555" s="343"/>
      <c r="P555" s="363">
        <f t="shared" ca="1" si="250"/>
        <v>23</v>
      </c>
      <c r="Q555" s="357">
        <f t="shared" ca="1" si="251"/>
        <v>0</v>
      </c>
      <c r="R555" s="359">
        <f t="shared" ca="1" si="252"/>
        <v>0</v>
      </c>
      <c r="S555" s="360">
        <f t="shared" ca="1" si="253"/>
        <v>9.637999999999975</v>
      </c>
      <c r="T555" s="357">
        <f t="shared" ca="1" si="233"/>
        <v>94.548779999999766</v>
      </c>
      <c r="U555" s="364">
        <f t="shared" ca="1" si="234"/>
        <v>0</v>
      </c>
      <c r="V555" s="359">
        <f t="shared" ca="1" si="235"/>
        <v>1.020188446448669</v>
      </c>
      <c r="W555" s="357">
        <f t="shared" ca="1" si="236"/>
        <v>56.105152176311854</v>
      </c>
      <c r="X555" s="343"/>
      <c r="Y555" s="367" t="str">
        <f t="shared" ca="1" si="254"/>
        <v/>
      </c>
      <c r="Z555" s="368" t="str">
        <f t="shared" ca="1" si="255"/>
        <v/>
      </c>
      <c r="AA555" s="369" t="str">
        <f t="shared" ca="1" si="256"/>
        <v/>
      </c>
      <c r="AB555" s="344"/>
      <c r="AC555" s="363" t="e">
        <f t="shared" ca="1" si="257"/>
        <v>#N/A</v>
      </c>
      <c r="AD555" s="376" t="e">
        <f t="shared" ca="1" si="258"/>
        <v>#N/A</v>
      </c>
      <c r="AE555" s="377">
        <f t="shared" ca="1" si="237"/>
        <v>1824.4486682201859</v>
      </c>
      <c r="AF555" s="344"/>
      <c r="AG555" s="359">
        <f t="shared" ca="1" si="259"/>
        <v>-15.273395157524202</v>
      </c>
      <c r="AH555" s="357">
        <f t="shared" ca="1" si="260"/>
        <v>-5.9452488974097557</v>
      </c>
    </row>
    <row r="556" spans="1:34" x14ac:dyDescent="0.25">
      <c r="A556" s="402">
        <f t="shared" ca="1" si="238"/>
        <v>0.1</v>
      </c>
      <c r="B556" s="357">
        <f t="shared" ca="1" si="239"/>
        <v>10.199999999999919</v>
      </c>
      <c r="C556" s="342"/>
      <c r="D556" s="359">
        <f t="shared" ca="1" si="240"/>
        <v>-1.8128263090450865</v>
      </c>
      <c r="E556" s="360">
        <f t="shared" ca="1" si="241"/>
        <v>-15.341775981176642</v>
      </c>
      <c r="F556" s="357">
        <f t="shared" ca="1" si="242"/>
        <v>15.448508972822411</v>
      </c>
      <c r="G556" s="359">
        <f t="shared" ca="1" si="243"/>
        <v>48.147012314853605</v>
      </c>
      <c r="H556" s="360">
        <f t="shared" ca="1" si="244"/>
        <v>145.93792155350394</v>
      </c>
      <c r="I556" s="357">
        <f t="shared" ca="1" si="245"/>
        <v>153.67501990305169</v>
      </c>
      <c r="J556" s="359">
        <f t="shared" ca="1" si="246"/>
        <v>477.22677732053558</v>
      </c>
      <c r="K556" s="360">
        <f t="shared" ca="1" si="247"/>
        <v>1839.1191692554421</v>
      </c>
      <c r="L556" s="357">
        <f t="shared" ca="1" si="232"/>
        <v>1900.0275565671598</v>
      </c>
      <c r="M556" s="359">
        <f t="shared" ca="1" si="248"/>
        <v>1.2521260207346423</v>
      </c>
      <c r="N556" s="357">
        <f t="shared" ca="1" si="249"/>
        <v>71.741536406605206</v>
      </c>
      <c r="O556" s="343"/>
      <c r="P556" s="363">
        <f t="shared" ca="1" si="250"/>
        <v>23</v>
      </c>
      <c r="Q556" s="357">
        <f t="shared" ca="1" si="251"/>
        <v>0</v>
      </c>
      <c r="R556" s="359">
        <f t="shared" ca="1" si="252"/>
        <v>0</v>
      </c>
      <c r="S556" s="360">
        <f t="shared" ca="1" si="253"/>
        <v>9.637999999999975</v>
      </c>
      <c r="T556" s="357">
        <f t="shared" ca="1" si="233"/>
        <v>94.548779999999766</v>
      </c>
      <c r="U556" s="364">
        <f t="shared" ca="1" si="234"/>
        <v>0</v>
      </c>
      <c r="V556" s="359">
        <f t="shared" ca="1" si="235"/>
        <v>1.0186802336323602</v>
      </c>
      <c r="W556" s="357">
        <f t="shared" ca="1" si="236"/>
        <v>54.934424355180852</v>
      </c>
      <c r="X556" s="343"/>
      <c r="Y556" s="367" t="str">
        <f t="shared" ca="1" si="254"/>
        <v/>
      </c>
      <c r="Z556" s="368" t="str">
        <f t="shared" ca="1" si="255"/>
        <v/>
      </c>
      <c r="AA556" s="369" t="str">
        <f t="shared" ca="1" si="256"/>
        <v/>
      </c>
      <c r="AB556" s="344"/>
      <c r="AC556" s="363" t="e">
        <f t="shared" ca="1" si="257"/>
        <v>#N/A</v>
      </c>
      <c r="AD556" s="376" t="e">
        <f t="shared" ca="1" si="258"/>
        <v>#N/A</v>
      </c>
      <c r="AE556" s="377">
        <f t="shared" ca="1" si="237"/>
        <v>1839.1191692554421</v>
      </c>
      <c r="AF556" s="344"/>
      <c r="AG556" s="359">
        <f t="shared" ca="1" si="259"/>
        <v>-15.143430368698423</v>
      </c>
      <c r="AH556" s="357">
        <f t="shared" ca="1" si="260"/>
        <v>-5.8212442598373109</v>
      </c>
    </row>
    <row r="557" spans="1:34" x14ac:dyDescent="0.25">
      <c r="A557" s="402">
        <f t="shared" ca="1" si="238"/>
        <v>0.1</v>
      </c>
      <c r="B557" s="357">
        <f t="shared" ca="1" si="239"/>
        <v>10.299999999999919</v>
      </c>
      <c r="C557" s="342"/>
      <c r="D557" s="359">
        <f t="shared" ca="1" si="240"/>
        <v>-1.7857625907422743</v>
      </c>
      <c r="E557" s="360">
        <f t="shared" ca="1" si="241"/>
        <v>-15.222806908488657</v>
      </c>
      <c r="F557" s="357">
        <f t="shared" ca="1" si="242"/>
        <v>15.327191464962672</v>
      </c>
      <c r="G557" s="359">
        <f t="shared" ca="1" si="243"/>
        <v>47.968436055779378</v>
      </c>
      <c r="H557" s="360">
        <f t="shared" ca="1" si="244"/>
        <v>144.41564086265507</v>
      </c>
      <c r="I557" s="357">
        <f t="shared" ca="1" si="245"/>
        <v>152.17374340998768</v>
      </c>
      <c r="J557" s="359">
        <f t="shared" ca="1" si="246"/>
        <v>482.03254973906724</v>
      </c>
      <c r="K557" s="360">
        <f t="shared" ca="1" si="247"/>
        <v>1853.63684737625</v>
      </c>
      <c r="L557" s="357">
        <f t="shared" ca="1" si="232"/>
        <v>1915.2871693192405</v>
      </c>
      <c r="M557" s="359">
        <f t="shared" ca="1" si="248"/>
        <v>1.2501062799128848</v>
      </c>
      <c r="N557" s="357">
        <f t="shared" ca="1" si="249"/>
        <v>71.625813781808219</v>
      </c>
      <c r="O557" s="343"/>
      <c r="P557" s="363">
        <f t="shared" ca="1" si="250"/>
        <v>23</v>
      </c>
      <c r="Q557" s="357">
        <f t="shared" ca="1" si="251"/>
        <v>0</v>
      </c>
      <c r="R557" s="359">
        <f t="shared" ca="1" si="252"/>
        <v>0</v>
      </c>
      <c r="S557" s="360">
        <f t="shared" ca="1" si="253"/>
        <v>9.637999999999975</v>
      </c>
      <c r="T557" s="357">
        <f t="shared" ca="1" si="233"/>
        <v>94.548779999999766</v>
      </c>
      <c r="U557" s="364">
        <f t="shared" ca="1" si="234"/>
        <v>0</v>
      </c>
      <c r="V557" s="359">
        <f t="shared" ca="1" si="235"/>
        <v>1.017189725317182</v>
      </c>
      <c r="W557" s="357">
        <f t="shared" ca="1" si="236"/>
        <v>53.787524363436198</v>
      </c>
      <c r="X557" s="343"/>
      <c r="Y557" s="367" t="str">
        <f t="shared" ca="1" si="254"/>
        <v/>
      </c>
      <c r="Z557" s="368" t="str">
        <f t="shared" ca="1" si="255"/>
        <v/>
      </c>
      <c r="AA557" s="369" t="str">
        <f t="shared" ca="1" si="256"/>
        <v/>
      </c>
      <c r="AB557" s="344"/>
      <c r="AC557" s="363" t="e">
        <f t="shared" ca="1" si="257"/>
        <v>#N/A</v>
      </c>
      <c r="AD557" s="376" t="e">
        <f t="shared" ca="1" si="258"/>
        <v>#N/A</v>
      </c>
      <c r="AE557" s="377">
        <f t="shared" ca="1" si="237"/>
        <v>1853.63684737625</v>
      </c>
      <c r="AF557" s="344"/>
      <c r="AG557" s="359">
        <f t="shared" ca="1" si="259"/>
        <v>-15.015868781658799</v>
      </c>
      <c r="AH557" s="357">
        <f t="shared" ca="1" si="260"/>
        <v>-5.6997742638702009</v>
      </c>
    </row>
    <row r="558" spans="1:34" x14ac:dyDescent="0.25">
      <c r="A558" s="402">
        <f t="shared" ca="1" si="238"/>
        <v>0.1</v>
      </c>
      <c r="B558" s="357">
        <f t="shared" ca="1" si="239"/>
        <v>10.399999999999919</v>
      </c>
      <c r="C558" s="342"/>
      <c r="D558" s="359">
        <f t="shared" ca="1" si="240"/>
        <v>-1.7591807689996339</v>
      </c>
      <c r="E558" s="360">
        <f t="shared" ca="1" si="241"/>
        <v>-15.106258102993364</v>
      </c>
      <c r="F558" s="357">
        <f t="shared" ca="1" si="242"/>
        <v>15.208344776874004</v>
      </c>
      <c r="G558" s="359">
        <f t="shared" ca="1" si="243"/>
        <v>47.792517978879417</v>
      </c>
      <c r="H558" s="360">
        <f t="shared" ca="1" si="244"/>
        <v>142.90501505235574</v>
      </c>
      <c r="I558" s="357">
        <f t="shared" ca="1" si="245"/>
        <v>150.68499627327046</v>
      </c>
      <c r="J558" s="359">
        <f t="shared" ca="1" si="246"/>
        <v>486.82059744080016</v>
      </c>
      <c r="K558" s="360">
        <f t="shared" ca="1" si="247"/>
        <v>1868.0028801720005</v>
      </c>
      <c r="L558" s="357">
        <f t="shared" ca="1" si="232"/>
        <v>1930.3960874451404</v>
      </c>
      <c r="M558" s="359">
        <f t="shared" ca="1" si="248"/>
        <v>1.2480541014029976</v>
      </c>
      <c r="N558" s="357">
        <f t="shared" ca="1" si="249"/>
        <v>71.508232614384241</v>
      </c>
      <c r="O558" s="343"/>
      <c r="P558" s="363">
        <f t="shared" ca="1" si="250"/>
        <v>23</v>
      </c>
      <c r="Q558" s="357">
        <f t="shared" ca="1" si="251"/>
        <v>0</v>
      </c>
      <c r="R558" s="359">
        <f t="shared" ca="1" si="252"/>
        <v>0</v>
      </c>
      <c r="S558" s="360">
        <f t="shared" ca="1" si="253"/>
        <v>9.637999999999975</v>
      </c>
      <c r="T558" s="357">
        <f t="shared" ca="1" si="233"/>
        <v>94.548779999999766</v>
      </c>
      <c r="U558" s="364">
        <f t="shared" ca="1" si="234"/>
        <v>0</v>
      </c>
      <c r="V558" s="359">
        <f t="shared" ca="1" si="235"/>
        <v>1.0157167343310045</v>
      </c>
      <c r="W558" s="357">
        <f t="shared" ca="1" si="236"/>
        <v>52.663870454251736</v>
      </c>
      <c r="X558" s="343"/>
      <c r="Y558" s="367" t="str">
        <f t="shared" ca="1" si="254"/>
        <v/>
      </c>
      <c r="Z558" s="368" t="str">
        <f t="shared" ca="1" si="255"/>
        <v/>
      </c>
      <c r="AA558" s="369" t="str">
        <f t="shared" ca="1" si="256"/>
        <v/>
      </c>
      <c r="AB558" s="344"/>
      <c r="AC558" s="363" t="e">
        <f t="shared" ca="1" si="257"/>
        <v>#N/A</v>
      </c>
      <c r="AD558" s="376" t="e">
        <f t="shared" ca="1" si="258"/>
        <v>#N/A</v>
      </c>
      <c r="AE558" s="377">
        <f t="shared" ca="1" si="237"/>
        <v>1868.0028801720005</v>
      </c>
      <c r="AF558" s="344"/>
      <c r="AG558" s="359">
        <f t="shared" ca="1" si="259"/>
        <v>-14.89064436762785</v>
      </c>
      <c r="AH558" s="357">
        <f t="shared" ca="1" si="260"/>
        <v>-5.5807765473579929</v>
      </c>
    </row>
    <row r="559" spans="1:34" x14ac:dyDescent="0.25">
      <c r="A559" s="402">
        <f t="shared" ca="1" si="238"/>
        <v>0.1</v>
      </c>
      <c r="B559" s="357">
        <f t="shared" ca="1" si="239"/>
        <v>10.499999999999918</v>
      </c>
      <c r="C559" s="342"/>
      <c r="D559" s="359">
        <f t="shared" ca="1" si="240"/>
        <v>-1.7330685943962683</v>
      </c>
      <c r="E559" s="360">
        <f t="shared" ca="1" si="241"/>
        <v>-14.992070416930368</v>
      </c>
      <c r="F559" s="357">
        <f t="shared" ca="1" si="242"/>
        <v>15.091908498897061</v>
      </c>
      <c r="G559" s="359">
        <f t="shared" ca="1" si="243"/>
        <v>47.61921111943979</v>
      </c>
      <c r="H559" s="360">
        <f t="shared" ca="1" si="244"/>
        <v>141.4058080106627</v>
      </c>
      <c r="I559" s="357">
        <f t="shared" ca="1" si="245"/>
        <v>149.20855138625996</v>
      </c>
      <c r="J559" s="359">
        <f t="shared" ca="1" si="246"/>
        <v>491.59118389571614</v>
      </c>
      <c r="K559" s="360">
        <f t="shared" ca="1" si="247"/>
        <v>1882.2184213251514</v>
      </c>
      <c r="L559" s="357">
        <f t="shared" ca="1" si="232"/>
        <v>1945.3555144650904</v>
      </c>
      <c r="M559" s="359">
        <f t="shared" ca="1" si="248"/>
        <v>1.2459688159737259</v>
      </c>
      <c r="N559" s="357">
        <f t="shared" ca="1" si="249"/>
        <v>71.388754560206849</v>
      </c>
      <c r="O559" s="343"/>
      <c r="P559" s="363">
        <f t="shared" ca="1" si="250"/>
        <v>23</v>
      </c>
      <c r="Q559" s="357">
        <f t="shared" ca="1" si="251"/>
        <v>0</v>
      </c>
      <c r="R559" s="359">
        <f t="shared" ca="1" si="252"/>
        <v>0</v>
      </c>
      <c r="S559" s="360">
        <f t="shared" ca="1" si="253"/>
        <v>9.637999999999975</v>
      </c>
      <c r="T559" s="357">
        <f t="shared" ca="1" si="233"/>
        <v>94.548779999999766</v>
      </c>
      <c r="U559" s="364">
        <f t="shared" ca="1" si="234"/>
        <v>0</v>
      </c>
      <c r="V559" s="359">
        <f t="shared" ca="1" si="235"/>
        <v>1.0142610774896303</v>
      </c>
      <c r="W559" s="357">
        <f t="shared" ca="1" si="236"/>
        <v>51.56289944731401</v>
      </c>
      <c r="X559" s="343"/>
      <c r="Y559" s="367" t="str">
        <f t="shared" ca="1" si="254"/>
        <v/>
      </c>
      <c r="Z559" s="368" t="str">
        <f t="shared" ca="1" si="255"/>
        <v/>
      </c>
      <c r="AA559" s="369" t="str">
        <f t="shared" ca="1" si="256"/>
        <v/>
      </c>
      <c r="AB559" s="344"/>
      <c r="AC559" s="363" t="e">
        <f t="shared" ca="1" si="257"/>
        <v>#N/A</v>
      </c>
      <c r="AD559" s="376" t="e">
        <f t="shared" ca="1" si="258"/>
        <v>#N/A</v>
      </c>
      <c r="AE559" s="377">
        <f t="shared" ca="1" si="237"/>
        <v>1882.2184213251514</v>
      </c>
      <c r="AF559" s="344"/>
      <c r="AG559" s="359">
        <f t="shared" ca="1" si="259"/>
        <v>-14.767692972684234</v>
      </c>
      <c r="AH559" s="357">
        <f t="shared" ca="1" si="260"/>
        <v>-5.4641907505967913</v>
      </c>
    </row>
    <row r="560" spans="1:34" x14ac:dyDescent="0.25">
      <c r="A560" s="402">
        <f t="shared" ca="1" si="238"/>
        <v>0.1</v>
      </c>
      <c r="B560" s="357">
        <f t="shared" ca="1" si="239"/>
        <v>10.599999999999918</v>
      </c>
      <c r="C560" s="342"/>
      <c r="D560" s="359">
        <f t="shared" ca="1" si="240"/>
        <v>-1.707414207030937</v>
      </c>
      <c r="E560" s="360">
        <f t="shared" ca="1" si="241"/>
        <v>-14.880186588108579</v>
      </c>
      <c r="F560" s="357">
        <f t="shared" ca="1" si="242"/>
        <v>14.977824146761021</v>
      </c>
      <c r="G560" s="359">
        <f t="shared" ca="1" si="243"/>
        <v>47.448469698736695</v>
      </c>
      <c r="H560" s="360">
        <f t="shared" ca="1" si="244"/>
        <v>139.91778935185184</v>
      </c>
      <c r="I560" s="357">
        <f t="shared" ca="1" si="245"/>
        <v>147.74418788521299</v>
      </c>
      <c r="J560" s="359">
        <f t="shared" ca="1" si="246"/>
        <v>496.34456793662497</v>
      </c>
      <c r="K560" s="360">
        <f t="shared" ca="1" si="247"/>
        <v>1896.2846011932772</v>
      </c>
      <c r="L560" s="357">
        <f t="shared" ca="1" si="232"/>
        <v>1960.1666303768518</v>
      </c>
      <c r="M560" s="359">
        <f t="shared" ca="1" si="248"/>
        <v>1.2438497356951816</v>
      </c>
      <c r="N560" s="357">
        <f t="shared" ca="1" si="249"/>
        <v>71.267340203796849</v>
      </c>
      <c r="O560" s="343"/>
      <c r="P560" s="363">
        <f t="shared" ca="1" si="250"/>
        <v>23</v>
      </c>
      <c r="Q560" s="357">
        <f t="shared" ca="1" si="251"/>
        <v>0</v>
      </c>
      <c r="R560" s="359">
        <f t="shared" ca="1" si="252"/>
        <v>0</v>
      </c>
      <c r="S560" s="360">
        <f t="shared" ca="1" si="253"/>
        <v>9.637999999999975</v>
      </c>
      <c r="T560" s="357">
        <f t="shared" ca="1" si="233"/>
        <v>94.548779999999766</v>
      </c>
      <c r="U560" s="364">
        <f t="shared" ca="1" si="234"/>
        <v>0</v>
      </c>
      <c r="V560" s="359">
        <f t="shared" ca="1" si="235"/>
        <v>1.0128225754943676</v>
      </c>
      <c r="W560" s="357">
        <f t="shared" ca="1" si="236"/>
        <v>50.484066028376297</v>
      </c>
      <c r="X560" s="343"/>
      <c r="Y560" s="367" t="str">
        <f t="shared" ca="1" si="254"/>
        <v/>
      </c>
      <c r="Z560" s="368" t="str">
        <f t="shared" ca="1" si="255"/>
        <v/>
      </c>
      <c r="AA560" s="369" t="str">
        <f t="shared" ca="1" si="256"/>
        <v/>
      </c>
      <c r="AB560" s="344"/>
      <c r="AC560" s="363" t="e">
        <f t="shared" ca="1" si="257"/>
        <v>#N/A</v>
      </c>
      <c r="AD560" s="376" t="e">
        <f t="shared" ca="1" si="258"/>
        <v>#N/A</v>
      </c>
      <c r="AE560" s="377">
        <f t="shared" ca="1" si="237"/>
        <v>1896.2846011932772</v>
      </c>
      <c r="AF560" s="344"/>
      <c r="AG560" s="359">
        <f t="shared" ca="1" si="259"/>
        <v>-14.64695223651308</v>
      </c>
      <c r="AH560" s="357">
        <f t="shared" ca="1" si="260"/>
        <v>-5.349958440269158</v>
      </c>
    </row>
    <row r="561" spans="1:34" x14ac:dyDescent="0.25">
      <c r="A561" s="402">
        <f t="shared" ca="1" si="238"/>
        <v>0.1</v>
      </c>
      <c r="B561" s="357">
        <f t="shared" ca="1" si="239"/>
        <v>10.699999999999918</v>
      </c>
      <c r="C561" s="342"/>
      <c r="D561" s="359">
        <f t="shared" ca="1" si="240"/>
        <v>-1.6822061219389444</v>
      </c>
      <c r="E561" s="360">
        <f t="shared" ca="1" si="241"/>
        <v>-14.770551168673741</v>
      </c>
      <c r="F561" s="357">
        <f t="shared" ca="1" si="242"/>
        <v>14.866035088856009</v>
      </c>
      <c r="G561" s="359">
        <f t="shared" ca="1" si="243"/>
        <v>47.280249086542803</v>
      </c>
      <c r="H561" s="360">
        <f t="shared" ca="1" si="244"/>
        <v>138.44073423498446</v>
      </c>
      <c r="I561" s="357">
        <f t="shared" ca="1" si="245"/>
        <v>146.29169097801531</v>
      </c>
      <c r="J561" s="359">
        <f t="shared" ca="1" si="246"/>
        <v>501.08100387588894</v>
      </c>
      <c r="K561" s="360">
        <f t="shared" ca="1" si="247"/>
        <v>1910.202527372619</v>
      </c>
      <c r="L561" s="357">
        <f t="shared" ca="1" si="232"/>
        <v>1974.8305922346885</v>
      </c>
      <c r="M561" s="359">
        <f t="shared" ca="1" si="248"/>
        <v>1.2416961533206465</v>
      </c>
      <c r="N561" s="357">
        <f t="shared" ca="1" si="249"/>
        <v>71.14394902290222</v>
      </c>
      <c r="O561" s="343"/>
      <c r="P561" s="363">
        <f t="shared" ca="1" si="250"/>
        <v>23</v>
      </c>
      <c r="Q561" s="357">
        <f t="shared" ca="1" si="251"/>
        <v>0</v>
      </c>
      <c r="R561" s="359">
        <f t="shared" ca="1" si="252"/>
        <v>0</v>
      </c>
      <c r="S561" s="360">
        <f t="shared" ca="1" si="253"/>
        <v>9.637999999999975</v>
      </c>
      <c r="T561" s="357">
        <f t="shared" ca="1" si="233"/>
        <v>94.548779999999766</v>
      </c>
      <c r="U561" s="364">
        <f t="shared" ca="1" si="234"/>
        <v>0</v>
      </c>
      <c r="V561" s="359">
        <f t="shared" ca="1" si="235"/>
        <v>1.0114010528329829</v>
      </c>
      <c r="W561" s="357">
        <f t="shared" ca="1" si="236"/>
        <v>49.42684207978192</v>
      </c>
      <c r="X561" s="343"/>
      <c r="Y561" s="367" t="str">
        <f t="shared" ca="1" si="254"/>
        <v/>
      </c>
      <c r="Z561" s="368" t="str">
        <f t="shared" ca="1" si="255"/>
        <v/>
      </c>
      <c r="AA561" s="369" t="str">
        <f t="shared" ca="1" si="256"/>
        <v/>
      </c>
      <c r="AB561" s="344"/>
      <c r="AC561" s="363" t="e">
        <f t="shared" ca="1" si="257"/>
        <v>#N/A</v>
      </c>
      <c r="AD561" s="376" t="e">
        <f t="shared" ca="1" si="258"/>
        <v>#N/A</v>
      </c>
      <c r="AE561" s="377">
        <f t="shared" ca="1" si="237"/>
        <v>1910.202527372619</v>
      </c>
      <c r="AF561" s="344"/>
      <c r="AG561" s="359">
        <f t="shared" ca="1" si="259"/>
        <v>-14.528361514300366</v>
      </c>
      <c r="AH561" s="357">
        <f t="shared" ca="1" si="260"/>
        <v>-5.2380230367686682</v>
      </c>
    </row>
    <row r="562" spans="1:34" x14ac:dyDescent="0.25">
      <c r="A562" s="402">
        <f t="shared" ca="1" si="238"/>
        <v>0.1</v>
      </c>
      <c r="B562" s="357">
        <f t="shared" ca="1" si="239"/>
        <v>10.799999999999917</v>
      </c>
      <c r="C562" s="342"/>
      <c r="D562" s="359">
        <f t="shared" ca="1" si="240"/>
        <v>-1.6574332151616424</v>
      </c>
      <c r="E562" s="360">
        <f t="shared" ca="1" si="241"/>
        <v>-14.663110457020373</v>
      </c>
      <c r="F562" s="357">
        <f t="shared" ca="1" si="242"/>
        <v>14.756486476715969</v>
      </c>
      <c r="G562" s="359">
        <f t="shared" ca="1" si="243"/>
        <v>47.114505765026635</v>
      </c>
      <c r="H562" s="360">
        <f t="shared" ca="1" si="244"/>
        <v>136.97442318928242</v>
      </c>
      <c r="I562" s="357">
        <f t="shared" ca="1" si="245"/>
        <v>144.85085178044125</v>
      </c>
      <c r="J562" s="359">
        <f t="shared" ca="1" si="246"/>
        <v>505.80074161846738</v>
      </c>
      <c r="K562" s="360">
        <f t="shared" ca="1" si="247"/>
        <v>1923.9732852438324</v>
      </c>
      <c r="L562" s="357">
        <f t="shared" ca="1" si="232"/>
        <v>1989.3485347102294</v>
      </c>
      <c r="M562" s="359">
        <f t="shared" ca="1" si="248"/>
        <v>1.2395073416447238</v>
      </c>
      <c r="N562" s="357">
        <f t="shared" ca="1" si="249"/>
        <v>71.018539351722893</v>
      </c>
      <c r="O562" s="343"/>
      <c r="P562" s="363">
        <f t="shared" ca="1" si="250"/>
        <v>23</v>
      </c>
      <c r="Q562" s="357">
        <f t="shared" ca="1" si="251"/>
        <v>0</v>
      </c>
      <c r="R562" s="359">
        <f t="shared" ca="1" si="252"/>
        <v>0</v>
      </c>
      <c r="S562" s="360">
        <f t="shared" ca="1" si="253"/>
        <v>9.637999999999975</v>
      </c>
      <c r="T562" s="357">
        <f t="shared" ca="1" si="233"/>
        <v>94.548779999999766</v>
      </c>
      <c r="U562" s="364">
        <f t="shared" ca="1" si="234"/>
        <v>0</v>
      </c>
      <c r="V562" s="359">
        <f t="shared" ca="1" si="235"/>
        <v>1.0099963376839172</v>
      </c>
      <c r="W562" s="357">
        <f t="shared" ca="1" si="236"/>
        <v>48.390716040399923</v>
      </c>
      <c r="X562" s="343"/>
      <c r="Y562" s="367" t="str">
        <f t="shared" ca="1" si="254"/>
        <v/>
      </c>
      <c r="Z562" s="368" t="str">
        <f t="shared" ca="1" si="255"/>
        <v/>
      </c>
      <c r="AA562" s="369" t="str">
        <f t="shared" ca="1" si="256"/>
        <v/>
      </c>
      <c r="AB562" s="344"/>
      <c r="AC562" s="363" t="e">
        <f t="shared" ca="1" si="257"/>
        <v>#N/A</v>
      </c>
      <c r="AD562" s="376" t="e">
        <f t="shared" ca="1" si="258"/>
        <v>#N/A</v>
      </c>
      <c r="AE562" s="377">
        <f t="shared" ca="1" si="237"/>
        <v>1923.9732852438324</v>
      </c>
      <c r="AF562" s="344"/>
      <c r="AG562" s="359">
        <f t="shared" ca="1" si="259"/>
        <v>-14.411861801587701</v>
      </c>
      <c r="AH562" s="357">
        <f t="shared" ca="1" si="260"/>
        <v>-5.1283297447377096</v>
      </c>
    </row>
    <row r="563" spans="1:34" x14ac:dyDescent="0.25">
      <c r="A563" s="402">
        <f t="shared" ca="1" si="238"/>
        <v>0.1</v>
      </c>
      <c r="B563" s="357">
        <f t="shared" ca="1" si="239"/>
        <v>10.899999999999917</v>
      </c>
      <c r="C563" s="342"/>
      <c r="D563" s="359">
        <f t="shared" ca="1" si="240"/>
        <v>-1.6330847104361623</v>
      </c>
      <c r="E563" s="360">
        <f t="shared" ca="1" si="241"/>
        <v>-14.557812432689818</v>
      </c>
      <c r="F563" s="357">
        <f t="shared" ca="1" si="242"/>
        <v>14.649125178550376</v>
      </c>
      <c r="G563" s="359">
        <f t="shared" ca="1" si="243"/>
        <v>46.951197293983022</v>
      </c>
      <c r="H563" s="360">
        <f t="shared" ca="1" si="244"/>
        <v>135.51864194601345</v>
      </c>
      <c r="I563" s="357">
        <f t="shared" ca="1" si="245"/>
        <v>143.42146715966308</v>
      </c>
      <c r="J563" s="359">
        <f t="shared" ca="1" si="246"/>
        <v>510.50402677141784</v>
      </c>
      <c r="K563" s="360">
        <f t="shared" ca="1" si="247"/>
        <v>1937.5979385005971</v>
      </c>
      <c r="L563" s="357">
        <f t="shared" ca="1" si="232"/>
        <v>2003.7215706358995</v>
      </c>
      <c r="M563" s="359">
        <f t="shared" ca="1" si="248"/>
        <v>1.2372825528368525</v>
      </c>
      <c r="N563" s="357">
        <f t="shared" ca="1" si="249"/>
        <v>70.891068342723926</v>
      </c>
      <c r="O563" s="343"/>
      <c r="P563" s="363">
        <f t="shared" ca="1" si="250"/>
        <v>23</v>
      </c>
      <c r="Q563" s="357">
        <f t="shared" ca="1" si="251"/>
        <v>0</v>
      </c>
      <c r="R563" s="359">
        <f t="shared" ca="1" si="252"/>
        <v>0</v>
      </c>
      <c r="S563" s="360">
        <f t="shared" ca="1" si="253"/>
        <v>9.637999999999975</v>
      </c>
      <c r="T563" s="357">
        <f t="shared" ca="1" si="233"/>
        <v>94.548779999999766</v>
      </c>
      <c r="U563" s="364">
        <f t="shared" ca="1" si="234"/>
        <v>0</v>
      </c>
      <c r="V563" s="359">
        <f t="shared" ca="1" si="235"/>
        <v>1.0086082618236318</v>
      </c>
      <c r="W563" s="357">
        <f t="shared" ca="1" si="236"/>
        <v>47.375192293502963</v>
      </c>
      <c r="X563" s="343"/>
      <c r="Y563" s="367" t="str">
        <f t="shared" ca="1" si="254"/>
        <v/>
      </c>
      <c r="Z563" s="368" t="str">
        <f t="shared" ca="1" si="255"/>
        <v/>
      </c>
      <c r="AA563" s="369" t="str">
        <f t="shared" ca="1" si="256"/>
        <v/>
      </c>
      <c r="AB563" s="344"/>
      <c r="AC563" s="363" t="e">
        <f t="shared" ca="1" si="257"/>
        <v>#N/A</v>
      </c>
      <c r="AD563" s="376" t="e">
        <f t="shared" ca="1" si="258"/>
        <v>#N/A</v>
      </c>
      <c r="AE563" s="377">
        <f t="shared" ca="1" si="237"/>
        <v>1937.5979385005971</v>
      </c>
      <c r="AF563" s="344"/>
      <c r="AG563" s="359">
        <f t="shared" ca="1" si="259"/>
        <v>-14.297395661912933</v>
      </c>
      <c r="AH563" s="357">
        <f t="shared" ca="1" si="260"/>
        <v>-5.0208254866569879</v>
      </c>
    </row>
    <row r="564" spans="1:34" x14ac:dyDescent="0.25">
      <c r="A564" s="402">
        <f t="shared" ca="1" si="238"/>
        <v>0.1</v>
      </c>
      <c r="B564" s="357">
        <f t="shared" ca="1" si="239"/>
        <v>10.999999999999917</v>
      </c>
      <c r="C564" s="342"/>
      <c r="D564" s="359">
        <f t="shared" ca="1" si="240"/>
        <v>-1.6091501664748091</v>
      </c>
      <c r="E564" s="360">
        <f t="shared" ca="1" si="241"/>
        <v>-14.454606694104775</v>
      </c>
      <c r="F564" s="357">
        <f t="shared" ca="1" si="242"/>
        <v>14.543899715672014</v>
      </c>
      <c r="G564" s="359">
        <f t="shared" ca="1" si="243"/>
        <v>46.790282277335542</v>
      </c>
      <c r="H564" s="360">
        <f t="shared" ca="1" si="244"/>
        <v>134.07318127660298</v>
      </c>
      <c r="I564" s="357">
        <f t="shared" ca="1" si="245"/>
        <v>142.00333958474914</v>
      </c>
      <c r="J564" s="359">
        <f t="shared" ca="1" si="246"/>
        <v>515.19110074998378</v>
      </c>
      <c r="K564" s="360">
        <f t="shared" ca="1" si="247"/>
        <v>1951.077529661728</v>
      </c>
      <c r="L564" s="357">
        <f t="shared" ca="1" si="232"/>
        <v>2017.9507915315703</v>
      </c>
      <c r="M564" s="359">
        <f t="shared" ca="1" si="248"/>
        <v>1.2350210177491587</v>
      </c>
      <c r="N564" s="357">
        <f t="shared" ca="1" si="249"/>
        <v>70.761491926978323</v>
      </c>
      <c r="O564" s="343"/>
      <c r="P564" s="363">
        <f t="shared" ca="1" si="250"/>
        <v>23</v>
      </c>
      <c r="Q564" s="357">
        <f t="shared" ca="1" si="251"/>
        <v>0</v>
      </c>
      <c r="R564" s="359">
        <f t="shared" ca="1" si="252"/>
        <v>0</v>
      </c>
      <c r="S564" s="360">
        <f t="shared" ca="1" si="253"/>
        <v>9.637999999999975</v>
      </c>
      <c r="T564" s="357">
        <f t="shared" ca="1" si="233"/>
        <v>94.548779999999766</v>
      </c>
      <c r="U564" s="364">
        <f t="shared" ca="1" si="234"/>
        <v>0</v>
      </c>
      <c r="V564" s="359">
        <f t="shared" ca="1" si="235"/>
        <v>1.00723666053696</v>
      </c>
      <c r="W564" s="357">
        <f t="shared" ca="1" si="236"/>
        <v>46.379790581200126</v>
      </c>
      <c r="X564" s="343"/>
      <c r="Y564" s="367" t="str">
        <f t="shared" ca="1" si="254"/>
        <v/>
      </c>
      <c r="Z564" s="368" t="str">
        <f t="shared" ca="1" si="255"/>
        <v/>
      </c>
      <c r="AA564" s="369" t="str">
        <f t="shared" ca="1" si="256"/>
        <v/>
      </c>
      <c r="AB564" s="344"/>
      <c r="AC564" s="363">
        <f t="shared" ca="1" si="257"/>
        <v>10.999999999999917</v>
      </c>
      <c r="AD564" s="376">
        <f t="shared" ca="1" si="258"/>
        <v>515.19110074998378</v>
      </c>
      <c r="AE564" s="377">
        <f t="shared" ca="1" si="237"/>
        <v>1951.077529661728</v>
      </c>
      <c r="AF564" s="344"/>
      <c r="AG564" s="359">
        <f t="shared" ca="1" si="259"/>
        <v>-14.184907157070375</v>
      </c>
      <c r="AH564" s="357">
        <f t="shared" ca="1" si="260"/>
        <v>-4.9154588393342067</v>
      </c>
    </row>
    <row r="565" spans="1:34" x14ac:dyDescent="0.25">
      <c r="A565" s="402">
        <f t="shared" ca="1" si="238"/>
        <v>0.1</v>
      </c>
      <c r="B565" s="357">
        <f t="shared" ca="1" si="239"/>
        <v>11.099999999999916</v>
      </c>
      <c r="C565" s="342"/>
      <c r="D565" s="359">
        <f t="shared" ca="1" si="240"/>
        <v>-1.5856194648052986</v>
      </c>
      <c r="E565" s="360">
        <f t="shared" ca="1" si="241"/>
        <v>-14.353444398999185</v>
      </c>
      <c r="F565" s="357">
        <f t="shared" ca="1" si="242"/>
        <v>14.440760201676728</v>
      </c>
      <c r="G565" s="359">
        <f t="shared" ca="1" si="243"/>
        <v>46.631720330855011</v>
      </c>
      <c r="H565" s="360">
        <f t="shared" ca="1" si="244"/>
        <v>132.63783683670306</v>
      </c>
      <c r="I565" s="357">
        <f t="shared" ca="1" si="245"/>
        <v>140.596276983905</v>
      </c>
      <c r="J565" s="359">
        <f t="shared" ca="1" si="246"/>
        <v>519.86220088039329</v>
      </c>
      <c r="K565" s="360">
        <f t="shared" ca="1" si="247"/>
        <v>1964.4130805673933</v>
      </c>
      <c r="L565" s="357">
        <f t="shared" ca="1" si="232"/>
        <v>2032.0372681150516</v>
      </c>
      <c r="M565" s="359">
        <f t="shared" ca="1" si="248"/>
        <v>1.2327219451975706</v>
      </c>
      <c r="N565" s="357">
        <f t="shared" ca="1" si="249"/>
        <v>70.62976477297795</v>
      </c>
      <c r="O565" s="343"/>
      <c r="P565" s="363">
        <f t="shared" ca="1" si="250"/>
        <v>23</v>
      </c>
      <c r="Q565" s="357">
        <f t="shared" ca="1" si="251"/>
        <v>0</v>
      </c>
      <c r="R565" s="359">
        <f t="shared" ca="1" si="252"/>
        <v>0</v>
      </c>
      <c r="S565" s="360">
        <f t="shared" ca="1" si="253"/>
        <v>9.637999999999975</v>
      </c>
      <c r="T565" s="357">
        <f t="shared" ca="1" si="233"/>
        <v>94.548779999999766</v>
      </c>
      <c r="U565" s="364">
        <f t="shared" ca="1" si="234"/>
        <v>0</v>
      </c>
      <c r="V565" s="359">
        <f t="shared" ca="1" si="235"/>
        <v>1.0058813725303613</v>
      </c>
      <c r="W565" s="357">
        <f t="shared" ca="1" si="236"/>
        <v>45.404045444115205</v>
      </c>
      <c r="X565" s="343"/>
      <c r="Y565" s="367" t="str">
        <f t="shared" ca="1" si="254"/>
        <v/>
      </c>
      <c r="Z565" s="368" t="str">
        <f t="shared" ca="1" si="255"/>
        <v/>
      </c>
      <c r="AA565" s="369" t="str">
        <f t="shared" ca="1" si="256"/>
        <v/>
      </c>
      <c r="AB565" s="344"/>
      <c r="AC565" s="363" t="e">
        <f t="shared" ca="1" si="257"/>
        <v>#N/A</v>
      </c>
      <c r="AD565" s="376" t="e">
        <f t="shared" ca="1" si="258"/>
        <v>#N/A</v>
      </c>
      <c r="AE565" s="377">
        <f t="shared" ca="1" si="237"/>
        <v>1964.4130805673933</v>
      </c>
      <c r="AF565" s="344"/>
      <c r="AG565" s="359">
        <f t="shared" ca="1" si="259"/>
        <v>-14.074341779832217</v>
      </c>
      <c r="AH565" s="357">
        <f t="shared" ca="1" si="260"/>
        <v>-4.8121799731479813</v>
      </c>
    </row>
    <row r="566" spans="1:34" x14ac:dyDescent="0.25">
      <c r="A566" s="402">
        <f t="shared" ca="1" si="238"/>
        <v>0.1</v>
      </c>
      <c r="B566" s="357">
        <f t="shared" ca="1" si="239"/>
        <v>11.199999999999916</v>
      </c>
      <c r="C566" s="342"/>
      <c r="D566" s="359">
        <f t="shared" ca="1" si="240"/>
        <v>-1.5624827981446707</v>
      </c>
      <c r="E566" s="360">
        <f t="shared" ca="1" si="241"/>
        <v>-14.254278207410245</v>
      </c>
      <c r="F566" s="357">
        <f t="shared" ca="1" si="242"/>
        <v>14.339658284239155</v>
      </c>
      <c r="G566" s="359">
        <f t="shared" ca="1" si="243"/>
        <v>46.475472051040541</v>
      </c>
      <c r="H566" s="360">
        <f t="shared" ca="1" si="244"/>
        <v>131.21240901596204</v>
      </c>
      <c r="I566" s="357">
        <f t="shared" ca="1" si="245"/>
        <v>139.20009260822769</v>
      </c>
      <c r="J566" s="359">
        <f t="shared" ca="1" si="246"/>
        <v>524.51756049948801</v>
      </c>
      <c r="K566" s="360">
        <f t="shared" ca="1" si="247"/>
        <v>1977.6055928600265</v>
      </c>
      <c r="L566" s="357">
        <f t="shared" ca="1" si="232"/>
        <v>2045.9820507970228</v>
      </c>
      <c r="M566" s="359">
        <f t="shared" ca="1" si="248"/>
        <v>1.2303845212150837</v>
      </c>
      <c r="N566" s="357">
        <f t="shared" ca="1" si="249"/>
        <v>70.495840243848789</v>
      </c>
      <c r="O566" s="343"/>
      <c r="P566" s="363">
        <f t="shared" ca="1" si="250"/>
        <v>23</v>
      </c>
      <c r="Q566" s="357">
        <f t="shared" ca="1" si="251"/>
        <v>0</v>
      </c>
      <c r="R566" s="359">
        <f t="shared" ca="1" si="252"/>
        <v>0</v>
      </c>
      <c r="S566" s="360">
        <f t="shared" ca="1" si="253"/>
        <v>9.637999999999975</v>
      </c>
      <c r="T566" s="357">
        <f t="shared" ca="1" si="233"/>
        <v>94.548779999999766</v>
      </c>
      <c r="U566" s="364">
        <f t="shared" ca="1" si="234"/>
        <v>0</v>
      </c>
      <c r="V566" s="359">
        <f t="shared" ca="1" si="235"/>
        <v>1.0045422398479513</v>
      </c>
      <c r="W566" s="357">
        <f t="shared" ca="1" si="236"/>
        <v>44.447505685072123</v>
      </c>
      <c r="X566" s="343"/>
      <c r="Y566" s="367" t="str">
        <f t="shared" ca="1" si="254"/>
        <v/>
      </c>
      <c r="Z566" s="368" t="str">
        <f t="shared" ca="1" si="255"/>
        <v/>
      </c>
      <c r="AA566" s="369" t="str">
        <f t="shared" ca="1" si="256"/>
        <v/>
      </c>
      <c r="AB566" s="344"/>
      <c r="AC566" s="363" t="e">
        <f t="shared" ca="1" si="257"/>
        <v>#N/A</v>
      </c>
      <c r="AD566" s="376" t="e">
        <f t="shared" ca="1" si="258"/>
        <v>#N/A</v>
      </c>
      <c r="AE566" s="377">
        <f t="shared" ca="1" si="237"/>
        <v>1977.6055928600265</v>
      </c>
      <c r="AF566" s="344"/>
      <c r="AG566" s="359">
        <f t="shared" ca="1" si="259"/>
        <v>-13.96564638898001</v>
      </c>
      <c r="AH566" s="357">
        <f t="shared" ca="1" si="260"/>
        <v>-4.7109405939111149</v>
      </c>
    </row>
    <row r="567" spans="1:34" x14ac:dyDescent="0.25">
      <c r="A567" s="402">
        <f t="shared" ca="1" si="238"/>
        <v>0.1</v>
      </c>
      <c r="B567" s="357">
        <f t="shared" ca="1" si="239"/>
        <v>11.299999999999915</v>
      </c>
      <c r="C567" s="342"/>
      <c r="D567" s="359">
        <f t="shared" ca="1" si="240"/>
        <v>-1.5397306592811875</v>
      </c>
      <c r="E567" s="360">
        <f t="shared" ca="1" si="241"/>
        <v>-14.157062227106456</v>
      </c>
      <c r="F567" s="357">
        <f t="shared" ca="1" si="242"/>
        <v>14.240547089395649</v>
      </c>
      <c r="G567" s="359">
        <f t="shared" ca="1" si="243"/>
        <v>46.32149898511242</v>
      </c>
      <c r="H567" s="360">
        <f t="shared" ca="1" si="244"/>
        <v>129.7967027932514</v>
      </c>
      <c r="I567" s="357">
        <f t="shared" ca="1" si="245"/>
        <v>137.81460490175706</v>
      </c>
      <c r="J567" s="359">
        <f t="shared" ca="1" si="246"/>
        <v>529.15740905129564</v>
      </c>
      <c r="K567" s="360">
        <f t="shared" ca="1" si="247"/>
        <v>1990.6560484504871</v>
      </c>
      <c r="L567" s="357">
        <f t="shared" ca="1" si="232"/>
        <v>2059.7861701609681</v>
      </c>
      <c r="M567" s="359">
        <f t="shared" ca="1" si="248"/>
        <v>1.2280079082760107</v>
      </c>
      <c r="N567" s="357">
        <f t="shared" ca="1" si="249"/>
        <v>70.359670352903734</v>
      </c>
      <c r="O567" s="343"/>
      <c r="P567" s="363">
        <f t="shared" ca="1" si="250"/>
        <v>23</v>
      </c>
      <c r="Q567" s="357">
        <f t="shared" ca="1" si="251"/>
        <v>0</v>
      </c>
      <c r="R567" s="359">
        <f t="shared" ca="1" si="252"/>
        <v>0</v>
      </c>
      <c r="S567" s="360">
        <f t="shared" ca="1" si="253"/>
        <v>9.637999999999975</v>
      </c>
      <c r="T567" s="357">
        <f t="shared" ca="1" si="233"/>
        <v>94.548779999999766</v>
      </c>
      <c r="U567" s="364">
        <f t="shared" ca="1" si="234"/>
        <v>0</v>
      </c>
      <c r="V567" s="359">
        <f t="shared" ca="1" si="235"/>
        <v>1.0032191077902224</v>
      </c>
      <c r="W567" s="357">
        <f t="shared" ca="1" si="236"/>
        <v>43.509733855618848</v>
      </c>
      <c r="X567" s="343"/>
      <c r="Y567" s="367" t="str">
        <f t="shared" ca="1" si="254"/>
        <v/>
      </c>
      <c r="Z567" s="368" t="str">
        <f t="shared" ca="1" si="255"/>
        <v/>
      </c>
      <c r="AA567" s="369" t="str">
        <f t="shared" ca="1" si="256"/>
        <v/>
      </c>
      <c r="AB567" s="344"/>
      <c r="AC567" s="363" t="e">
        <f t="shared" ca="1" si="257"/>
        <v>#N/A</v>
      </c>
      <c r="AD567" s="376" t="e">
        <f t="shared" ca="1" si="258"/>
        <v>#N/A</v>
      </c>
      <c r="AE567" s="377">
        <f t="shared" ca="1" si="237"/>
        <v>1990.6560484504871</v>
      </c>
      <c r="AF567" s="344"/>
      <c r="AG567" s="359">
        <f t="shared" ca="1" si="259"/>
        <v>-13.858769146501603</v>
      </c>
      <c r="AH567" s="357">
        <f t="shared" ca="1" si="260"/>
        <v>-4.6116938872247601</v>
      </c>
    </row>
    <row r="568" spans="1:34" x14ac:dyDescent="0.25">
      <c r="A568" s="402">
        <f t="shared" ca="1" si="238"/>
        <v>0.1</v>
      </c>
      <c r="B568" s="357">
        <f t="shared" ca="1" si="239"/>
        <v>11.399999999999915</v>
      </c>
      <c r="C568" s="342"/>
      <c r="D568" s="359">
        <f t="shared" ca="1" si="240"/>
        <v>-1.5173538304400382</v>
      </c>
      <c r="E568" s="360">
        <f t="shared" ca="1" si="241"/>
        <v>-14.061751961332805</v>
      </c>
      <c r="F568" s="357">
        <f t="shared" ca="1" si="242"/>
        <v>14.143381168193057</v>
      </c>
      <c r="G568" s="359">
        <f t="shared" ca="1" si="243"/>
        <v>46.169763602068414</v>
      </c>
      <c r="H568" s="360">
        <f t="shared" ca="1" si="244"/>
        <v>128.39052759711811</v>
      </c>
      <c r="I568" s="357">
        <f t="shared" ca="1" si="245"/>
        <v>136.43963737762289</v>
      </c>
      <c r="J568" s="359">
        <f t="shared" ca="1" si="246"/>
        <v>533.78197218065463</v>
      </c>
      <c r="K568" s="360">
        <f t="shared" ca="1" si="247"/>
        <v>2003.5654099700055</v>
      </c>
      <c r="L568" s="357">
        <f t="shared" ca="1" si="232"/>
        <v>2073.4506374286671</v>
      </c>
      <c r="M568" s="359">
        <f t="shared" ca="1" si="248"/>
        <v>1.2255912444900035</v>
      </c>
      <c r="N568" s="357">
        <f t="shared" ca="1" si="249"/>
        <v>70.221205717463405</v>
      </c>
      <c r="O568" s="343"/>
      <c r="P568" s="363">
        <f t="shared" ca="1" si="250"/>
        <v>23</v>
      </c>
      <c r="Q568" s="357">
        <f t="shared" ca="1" si="251"/>
        <v>0</v>
      </c>
      <c r="R568" s="359">
        <f t="shared" ca="1" si="252"/>
        <v>0</v>
      </c>
      <c r="S568" s="360">
        <f t="shared" ca="1" si="253"/>
        <v>9.637999999999975</v>
      </c>
      <c r="T568" s="357">
        <f t="shared" ca="1" si="233"/>
        <v>94.548779999999766</v>
      </c>
      <c r="U568" s="364">
        <f t="shared" ca="1" si="234"/>
        <v>0</v>
      </c>
      <c r="V568" s="359">
        <f t="shared" ca="1" si="235"/>
        <v>1.0019118248353369</v>
      </c>
      <c r="W568" s="357">
        <f t="shared" ca="1" si="236"/>
        <v>42.590305764284111</v>
      </c>
      <c r="X568" s="343"/>
      <c r="Y568" s="367" t="str">
        <f t="shared" ca="1" si="254"/>
        <v/>
      </c>
      <c r="Z568" s="368" t="str">
        <f t="shared" ca="1" si="255"/>
        <v/>
      </c>
      <c r="AA568" s="369" t="str">
        <f t="shared" ca="1" si="256"/>
        <v/>
      </c>
      <c r="AB568" s="344"/>
      <c r="AC568" s="363" t="e">
        <f t="shared" ca="1" si="257"/>
        <v>#N/A</v>
      </c>
      <c r="AD568" s="376" t="e">
        <f t="shared" ca="1" si="258"/>
        <v>#N/A</v>
      </c>
      <c r="AE568" s="377">
        <f t="shared" ca="1" si="237"/>
        <v>2003.5654099700055</v>
      </c>
      <c r="AF568" s="344"/>
      <c r="AG568" s="359">
        <f t="shared" ca="1" si="259"/>
        <v>-13.753659456815324</v>
      </c>
      <c r="AH568" s="357">
        <f t="shared" ca="1" si="260"/>
        <v>-4.5143944652022165</v>
      </c>
    </row>
    <row r="569" spans="1:34" x14ac:dyDescent="0.25">
      <c r="A569" s="402">
        <f t="shared" ca="1" si="238"/>
        <v>0.1</v>
      </c>
      <c r="B569" s="357">
        <f t="shared" ca="1" si="239"/>
        <v>11.499999999999915</v>
      </c>
      <c r="C569" s="342"/>
      <c r="D569" s="359">
        <f t="shared" ca="1" si="240"/>
        <v>-1.4953433731099677</v>
      </c>
      <c r="E569" s="360">
        <f t="shared" ca="1" si="241"/>
        <v>-13.968304258760423</v>
      </c>
      <c r="F569" s="357">
        <f t="shared" ca="1" si="242"/>
        <v>14.048116445588301</v>
      </c>
      <c r="G569" s="359">
        <f t="shared" ca="1" si="243"/>
        <v>46.020229264757418</v>
      </c>
      <c r="H569" s="360">
        <f t="shared" ca="1" si="244"/>
        <v>126.99369717124206</v>
      </c>
      <c r="I569" s="357">
        <f t="shared" ca="1" si="245"/>
        <v>135.07501850009857</v>
      </c>
      <c r="J569" s="359">
        <f t="shared" ca="1" si="246"/>
        <v>538.39147182399597</v>
      </c>
      <c r="K569" s="360">
        <f t="shared" ca="1" si="247"/>
        <v>2016.3346212084234</v>
      </c>
      <c r="L569" s="357">
        <f t="shared" ca="1" si="232"/>
        <v>2086.9764449117592</v>
      </c>
      <c r="M569" s="359">
        <f t="shared" ca="1" si="248"/>
        <v>1.2231336427645831</v>
      </c>
      <c r="N569" s="357">
        <f t="shared" ca="1" si="249"/>
        <v>70.080395510872762</v>
      </c>
      <c r="O569" s="343"/>
      <c r="P569" s="363">
        <f t="shared" ca="1" si="250"/>
        <v>23</v>
      </c>
      <c r="Q569" s="357">
        <f t="shared" ca="1" si="251"/>
        <v>0</v>
      </c>
      <c r="R569" s="359">
        <f t="shared" ca="1" si="252"/>
        <v>0</v>
      </c>
      <c r="S569" s="360">
        <f t="shared" ca="1" si="253"/>
        <v>9.637999999999975</v>
      </c>
      <c r="T569" s="357">
        <f t="shared" ca="1" si="233"/>
        <v>94.548779999999766</v>
      </c>
      <c r="U569" s="364">
        <f t="shared" ca="1" si="234"/>
        <v>0</v>
      </c>
      <c r="V569" s="359">
        <f t="shared" ca="1" si="235"/>
        <v>1.0006202425629063</v>
      </c>
      <c r="W569" s="357">
        <f t="shared" ca="1" si="236"/>
        <v>41.688810005521105</v>
      </c>
      <c r="X569" s="343"/>
      <c r="Y569" s="367" t="str">
        <f t="shared" ca="1" si="254"/>
        <v/>
      </c>
      <c r="Z569" s="368" t="str">
        <f t="shared" ca="1" si="255"/>
        <v/>
      </c>
      <c r="AA569" s="369" t="str">
        <f t="shared" ca="1" si="256"/>
        <v/>
      </c>
      <c r="AB569" s="344"/>
      <c r="AC569" s="363" t="e">
        <f t="shared" ca="1" si="257"/>
        <v>#N/A</v>
      </c>
      <c r="AD569" s="376" t="e">
        <f t="shared" ca="1" si="258"/>
        <v>#N/A</v>
      </c>
      <c r="AE569" s="377">
        <f t="shared" ca="1" si="237"/>
        <v>2016.3346212084234</v>
      </c>
      <c r="AF569" s="344"/>
      <c r="AG569" s="359">
        <f t="shared" ca="1" si="259"/>
        <v>-13.65026790788864</v>
      </c>
      <c r="AH569" s="357">
        <f t="shared" ca="1" si="260"/>
        <v>-4.4189983154476264</v>
      </c>
    </row>
    <row r="570" spans="1:34" x14ac:dyDescent="0.25">
      <c r="A570" s="402">
        <f t="shared" ca="1" si="238"/>
        <v>0.1</v>
      </c>
      <c r="B570" s="357">
        <f t="shared" ca="1" si="239"/>
        <v>11.599999999999914</v>
      </c>
      <c r="C570" s="342"/>
      <c r="D570" s="359">
        <f t="shared" ca="1" si="240"/>
        <v>-1.4736906183092353</v>
      </c>
      <c r="E570" s="360">
        <f t="shared" ca="1" si="241"/>
        <v>-13.876677265534266</v>
      </c>
      <c r="F570" s="357">
        <f t="shared" ca="1" si="242"/>
        <v>13.954710171490062</v>
      </c>
      <c r="G570" s="359">
        <f t="shared" ca="1" si="243"/>
        <v>45.872860202926496</v>
      </c>
      <c r="H570" s="360">
        <f t="shared" ca="1" si="244"/>
        <v>125.60602944468863</v>
      </c>
      <c r="I570" s="357">
        <f t="shared" ca="1" si="245"/>
        <v>133.72058157238632</v>
      </c>
      <c r="J570" s="359">
        <f t="shared" ca="1" si="246"/>
        <v>542.98612629738022</v>
      </c>
      <c r="K570" s="360">
        <f t="shared" ca="1" si="247"/>
        <v>2028.96460753922</v>
      </c>
      <c r="L570" s="357">
        <f t="shared" ca="1" si="232"/>
        <v>2100.3645664498854</v>
      </c>
      <c r="M570" s="359">
        <f t="shared" ca="1" si="248"/>
        <v>1.2206341899348629</v>
      </c>
      <c r="N570" s="357">
        <f t="shared" ca="1" si="249"/>
        <v>69.937187412637755</v>
      </c>
      <c r="O570" s="343"/>
      <c r="P570" s="363">
        <f t="shared" ca="1" si="250"/>
        <v>23</v>
      </c>
      <c r="Q570" s="357">
        <f t="shared" ca="1" si="251"/>
        <v>0</v>
      </c>
      <c r="R570" s="359">
        <f t="shared" ca="1" si="252"/>
        <v>0</v>
      </c>
      <c r="S570" s="360">
        <f t="shared" ca="1" si="253"/>
        <v>9.637999999999975</v>
      </c>
      <c r="T570" s="357">
        <f t="shared" ca="1" si="233"/>
        <v>94.548779999999766</v>
      </c>
      <c r="U570" s="364">
        <f t="shared" ca="1" si="234"/>
        <v>0</v>
      </c>
      <c r="V570" s="359">
        <f t="shared" ca="1" si="235"/>
        <v>0.99934421558016329</v>
      </c>
      <c r="W570" s="357">
        <f t="shared" ca="1" si="236"/>
        <v>40.804847508349972</v>
      </c>
      <c r="X570" s="343"/>
      <c r="Y570" s="367" t="str">
        <f t="shared" ca="1" si="254"/>
        <v/>
      </c>
      <c r="Z570" s="368" t="str">
        <f t="shared" ca="1" si="255"/>
        <v/>
      </c>
      <c r="AA570" s="369" t="str">
        <f t="shared" ca="1" si="256"/>
        <v/>
      </c>
      <c r="AB570" s="344"/>
      <c r="AC570" s="363" t="e">
        <f t="shared" ca="1" si="257"/>
        <v>#N/A</v>
      </c>
      <c r="AD570" s="376" t="e">
        <f t="shared" ca="1" si="258"/>
        <v>#N/A</v>
      </c>
      <c r="AE570" s="377">
        <f t="shared" ca="1" si="237"/>
        <v>2028.96460753922</v>
      </c>
      <c r="AF570" s="344"/>
      <c r="AG570" s="359">
        <f t="shared" ca="1" si="259"/>
        <v>-13.548546214123936</v>
      </c>
      <c r="AH570" s="357">
        <f t="shared" ca="1" si="260"/>
        <v>-4.3254627521810765</v>
      </c>
    </row>
    <row r="571" spans="1:34" x14ac:dyDescent="0.25">
      <c r="A571" s="402">
        <f t="shared" ca="1" si="238"/>
        <v>0.1</v>
      </c>
      <c r="B571" s="357">
        <f t="shared" ca="1" si="239"/>
        <v>11.699999999999914</v>
      </c>
      <c r="C571" s="342"/>
      <c r="D571" s="359">
        <f t="shared" ca="1" si="240"/>
        <v>-1.4523871572705334</v>
      </c>
      <c r="E571" s="360">
        <f t="shared" ca="1" si="241"/>
        <v>-13.786830379318099</v>
      </c>
      <c r="F571" s="357">
        <f t="shared" ca="1" si="242"/>
        <v>13.863120873839801</v>
      </c>
      <c r="G571" s="359">
        <f t="shared" ca="1" si="243"/>
        <v>45.727621487199443</v>
      </c>
      <c r="H571" s="360">
        <f t="shared" ca="1" si="244"/>
        <v>124.22734640675682</v>
      </c>
      <c r="I571" s="357">
        <f t="shared" ca="1" si="245"/>
        <v>132.37616462997008</v>
      </c>
      <c r="J571" s="359">
        <f t="shared" ca="1" si="246"/>
        <v>547.56615038188647</v>
      </c>
      <c r="K571" s="360">
        <f t="shared" ca="1" si="247"/>
        <v>2041.4562763317922</v>
      </c>
      <c r="L571" s="357">
        <f t="shared" ca="1" si="232"/>
        <v>2113.6159578358847</v>
      </c>
      <c r="M571" s="359">
        <f t="shared" ca="1" si="248"/>
        <v>1.2180919458590935</v>
      </c>
      <c r="N571" s="357">
        <f t="shared" ca="1" si="249"/>
        <v>69.791527556604038</v>
      </c>
      <c r="O571" s="343"/>
      <c r="P571" s="363">
        <f t="shared" ca="1" si="250"/>
        <v>23</v>
      </c>
      <c r="Q571" s="357">
        <f t="shared" ca="1" si="251"/>
        <v>0</v>
      </c>
      <c r="R571" s="359">
        <f t="shared" ca="1" si="252"/>
        <v>0</v>
      </c>
      <c r="S571" s="360">
        <f t="shared" ca="1" si="253"/>
        <v>9.637999999999975</v>
      </c>
      <c r="T571" s="357">
        <f t="shared" ca="1" si="233"/>
        <v>94.548779999999766</v>
      </c>
      <c r="U571" s="364">
        <f t="shared" ca="1" si="234"/>
        <v>0</v>
      </c>
      <c r="V571" s="359">
        <f t="shared" ca="1" si="235"/>
        <v>0.99808360145043629</v>
      </c>
      <c r="W571" s="357">
        <f t="shared" ca="1" si="236"/>
        <v>39.938031103762469</v>
      </c>
      <c r="X571" s="343"/>
      <c r="Y571" s="367" t="str">
        <f t="shared" ca="1" si="254"/>
        <v/>
      </c>
      <c r="Z571" s="368" t="str">
        <f t="shared" ca="1" si="255"/>
        <v/>
      </c>
      <c r="AA571" s="369" t="str">
        <f t="shared" ca="1" si="256"/>
        <v/>
      </c>
      <c r="AB571" s="344"/>
      <c r="AC571" s="363" t="e">
        <f t="shared" ca="1" si="257"/>
        <v>#N/A</v>
      </c>
      <c r="AD571" s="376" t="e">
        <f t="shared" ca="1" si="258"/>
        <v>#N/A</v>
      </c>
      <c r="AE571" s="377">
        <f t="shared" ca="1" si="237"/>
        <v>2041.4562763317922</v>
      </c>
      <c r="AF571" s="344"/>
      <c r="AG571" s="359">
        <f t="shared" ca="1" si="259"/>
        <v>-13.448447160888769</v>
      </c>
      <c r="AH571" s="357">
        <f t="shared" ca="1" si="260"/>
        <v>-4.2337463694075614</v>
      </c>
    </row>
    <row r="572" spans="1:34" x14ac:dyDescent="0.25">
      <c r="A572" s="402">
        <f t="shared" ca="1" si="238"/>
        <v>0.1</v>
      </c>
      <c r="B572" s="357">
        <f t="shared" ca="1" si="239"/>
        <v>11.799999999999914</v>
      </c>
      <c r="C572" s="342"/>
      <c r="D572" s="359">
        <f t="shared" ca="1" si="240"/>
        <v>-1.4314248325255721</v>
      </c>
      <c r="E572" s="360">
        <f t="shared" ca="1" si="241"/>
        <v>-13.698724205241376</v>
      </c>
      <c r="F572" s="357">
        <f t="shared" ca="1" si="242"/>
        <v>13.773308313634631</v>
      </c>
      <c r="G572" s="359">
        <f t="shared" ca="1" si="243"/>
        <v>45.584479003946882</v>
      </c>
      <c r="H572" s="360">
        <f t="shared" ca="1" si="244"/>
        <v>122.85747398623269</v>
      </c>
      <c r="I572" s="357">
        <f t="shared" ca="1" si="245"/>
        <v>131.04161033938462</v>
      </c>
      <c r="J572" s="359">
        <f t="shared" ca="1" si="246"/>
        <v>552.13175540644374</v>
      </c>
      <c r="K572" s="360">
        <f t="shared" ca="1" si="247"/>
        <v>2053.8105173514418</v>
      </c>
      <c r="L572" s="357">
        <f t="shared" ca="1" si="232"/>
        <v>2126.7315572285088</v>
      </c>
      <c r="M572" s="359">
        <f t="shared" ca="1" si="248"/>
        <v>1.2155059424786028</v>
      </c>
      <c r="N572" s="357">
        <f t="shared" ca="1" si="249"/>
        <v>69.643360477095342</v>
      </c>
      <c r="O572" s="343"/>
      <c r="P572" s="363">
        <f t="shared" ca="1" si="250"/>
        <v>23</v>
      </c>
      <c r="Q572" s="357">
        <f t="shared" ca="1" si="251"/>
        <v>0</v>
      </c>
      <c r="R572" s="359">
        <f t="shared" ca="1" si="252"/>
        <v>0</v>
      </c>
      <c r="S572" s="360">
        <f t="shared" ca="1" si="253"/>
        <v>9.637999999999975</v>
      </c>
      <c r="T572" s="357">
        <f t="shared" ca="1" si="233"/>
        <v>94.548779999999766</v>
      </c>
      <c r="U572" s="364">
        <f t="shared" ca="1" si="234"/>
        <v>0</v>
      </c>
      <c r="V572" s="359">
        <f t="shared" ca="1" si="235"/>
        <v>0.99683826062384562</v>
      </c>
      <c r="W572" s="357">
        <f t="shared" ca="1" si="236"/>
        <v>39.087985110003373</v>
      </c>
      <c r="X572" s="343"/>
      <c r="Y572" s="367" t="str">
        <f t="shared" ca="1" si="254"/>
        <v/>
      </c>
      <c r="Z572" s="368" t="str">
        <f t="shared" ca="1" si="255"/>
        <v/>
      </c>
      <c r="AA572" s="369" t="str">
        <f t="shared" ca="1" si="256"/>
        <v/>
      </c>
      <c r="AB572" s="344"/>
      <c r="AC572" s="363" t="e">
        <f t="shared" ca="1" si="257"/>
        <v>#N/A</v>
      </c>
      <c r="AD572" s="376" t="e">
        <f t="shared" ca="1" si="258"/>
        <v>#N/A</v>
      </c>
      <c r="AE572" s="377">
        <f t="shared" ca="1" si="237"/>
        <v>2053.8105173514418</v>
      </c>
      <c r="AF572" s="344"/>
      <c r="AG572" s="359">
        <f t="shared" ca="1" si="259"/>
        <v>-13.349924550572407</v>
      </c>
      <c r="AH572" s="357">
        <f t="shared" ca="1" si="260"/>
        <v>-4.1438089960326385</v>
      </c>
    </row>
    <row r="573" spans="1:34" x14ac:dyDescent="0.25">
      <c r="A573" s="402">
        <f t="shared" ca="1" si="238"/>
        <v>0.1</v>
      </c>
      <c r="B573" s="357">
        <f t="shared" ca="1" si="239"/>
        <v>11.899999999999913</v>
      </c>
      <c r="C573" s="342"/>
      <c r="D573" s="359">
        <f t="shared" ca="1" si="240"/>
        <v>-1.410795729371161</v>
      </c>
      <c r="E573" s="360">
        <f t="shared" ca="1" si="241"/>
        <v>-13.612320513657693</v>
      </c>
      <c r="F573" s="357">
        <f t="shared" ca="1" si="242"/>
        <v>13.685233441799886</v>
      </c>
      <c r="G573" s="359">
        <f t="shared" ca="1" si="243"/>
        <v>45.443399431009766</v>
      </c>
      <c r="H573" s="360">
        <f t="shared" ca="1" si="244"/>
        <v>121.49624193486692</v>
      </c>
      <c r="I573" s="357">
        <f t="shared" ca="1" si="245"/>
        <v>129.7167659022611</v>
      </c>
      <c r="J573" s="359">
        <f t="shared" ca="1" si="246"/>
        <v>556.68314932819158</v>
      </c>
      <c r="K573" s="360">
        <f t="shared" ca="1" si="247"/>
        <v>2066.0282031474967</v>
      </c>
      <c r="L573" s="357">
        <f t="shared" ca="1" si="232"/>
        <v>2139.7122855530897</v>
      </c>
      <c r="M573" s="359">
        <f t="shared" ca="1" si="248"/>
        <v>1.2128751828406472</v>
      </c>
      <c r="N573" s="357">
        <f t="shared" ca="1" si="249"/>
        <v>69.492629052927128</v>
      </c>
      <c r="O573" s="343"/>
      <c r="P573" s="363">
        <f t="shared" ca="1" si="250"/>
        <v>23</v>
      </c>
      <c r="Q573" s="357">
        <f t="shared" ca="1" si="251"/>
        <v>0</v>
      </c>
      <c r="R573" s="359">
        <f t="shared" ca="1" si="252"/>
        <v>0</v>
      </c>
      <c r="S573" s="360">
        <f t="shared" ca="1" si="253"/>
        <v>9.637999999999975</v>
      </c>
      <c r="T573" s="357">
        <f t="shared" ca="1" si="233"/>
        <v>94.548779999999766</v>
      </c>
      <c r="U573" s="364">
        <f t="shared" ca="1" si="234"/>
        <v>0</v>
      </c>
      <c r="V573" s="359">
        <f t="shared" ca="1" si="235"/>
        <v>0.99560805637013772</v>
      </c>
      <c r="W573" s="357">
        <f t="shared" ca="1" si="236"/>
        <v>38.254344934889382</v>
      </c>
      <c r="X573" s="343"/>
      <c r="Y573" s="367" t="str">
        <f t="shared" ca="1" si="254"/>
        <v/>
      </c>
      <c r="Z573" s="368" t="str">
        <f t="shared" ca="1" si="255"/>
        <v/>
      </c>
      <c r="AA573" s="369" t="str">
        <f t="shared" ca="1" si="256"/>
        <v/>
      </c>
      <c r="AB573" s="344"/>
      <c r="AC573" s="363" t="e">
        <f t="shared" ca="1" si="257"/>
        <v>#N/A</v>
      </c>
      <c r="AD573" s="376" t="e">
        <f t="shared" ca="1" si="258"/>
        <v>#N/A</v>
      </c>
      <c r="AE573" s="377">
        <f t="shared" ca="1" si="237"/>
        <v>2066.0282031474967</v>
      </c>
      <c r="AF573" s="344"/>
      <c r="AG573" s="359">
        <f t="shared" ca="1" si="259"/>
        <v>-13.252933150054378</v>
      </c>
      <c r="AH573" s="357">
        <f t="shared" ca="1" si="260"/>
        <v>-4.0556116528328987</v>
      </c>
    </row>
    <row r="574" spans="1:34" x14ac:dyDescent="0.25">
      <c r="A574" s="402">
        <f t="shared" ca="1" si="238"/>
        <v>0.1</v>
      </c>
      <c r="B574" s="357">
        <f t="shared" ca="1" si="239"/>
        <v>11.999999999999913</v>
      </c>
      <c r="C574" s="342"/>
      <c r="D574" s="359">
        <f t="shared" ca="1" si="240"/>
        <v>-1.3904921676995716</v>
      </c>
      <c r="E574" s="360">
        <f t="shared" ca="1" si="241"/>
        <v>-13.527582199629268</v>
      </c>
      <c r="F574" s="357">
        <f t="shared" ca="1" si="242"/>
        <v>13.598858357824032</v>
      </c>
      <c r="G574" s="359">
        <f t="shared" ca="1" si="243"/>
        <v>45.304350214239811</v>
      </c>
      <c r="H574" s="360">
        <f t="shared" ca="1" si="244"/>
        <v>120.14348371490399</v>
      </c>
      <c r="I574" s="357">
        <f t="shared" ca="1" si="245"/>
        <v>128.40148296451989</v>
      </c>
      <c r="J574" s="359">
        <f t="shared" ca="1" si="246"/>
        <v>561.22053681045406</v>
      </c>
      <c r="K574" s="360">
        <f t="shared" ca="1" si="247"/>
        <v>2078.1101894299854</v>
      </c>
      <c r="L574" s="357">
        <f t="shared" ca="1" si="232"/>
        <v>2152.5590468905943</v>
      </c>
      <c r="M574" s="359">
        <f t="shared" ca="1" si="248"/>
        <v>1.2101986400826323</v>
      </c>
      <c r="N574" s="357">
        <f t="shared" ca="1" si="249"/>
        <v>69.33927444920657</v>
      </c>
      <c r="O574" s="343"/>
      <c r="P574" s="363">
        <f t="shared" ca="1" si="250"/>
        <v>23</v>
      </c>
      <c r="Q574" s="357">
        <f t="shared" ca="1" si="251"/>
        <v>0</v>
      </c>
      <c r="R574" s="359">
        <f t="shared" ca="1" si="252"/>
        <v>0</v>
      </c>
      <c r="S574" s="360">
        <f t="shared" ca="1" si="253"/>
        <v>9.637999999999975</v>
      </c>
      <c r="T574" s="357">
        <f t="shared" ca="1" si="233"/>
        <v>94.548779999999766</v>
      </c>
      <c r="U574" s="364">
        <f t="shared" ca="1" si="234"/>
        <v>0</v>
      </c>
      <c r="V574" s="359">
        <f t="shared" ca="1" si="235"/>
        <v>0.9943928547135803</v>
      </c>
      <c r="W574" s="357">
        <f t="shared" ca="1" si="236"/>
        <v>37.436756694370807</v>
      </c>
      <c r="X574" s="343"/>
      <c r="Y574" s="367" t="str">
        <f t="shared" ca="1" si="254"/>
        <v/>
      </c>
      <c r="Z574" s="368" t="str">
        <f t="shared" ca="1" si="255"/>
        <v/>
      </c>
      <c r="AA574" s="369" t="str">
        <f t="shared" ca="1" si="256"/>
        <v/>
      </c>
      <c r="AB574" s="344"/>
      <c r="AC574" s="363">
        <f t="shared" ca="1" si="257"/>
        <v>11.999999999999913</v>
      </c>
      <c r="AD574" s="376">
        <f t="shared" ca="1" si="258"/>
        <v>561.22053681045406</v>
      </c>
      <c r="AE574" s="377">
        <f t="shared" ca="1" si="237"/>
        <v>2078.1101894299854</v>
      </c>
      <c r="AF574" s="344"/>
      <c r="AG574" s="359">
        <f t="shared" ca="1" si="259"/>
        <v>-13.157428639474496</v>
      </c>
      <c r="AH574" s="357">
        <f t="shared" ca="1" si="260"/>
        <v>-3.9691165111941773</v>
      </c>
    </row>
    <row r="575" spans="1:34" x14ac:dyDescent="0.25">
      <c r="A575" s="402">
        <f t="shared" ca="1" si="238"/>
        <v>0.1</v>
      </c>
      <c r="B575" s="357">
        <f t="shared" ca="1" si="239"/>
        <v>12.099999999999913</v>
      </c>
      <c r="C575" s="342"/>
      <c r="D575" s="359">
        <f t="shared" ca="1" si="240"/>
        <v>-1.3705066941769328</v>
      </c>
      <c r="E575" s="360">
        <f t="shared" ca="1" si="241"/>
        <v>-13.444473244056352</v>
      </c>
      <c r="F575" s="357">
        <f t="shared" ca="1" si="242"/>
        <v>13.514146270073109</v>
      </c>
      <c r="G575" s="359">
        <f t="shared" ca="1" si="243"/>
        <v>45.167299544822114</v>
      </c>
      <c r="H575" s="360">
        <f t="shared" ca="1" si="244"/>
        <v>118.79903639049836</v>
      </c>
      <c r="I575" s="357">
        <f t="shared" ca="1" si="245"/>
        <v>127.09561753059246</v>
      </c>
      <c r="J575" s="359">
        <f t="shared" ca="1" si="246"/>
        <v>565.74411929840721</v>
      </c>
      <c r="K575" s="360">
        <f t="shared" ca="1" si="247"/>
        <v>2090.0573154352555</v>
      </c>
      <c r="L575" s="357">
        <f t="shared" ca="1" si="232"/>
        <v>2165.272728855457</v>
      </c>
      <c r="M575" s="359">
        <f t="shared" ca="1" si="248"/>
        <v>1.2074752563760958</v>
      </c>
      <c r="N575" s="357">
        <f t="shared" ca="1" si="249"/>
        <v>69.18323605682734</v>
      </c>
      <c r="O575" s="343"/>
      <c r="P575" s="363">
        <f t="shared" ca="1" si="250"/>
        <v>23</v>
      </c>
      <c r="Q575" s="357">
        <f t="shared" ca="1" si="251"/>
        <v>0</v>
      </c>
      <c r="R575" s="359">
        <f t="shared" ca="1" si="252"/>
        <v>0</v>
      </c>
      <c r="S575" s="360">
        <f t="shared" ca="1" si="253"/>
        <v>9.637999999999975</v>
      </c>
      <c r="T575" s="357">
        <f t="shared" ca="1" si="233"/>
        <v>94.548779999999766</v>
      </c>
      <c r="U575" s="364">
        <f t="shared" ca="1" si="234"/>
        <v>0</v>
      </c>
      <c r="V575" s="359">
        <f t="shared" ca="1" si="235"/>
        <v>0.99319252436984995</v>
      </c>
      <c r="W575" s="357">
        <f t="shared" ca="1" si="236"/>
        <v>36.634876846582941</v>
      </c>
      <c r="X575" s="343"/>
      <c r="Y575" s="367" t="str">
        <f t="shared" ca="1" si="254"/>
        <v/>
      </c>
      <c r="Z575" s="368" t="str">
        <f t="shared" ca="1" si="255"/>
        <v/>
      </c>
      <c r="AA575" s="369" t="str">
        <f t="shared" ca="1" si="256"/>
        <v/>
      </c>
      <c r="AB575" s="344"/>
      <c r="AC575" s="363" t="e">
        <f t="shared" ca="1" si="257"/>
        <v>#N/A</v>
      </c>
      <c r="AD575" s="376" t="e">
        <f t="shared" ca="1" si="258"/>
        <v>#N/A</v>
      </c>
      <c r="AE575" s="377">
        <f t="shared" ca="1" si="237"/>
        <v>2090.0573154352555</v>
      </c>
      <c r="AF575" s="344"/>
      <c r="AG575" s="359">
        <f t="shared" ca="1" si="259"/>
        <v>-13.063367562196992</v>
      </c>
      <c r="AH575" s="357">
        <f t="shared" ca="1" si="260"/>
        <v>-3.8842868535350594</v>
      </c>
    </row>
    <row r="576" spans="1:34" x14ac:dyDescent="0.25">
      <c r="A576" s="402">
        <f t="shared" ca="1" si="238"/>
        <v>0.1</v>
      </c>
      <c r="B576" s="357">
        <f t="shared" ca="1" si="239"/>
        <v>12.199999999999912</v>
      </c>
      <c r="C576" s="342"/>
      <c r="D576" s="359">
        <f t="shared" ca="1" si="240"/>
        <v>-1.3508320747543037</v>
      </c>
      <c r="E576" s="360">
        <f t="shared" ca="1" si="241"/>
        <v>-13.36295867637466</v>
      </c>
      <c r="F576" s="357">
        <f t="shared" ca="1" si="242"/>
        <v>13.431061457706232</v>
      </c>
      <c r="G576" s="359">
        <f t="shared" ca="1" si="243"/>
        <v>45.032216337346682</v>
      </c>
      <c r="H576" s="360">
        <f t="shared" ca="1" si="244"/>
        <v>117.4627405228609</v>
      </c>
      <c r="I576" s="357">
        <f t="shared" ca="1" si="245"/>
        <v>125.79902988256524</v>
      </c>
      <c r="J576" s="359">
        <f t="shared" ca="1" si="246"/>
        <v>570.25409509251563</v>
      </c>
      <c r="K576" s="360">
        <f t="shared" ca="1" si="247"/>
        <v>2101.8704042809236</v>
      </c>
      <c r="L576" s="357">
        <f t="shared" ca="1" si="232"/>
        <v>2177.8542029625942</v>
      </c>
      <c r="M576" s="359">
        <f t="shared" ca="1" si="248"/>
        <v>1.2047039418287888</v>
      </c>
      <c r="N576" s="357">
        <f t="shared" ca="1" si="249"/>
        <v>69.024451429563442</v>
      </c>
      <c r="O576" s="343"/>
      <c r="P576" s="363">
        <f t="shared" ca="1" si="250"/>
        <v>23</v>
      </c>
      <c r="Q576" s="357">
        <f t="shared" ca="1" si="251"/>
        <v>0</v>
      </c>
      <c r="R576" s="359">
        <f t="shared" ca="1" si="252"/>
        <v>0</v>
      </c>
      <c r="S576" s="360">
        <f t="shared" ca="1" si="253"/>
        <v>9.637999999999975</v>
      </c>
      <c r="T576" s="357">
        <f t="shared" ca="1" si="233"/>
        <v>94.548779999999766</v>
      </c>
      <c r="U576" s="364">
        <f t="shared" ca="1" si="234"/>
        <v>0</v>
      </c>
      <c r="V576" s="359">
        <f t="shared" ca="1" si="235"/>
        <v>0.99200693668483231</v>
      </c>
      <c r="W576" s="357">
        <f t="shared" ca="1" si="236"/>
        <v>35.848371840673231</v>
      </c>
      <c r="X576" s="343"/>
      <c r="Y576" s="367" t="str">
        <f t="shared" ca="1" si="254"/>
        <v/>
      </c>
      <c r="Z576" s="368" t="str">
        <f t="shared" ca="1" si="255"/>
        <v/>
      </c>
      <c r="AA576" s="369" t="str">
        <f t="shared" ca="1" si="256"/>
        <v/>
      </c>
      <c r="AB576" s="344"/>
      <c r="AC576" s="363" t="e">
        <f t="shared" ca="1" si="257"/>
        <v>#N/A</v>
      </c>
      <c r="AD576" s="376" t="e">
        <f t="shared" ca="1" si="258"/>
        <v>#N/A</v>
      </c>
      <c r="AE576" s="377">
        <f t="shared" ca="1" si="237"/>
        <v>2101.8704042809236</v>
      </c>
      <c r="AF576" s="344"/>
      <c r="AG576" s="359">
        <f t="shared" ca="1" si="259"/>
        <v>-12.970707275864445</v>
      </c>
      <c r="AH576" s="357">
        <f t="shared" ca="1" si="260"/>
        <v>-3.8010870353375217</v>
      </c>
    </row>
    <row r="577" spans="1:34" x14ac:dyDescent="0.25">
      <c r="A577" s="402">
        <f t="shared" ca="1" si="238"/>
        <v>0.1</v>
      </c>
      <c r="B577" s="357">
        <f t="shared" ca="1" si="239"/>
        <v>12.299999999999912</v>
      </c>
      <c r="C577" s="342"/>
      <c r="D577" s="359">
        <f t="shared" ca="1" si="240"/>
        <v>-1.3314612874969083</v>
      </c>
      <c r="E577" s="360">
        <f t="shared" ca="1" si="241"/>
        <v>-13.283004538747928</v>
      </c>
      <c r="F577" s="357">
        <f t="shared" ca="1" si="242"/>
        <v>13.349569234117668</v>
      </c>
      <c r="G577" s="359">
        <f t="shared" ca="1" si="243"/>
        <v>44.899070208596989</v>
      </c>
      <c r="H577" s="360">
        <f t="shared" ca="1" si="244"/>
        <v>116.13444006898611</v>
      </c>
      <c r="I577" s="357">
        <f t="shared" ca="1" si="245"/>
        <v>124.51158450414744</v>
      </c>
      <c r="J577" s="359">
        <f t="shared" ca="1" si="246"/>
        <v>574.75065941981279</v>
      </c>
      <c r="K577" s="360">
        <f t="shared" ca="1" si="247"/>
        <v>2113.5502633105161</v>
      </c>
      <c r="L577" s="357">
        <f t="shared" ca="1" si="232"/>
        <v>2190.3043249839648</v>
      </c>
      <c r="M577" s="359">
        <f t="shared" ca="1" si="248"/>
        <v>1.2018835733431235</v>
      </c>
      <c r="N577" s="357">
        <f t="shared" ca="1" si="249"/>
        <v>68.862856218663111</v>
      </c>
      <c r="O577" s="343"/>
      <c r="P577" s="363">
        <f t="shared" ca="1" si="250"/>
        <v>23</v>
      </c>
      <c r="Q577" s="357">
        <f t="shared" ca="1" si="251"/>
        <v>0</v>
      </c>
      <c r="R577" s="359">
        <f t="shared" ca="1" si="252"/>
        <v>0</v>
      </c>
      <c r="S577" s="360">
        <f t="shared" ca="1" si="253"/>
        <v>9.637999999999975</v>
      </c>
      <c r="T577" s="357">
        <f t="shared" ca="1" si="233"/>
        <v>94.548779999999766</v>
      </c>
      <c r="U577" s="364">
        <f t="shared" ca="1" si="234"/>
        <v>0</v>
      </c>
      <c r="V577" s="359">
        <f t="shared" ca="1" si="235"/>
        <v>0.99083596557527343</v>
      </c>
      <c r="W577" s="357">
        <f t="shared" ca="1" si="236"/>
        <v>35.076917779727282</v>
      </c>
      <c r="X577" s="343"/>
      <c r="Y577" s="367" t="str">
        <f t="shared" ca="1" si="254"/>
        <v/>
      </c>
      <c r="Z577" s="368" t="str">
        <f t="shared" ca="1" si="255"/>
        <v/>
      </c>
      <c r="AA577" s="369" t="str">
        <f t="shared" ca="1" si="256"/>
        <v/>
      </c>
      <c r="AB577" s="344"/>
      <c r="AC577" s="363" t="e">
        <f t="shared" ca="1" si="257"/>
        <v>#N/A</v>
      </c>
      <c r="AD577" s="376" t="e">
        <f t="shared" ca="1" si="258"/>
        <v>#N/A</v>
      </c>
      <c r="AE577" s="377">
        <f t="shared" ca="1" si="237"/>
        <v>2113.5502633105161</v>
      </c>
      <c r="AF577" s="344"/>
      <c r="AG577" s="359">
        <f t="shared" ca="1" si="259"/>
        <v>-12.879405904439682</v>
      </c>
      <c r="AH577" s="357">
        <f t="shared" ca="1" si="260"/>
        <v>-3.7194824487106581</v>
      </c>
    </row>
    <row r="578" spans="1:34" x14ac:dyDescent="0.25">
      <c r="A578" s="402">
        <f t="shared" ca="1" si="238"/>
        <v>0.1</v>
      </c>
      <c r="B578" s="357">
        <f t="shared" ca="1" si="239"/>
        <v>12.399999999999912</v>
      </c>
      <c r="C578" s="342"/>
      <c r="D578" s="359">
        <f t="shared" ca="1" si="240"/>
        <v>-1.3123875157178162</v>
      </c>
      <c r="E578" s="360">
        <f t="shared" ca="1" si="241"/>
        <v>-13.204577851686405</v>
      </c>
      <c r="F578" s="357">
        <f t="shared" ca="1" si="242"/>
        <v>13.269635911834927</v>
      </c>
      <c r="G578" s="359">
        <f t="shared" ca="1" si="243"/>
        <v>44.76783145702521</v>
      </c>
      <c r="H578" s="360">
        <f t="shared" ca="1" si="244"/>
        <v>114.81398228381747</v>
      </c>
      <c r="I578" s="357">
        <f t="shared" ca="1" si="245"/>
        <v>123.233150009376</v>
      </c>
      <c r="J578" s="359">
        <f t="shared" ca="1" si="246"/>
        <v>579.23400450309396</v>
      </c>
      <c r="K578" s="360">
        <f t="shared" ca="1" si="247"/>
        <v>2125.0976844281563</v>
      </c>
      <c r="L578" s="357">
        <f t="shared" ca="1" si="232"/>
        <v>2202.6239352950383</v>
      </c>
      <c r="M578" s="359">
        <f t="shared" ca="1" si="248"/>
        <v>1.1990129934291927</v>
      </c>
      <c r="N578" s="357">
        <f t="shared" ca="1" si="249"/>
        <v>68.698384104839846</v>
      </c>
      <c r="O578" s="343"/>
      <c r="P578" s="363">
        <f t="shared" ca="1" si="250"/>
        <v>23</v>
      </c>
      <c r="Q578" s="357">
        <f t="shared" ca="1" si="251"/>
        <v>0</v>
      </c>
      <c r="R578" s="359">
        <f t="shared" ca="1" si="252"/>
        <v>0</v>
      </c>
      <c r="S578" s="360">
        <f t="shared" ca="1" si="253"/>
        <v>9.637999999999975</v>
      </c>
      <c r="T578" s="357">
        <f t="shared" ca="1" si="233"/>
        <v>94.548779999999766</v>
      </c>
      <c r="U578" s="364">
        <f t="shared" ca="1" si="234"/>
        <v>0</v>
      </c>
      <c r="V578" s="359">
        <f t="shared" ca="1" si="235"/>
        <v>0.98967948747121881</v>
      </c>
      <c r="W578" s="357">
        <f t="shared" ca="1" si="236"/>
        <v>34.320200097151648</v>
      </c>
      <c r="X578" s="343"/>
      <c r="Y578" s="367" t="str">
        <f t="shared" ca="1" si="254"/>
        <v/>
      </c>
      <c r="Z578" s="368" t="str">
        <f t="shared" ca="1" si="255"/>
        <v/>
      </c>
      <c r="AA578" s="369" t="str">
        <f t="shared" ca="1" si="256"/>
        <v/>
      </c>
      <c r="AB578" s="344"/>
      <c r="AC578" s="363" t="e">
        <f t="shared" ca="1" si="257"/>
        <v>#N/A</v>
      </c>
      <c r="AD578" s="376" t="e">
        <f t="shared" ca="1" si="258"/>
        <v>#N/A</v>
      </c>
      <c r="AE578" s="377">
        <f t="shared" ca="1" si="237"/>
        <v>2125.0976844281563</v>
      </c>
      <c r="AF578" s="344"/>
      <c r="AG578" s="359">
        <f t="shared" ca="1" si="259"/>
        <v>-12.789422291136241</v>
      </c>
      <c r="AH578" s="357">
        <f t="shared" ca="1" si="260"/>
        <v>-3.6394394874172415</v>
      </c>
    </row>
    <row r="579" spans="1:34" x14ac:dyDescent="0.25">
      <c r="A579" s="402">
        <f t="shared" ca="1" si="238"/>
        <v>0.1</v>
      </c>
      <c r="B579" s="357">
        <f t="shared" ca="1" si="239"/>
        <v>12.499999999999911</v>
      </c>
      <c r="C579" s="342"/>
      <c r="D579" s="359">
        <f t="shared" ca="1" si="240"/>
        <v>-1.2936041414031061</v>
      </c>
      <c r="E579" s="360">
        <f t="shared" ca="1" si="241"/>
        <v>-13.127646581025582</v>
      </c>
      <c r="F579" s="357">
        <f t="shared" ca="1" si="242"/>
        <v>13.191228768805729</v>
      </c>
      <c r="G579" s="359">
        <f t="shared" ca="1" si="243"/>
        <v>44.638471042884902</v>
      </c>
      <c r="H579" s="360">
        <f t="shared" ca="1" si="244"/>
        <v>113.50121762571492</v>
      </c>
      <c r="I579" s="357">
        <f t="shared" ca="1" si="245"/>
        <v>121.96359907597993</v>
      </c>
      <c r="J579" s="359">
        <f t="shared" ca="1" si="246"/>
        <v>583.70431962808948</v>
      </c>
      <c r="K579" s="360">
        <f t="shared" ca="1" si="247"/>
        <v>2136.5134444236328</v>
      </c>
      <c r="L579" s="357">
        <f t="shared" ca="1" si="232"/>
        <v>2214.8138592115197</v>
      </c>
      <c r="M579" s="359">
        <f t="shared" ca="1" si="248"/>
        <v>1.1960910089704999</v>
      </c>
      <c r="N579" s="357">
        <f t="shared" ca="1" si="249"/>
        <v>68.530966727553931</v>
      </c>
      <c r="O579" s="343"/>
      <c r="P579" s="363">
        <f t="shared" ca="1" si="250"/>
        <v>23</v>
      </c>
      <c r="Q579" s="357">
        <f t="shared" ca="1" si="251"/>
        <v>0</v>
      </c>
      <c r="R579" s="359">
        <f t="shared" ca="1" si="252"/>
        <v>0</v>
      </c>
      <c r="S579" s="360">
        <f t="shared" ca="1" si="253"/>
        <v>9.637999999999975</v>
      </c>
      <c r="T579" s="357">
        <f t="shared" ca="1" si="233"/>
        <v>94.548779999999766</v>
      </c>
      <c r="U579" s="364">
        <f t="shared" ca="1" si="234"/>
        <v>0</v>
      </c>
      <c r="V579" s="359">
        <f t="shared" ca="1" si="235"/>
        <v>0.98853738126016866</v>
      </c>
      <c r="W579" s="357">
        <f t="shared" ca="1" si="236"/>
        <v>33.577913245903986</v>
      </c>
      <c r="X579" s="343"/>
      <c r="Y579" s="367" t="str">
        <f t="shared" ca="1" si="254"/>
        <v/>
      </c>
      <c r="Z579" s="368" t="str">
        <f t="shared" ca="1" si="255"/>
        <v/>
      </c>
      <c r="AA579" s="369" t="str">
        <f t="shared" ca="1" si="256"/>
        <v/>
      </c>
      <c r="AB579" s="344"/>
      <c r="AC579" s="363" t="e">
        <f t="shared" ca="1" si="257"/>
        <v>#N/A</v>
      </c>
      <c r="AD579" s="376" t="e">
        <f t="shared" ca="1" si="258"/>
        <v>#N/A</v>
      </c>
      <c r="AE579" s="377">
        <f t="shared" ca="1" si="237"/>
        <v>2136.5134444236328</v>
      </c>
      <c r="AF579" s="344"/>
      <c r="AG579" s="359">
        <f t="shared" ca="1" si="259"/>
        <v>-12.700715952139909</v>
      </c>
      <c r="AH579" s="357">
        <f t="shared" ca="1" si="260"/>
        <v>-3.5609255132965072</v>
      </c>
    </row>
    <row r="580" spans="1:34" x14ac:dyDescent="0.25">
      <c r="A580" s="402">
        <f t="shared" ca="1" si="238"/>
        <v>0.1</v>
      </c>
      <c r="B580" s="357">
        <f t="shared" ca="1" si="239"/>
        <v>12.599999999999911</v>
      </c>
      <c r="C580" s="342"/>
      <c r="D580" s="359">
        <f t="shared" ca="1" si="240"/>
        <v>-1.2751047389162595</v>
      </c>
      <c r="E580" s="360">
        <f t="shared" ca="1" si="241"/>
        <v>-13.052179606202781</v>
      </c>
      <c r="F580" s="357">
        <f t="shared" ca="1" si="242"/>
        <v>13.114316016010232</v>
      </c>
      <c r="G580" s="359">
        <f t="shared" ca="1" si="243"/>
        <v>44.510960568993276</v>
      </c>
      <c r="H580" s="360">
        <f t="shared" ca="1" si="244"/>
        <v>112.19599966509463</v>
      </c>
      <c r="I580" s="357">
        <f t="shared" ca="1" si="245"/>
        <v>120.70280838333626</v>
      </c>
      <c r="J580" s="359">
        <f t="shared" ca="1" si="246"/>
        <v>588.16179120868344</v>
      </c>
      <c r="K580" s="360">
        <f t="shared" ca="1" si="247"/>
        <v>2147.7983052881732</v>
      </c>
      <c r="L580" s="357">
        <f t="shared" ref="L580:L643" ca="1" si="261">SQRT(pos_x^2+pos_z^2)</f>
        <v>2226.8749073166537</v>
      </c>
      <c r="M580" s="359">
        <f t="shared" ca="1" si="248"/>
        <v>1.1931163899404724</v>
      </c>
      <c r="N580" s="357">
        <f t="shared" ca="1" si="249"/>
        <v>68.360533611474054</v>
      </c>
      <c r="O580" s="343"/>
      <c r="P580" s="363">
        <f t="shared" ca="1" si="250"/>
        <v>23</v>
      </c>
      <c r="Q580" s="357">
        <f t="shared" ca="1" si="251"/>
        <v>0</v>
      </c>
      <c r="R580" s="359">
        <f t="shared" ca="1" si="252"/>
        <v>0</v>
      </c>
      <c r="S580" s="360">
        <f t="shared" ca="1" si="253"/>
        <v>9.637999999999975</v>
      </c>
      <c r="T580" s="357">
        <f t="shared" ref="T580:T643" ca="1" si="262">m*g</f>
        <v>94.548779999999766</v>
      </c>
      <c r="U580" s="364">
        <f t="shared" ref="U580:U643" ca="1" si="263">IF(pos_xz&lt;L_rampe,Poids*COS(Beta),0)</f>
        <v>0</v>
      </c>
      <c r="V580" s="359">
        <f t="shared" ref="V580:V643" ca="1" si="264">Rho_moyen*(20000-Alt_rampe-pos_z)/(20000+Alt_rampe+pos_z)</f>
        <v>0.98740952823289896</v>
      </c>
      <c r="W580" s="357">
        <f t="shared" ref="W580:W643" ca="1" si="265">1/2*Rho*Sref*Cx*vit_xz^2</f>
        <v>32.849760399992547</v>
      </c>
      <c r="X580" s="343"/>
      <c r="Y580" s="367" t="str">
        <f t="shared" ca="1" si="254"/>
        <v/>
      </c>
      <c r="Z580" s="368" t="str">
        <f t="shared" ca="1" si="255"/>
        <v/>
      </c>
      <c r="AA580" s="369" t="str">
        <f t="shared" ca="1" si="256"/>
        <v/>
      </c>
      <c r="AB580" s="344"/>
      <c r="AC580" s="363" t="e">
        <f t="shared" ca="1" si="257"/>
        <v>#N/A</v>
      </c>
      <c r="AD580" s="376" t="e">
        <f t="shared" ca="1" si="258"/>
        <v>#N/A</v>
      </c>
      <c r="AE580" s="377">
        <f t="shared" ref="AE580:AE643" ca="1" si="266">IF(t&lt;T_para, pos_z, NA())</f>
        <v>2147.7983052881732</v>
      </c>
      <c r="AF580" s="344"/>
      <c r="AG580" s="359">
        <f t="shared" ca="1" si="259"/>
        <v>-12.613247031025587</v>
      </c>
      <c r="AH580" s="357">
        <f t="shared" ca="1" si="260"/>
        <v>-3.4839088240199287</v>
      </c>
    </row>
    <row r="581" spans="1:34" x14ac:dyDescent="0.25">
      <c r="A581" s="402">
        <f t="shared" ref="A581:A644" ca="1" si="267">IF(B580+0.01&lt;=T_ini+ROUNDUP(Temps_fin_propu,0), 0.01, IF(K580&gt;0, 0.1, 0.0001))</f>
        <v>0.1</v>
      </c>
      <c r="B581" s="357">
        <f t="shared" ref="B581:B644" ca="1" si="268">B580+pas</f>
        <v>12.69999999999991</v>
      </c>
      <c r="C581" s="342"/>
      <c r="D581" s="359">
        <f t="shared" ref="D581:D644" ca="1" si="269">IF(AND(L580&lt;L_rampe,Poussee&lt;Poids*SIN(M580)),0,(-W580+Poussee)/m*COS(M580)-U580/m*SIN(M580))</f>
        <v>-1.2568830689702188</v>
      </c>
      <c r="E581" s="360">
        <f t="shared" ref="E581:E644" ca="1" si="270">IF(AND(L580&lt;L_rampe,Poussee&lt;Poids*SIN(M580)),0,(-W580+Poussee)/m*SIN(M580)+U580/m*COS(M580)-Poids/m)</f>
        <v>-12.978146689772398</v>
      </c>
      <c r="F581" s="357">
        <f t="shared" ref="F581:F644" ca="1" si="271">SQRT(acc_x^2+acc_z^2)</f>
        <v>13.038866766338026</v>
      </c>
      <c r="G581" s="359">
        <f t="shared" ref="G581:G644" ca="1" si="272">G580+acc_x*pas</f>
        <v>44.385272262096251</v>
      </c>
      <c r="H581" s="360">
        <f t="shared" ref="H581:H644" ca="1" si="273">H580+acc_z*pas</f>
        <v>110.89818499611739</v>
      </c>
      <c r="I581" s="357">
        <f t="shared" ref="I581:I644" ca="1" si="274">SQRT(vit_x^2+vit_z^2)</f>
        <v>119.45065855495936</v>
      </c>
      <c r="J581" s="359">
        <f t="shared" ref="J581:J644" ca="1" si="275">J580+0.5*(vit_x+G580)*pas*(K580&gt;=0)</f>
        <v>592.60660285023789</v>
      </c>
      <c r="K581" s="360">
        <f t="shared" ref="K581:K644" ca="1" si="276">K580+0.5*(vit_z+H580)*pas</f>
        <v>2158.9530145212339</v>
      </c>
      <c r="L581" s="357">
        <f t="shared" ca="1" si="261"/>
        <v>2238.8078757794342</v>
      </c>
      <c r="M581" s="359">
        <f t="shared" ref="M581:M644" ca="1" si="277">IF(AND(L580&gt;L_rampe,G581&gt;0),ATAN2(G581,H581),$M$4)</f>
        <v>1.1900878680677616</v>
      </c>
      <c r="N581" s="357">
        <f t="shared" ref="N581:N644" ca="1" si="278">DEGREES(Beta)</f>
        <v>68.187012090004671</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9.637999999999975</v>
      </c>
      <c r="T581" s="357">
        <f t="shared" ca="1" si="262"/>
        <v>94.548779999999766</v>
      </c>
      <c r="U581" s="364">
        <f t="shared" ca="1" si="263"/>
        <v>0</v>
      </c>
      <c r="V581" s="359">
        <f t="shared" ca="1" si="264"/>
        <v>0.9862958120308869</v>
      </c>
      <c r="W581" s="357">
        <f t="shared" ca="1" si="265"/>
        <v>32.135453167695943</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f t="shared" ca="1" si="266"/>
        <v>2158.9530145212339</v>
      </c>
      <c r="AF581" s="344"/>
      <c r="AG581" s="359">
        <f t="shared" ref="AG581:AG644" ca="1" si="288">IF(AND(L580&lt;L_rampe,Poussee&lt;Poids*SIN(M580)),0,(-W580+Poussee)/m-Poids*SIN(M580)/m)</f>
        <v>-12.526976253775121</v>
      </c>
      <c r="AH581" s="357">
        <f t="shared" ref="AH581:AH644" ca="1" si="289">IF(AND(L580&lt;L_rampe,Poussee&lt;Poids*SIN(M580)), g*SIN(M580), (-W580+Poussee)/m)</f>
        <v>-3.4083586221200077</v>
      </c>
    </row>
    <row r="582" spans="1:34" x14ac:dyDescent="0.25">
      <c r="A582" s="402">
        <f t="shared" ca="1" si="267"/>
        <v>0.1</v>
      </c>
      <c r="B582" s="357">
        <f t="shared" ca="1" si="268"/>
        <v>12.79999999999991</v>
      </c>
      <c r="C582" s="342"/>
      <c r="D582" s="359">
        <f t="shared" ca="1" si="269"/>
        <v>-1.2389330728561752</v>
      </c>
      <c r="E582" s="360">
        <f t="shared" ca="1" si="270"/>
        <v>-12.905518448103429</v>
      </c>
      <c r="F582" s="357">
        <f t="shared" ca="1" si="271"/>
        <v>12.964851004672393</v>
      </c>
      <c r="G582" s="359">
        <f t="shared" ca="1" si="272"/>
        <v>44.261378954810631</v>
      </c>
      <c r="H582" s="360">
        <f t="shared" ca="1" si="273"/>
        <v>109.60763315130706</v>
      </c>
      <c r="I582" s="357">
        <f t="shared" ca="1" si="274"/>
        <v>118.20703410547469</v>
      </c>
      <c r="J582" s="359">
        <f t="shared" ca="1" si="275"/>
        <v>597.03893541108323</v>
      </c>
      <c r="K582" s="360">
        <f t="shared" ca="1" si="276"/>
        <v>2169.9783054286049</v>
      </c>
      <c r="L582" s="357">
        <f t="shared" ca="1" si="261"/>
        <v>2250.6135466640199</v>
      </c>
      <c r="M582" s="359">
        <f t="shared" ca="1" si="277"/>
        <v>1.187004135448267</v>
      </c>
      <c r="N582" s="357">
        <f t="shared" ca="1" si="278"/>
        <v>68.010327225760804</v>
      </c>
      <c r="O582" s="343"/>
      <c r="P582" s="363">
        <f t="shared" ca="1" si="279"/>
        <v>23</v>
      </c>
      <c r="Q582" s="357">
        <f t="shared" ca="1" si="280"/>
        <v>0</v>
      </c>
      <c r="R582" s="359">
        <f t="shared" ca="1" si="281"/>
        <v>0</v>
      </c>
      <c r="S582" s="360">
        <f t="shared" ca="1" si="282"/>
        <v>9.637999999999975</v>
      </c>
      <c r="T582" s="357">
        <f t="shared" ca="1" si="262"/>
        <v>94.548779999999766</v>
      </c>
      <c r="U582" s="364">
        <f t="shared" ca="1" si="263"/>
        <v>0</v>
      </c>
      <c r="V582" s="359">
        <f t="shared" ca="1" si="264"/>
        <v>0.985196118595286</v>
      </c>
      <c r="W582" s="357">
        <f t="shared" ca="1" si="265"/>
        <v>31.434711315981748</v>
      </c>
      <c r="X582" s="343"/>
      <c r="Y582" s="367" t="str">
        <f t="shared" ca="1" si="283"/>
        <v/>
      </c>
      <c r="Z582" s="368" t="str">
        <f t="shared" ca="1" si="284"/>
        <v/>
      </c>
      <c r="AA582" s="369" t="str">
        <f t="shared" ca="1" si="285"/>
        <v/>
      </c>
      <c r="AB582" s="344"/>
      <c r="AC582" s="363" t="e">
        <f t="shared" ca="1" si="286"/>
        <v>#N/A</v>
      </c>
      <c r="AD582" s="376" t="e">
        <f t="shared" ca="1" si="287"/>
        <v>#N/A</v>
      </c>
      <c r="AE582" s="377">
        <f t="shared" ca="1" si="266"/>
        <v>2169.9783054286049</v>
      </c>
      <c r="AF582" s="344"/>
      <c r="AG582" s="359">
        <f t="shared" ca="1" si="288"/>
        <v>-12.441864884303</v>
      </c>
      <c r="AH582" s="357">
        <f t="shared" ca="1" si="289"/>
        <v>-3.3342449852351135</v>
      </c>
    </row>
    <row r="583" spans="1:34" x14ac:dyDescent="0.25">
      <c r="A583" s="402">
        <f t="shared" ca="1" si="267"/>
        <v>0.1</v>
      </c>
      <c r="B583" s="357">
        <f t="shared" ca="1" si="268"/>
        <v>12.89999999999991</v>
      </c>
      <c r="C583" s="342"/>
      <c r="D583" s="359">
        <f t="shared" ca="1" si="269"/>
        <v>-1.2212488669187775</v>
      </c>
      <c r="E583" s="360">
        <f t="shared" ca="1" si="270"/>
        <v>-12.834266323205778</v>
      </c>
      <c r="F583" s="357">
        <f t="shared" ca="1" si="271"/>
        <v>12.892239559127203</v>
      </c>
      <c r="G583" s="359">
        <f t="shared" ca="1" si="272"/>
        <v>44.139254068118753</v>
      </c>
      <c r="H583" s="360">
        <f t="shared" ca="1" si="273"/>
        <v>108.32420651898647</v>
      </c>
      <c r="I583" s="357">
        <f t="shared" ca="1" si="274"/>
        <v>116.97182339203731</v>
      </c>
      <c r="J583" s="359">
        <f t="shared" ca="1" si="275"/>
        <v>601.4589670622297</v>
      </c>
      <c r="K583" s="360">
        <f t="shared" ca="1" si="276"/>
        <v>2180.8748974121195</v>
      </c>
      <c r="L583" s="357">
        <f t="shared" ca="1" si="261"/>
        <v>2262.2926882306556</v>
      </c>
      <c r="M583" s="359">
        <f t="shared" ca="1" si="277"/>
        <v>1.1838638431017567</v>
      </c>
      <c r="N583" s="357">
        <f t="shared" ca="1" si="278"/>
        <v>67.830401727868534</v>
      </c>
      <c r="O583" s="343"/>
      <c r="P583" s="363">
        <f t="shared" ca="1" si="279"/>
        <v>23</v>
      </c>
      <c r="Q583" s="357">
        <f t="shared" ca="1" si="280"/>
        <v>0</v>
      </c>
      <c r="R583" s="359">
        <f t="shared" ca="1" si="281"/>
        <v>0</v>
      </c>
      <c r="S583" s="360">
        <f t="shared" ca="1" si="282"/>
        <v>9.637999999999975</v>
      </c>
      <c r="T583" s="357">
        <f t="shared" ca="1" si="262"/>
        <v>94.548779999999766</v>
      </c>
      <c r="U583" s="364">
        <f t="shared" ca="1" si="263"/>
        <v>0</v>
      </c>
      <c r="V583" s="359">
        <f t="shared" ca="1" si="264"/>
        <v>0.98411033611739618</v>
      </c>
      <c r="W583" s="357">
        <f t="shared" ca="1" si="265"/>
        <v>30.747262505628481</v>
      </c>
      <c r="X583" s="343"/>
      <c r="Y583" s="367" t="str">
        <f t="shared" ca="1" si="283"/>
        <v/>
      </c>
      <c r="Z583" s="368" t="str">
        <f t="shared" ca="1" si="284"/>
        <v/>
      </c>
      <c r="AA583" s="369" t="str">
        <f t="shared" ca="1" si="285"/>
        <v/>
      </c>
      <c r="AB583" s="344"/>
      <c r="AC583" s="363" t="e">
        <f t="shared" ca="1" si="286"/>
        <v>#N/A</v>
      </c>
      <c r="AD583" s="376" t="e">
        <f t="shared" ca="1" si="287"/>
        <v>#N/A</v>
      </c>
      <c r="AE583" s="377">
        <f t="shared" ca="1" si="266"/>
        <v>2180.8748974121195</v>
      </c>
      <c r="AF583" s="344"/>
      <c r="AG583" s="359">
        <f t="shared" ca="1" si="288"/>
        <v>-12.357874680397575</v>
      </c>
      <c r="AH583" s="357">
        <f t="shared" ca="1" si="289"/>
        <v>-3.2615388375162722</v>
      </c>
    </row>
    <row r="584" spans="1:34" x14ac:dyDescent="0.25">
      <c r="A584" s="402">
        <f t="shared" ca="1" si="267"/>
        <v>0.1</v>
      </c>
      <c r="B584" s="357">
        <f t="shared" ca="1" si="268"/>
        <v>12.999999999999909</v>
      </c>
      <c r="C584" s="342"/>
      <c r="D584" s="359">
        <f t="shared" ca="1" si="269"/>
        <v>-1.2038247372679891</v>
      </c>
      <c r="E584" s="360">
        <f t="shared" ca="1" si="270"/>
        <v>-12.764362555634374</v>
      </c>
      <c r="F584" s="357">
        <f t="shared" ca="1" si="271"/>
        <v>12.821004073384394</v>
      </c>
      <c r="G584" s="359">
        <f t="shared" ca="1" si="272"/>
        <v>44.018871594391953</v>
      </c>
      <c r="H584" s="360">
        <f t="shared" ca="1" si="273"/>
        <v>107.04777026342303</v>
      </c>
      <c r="I584" s="357">
        <f t="shared" ca="1" si="274"/>
        <v>115.74491857016515</v>
      </c>
      <c r="J584" s="359">
        <f t="shared" ca="1" si="275"/>
        <v>605.8668733453552</v>
      </c>
      <c r="K584" s="360">
        <f t="shared" ca="1" si="276"/>
        <v>2191.6434962512399</v>
      </c>
      <c r="L584" s="357">
        <f t="shared" ca="1" si="261"/>
        <v>2273.8460552283732</v>
      </c>
      <c r="M584" s="359">
        <f t="shared" ca="1" si="277"/>
        <v>1.180665599470883</v>
      </c>
      <c r="N584" s="357">
        <f t="shared" ca="1" si="278"/>
        <v>67.647155865964876</v>
      </c>
      <c r="O584" s="343"/>
      <c r="P584" s="363">
        <f t="shared" ca="1" si="279"/>
        <v>23</v>
      </c>
      <c r="Q584" s="357">
        <f t="shared" ca="1" si="280"/>
        <v>0</v>
      </c>
      <c r="R584" s="359">
        <f t="shared" ca="1" si="281"/>
        <v>0</v>
      </c>
      <c r="S584" s="360">
        <f t="shared" ca="1" si="282"/>
        <v>9.637999999999975</v>
      </c>
      <c r="T584" s="357">
        <f t="shared" ca="1" si="262"/>
        <v>94.548779999999766</v>
      </c>
      <c r="U584" s="364">
        <f t="shared" ca="1" si="263"/>
        <v>0</v>
      </c>
      <c r="V584" s="359">
        <f t="shared" ca="1" si="264"/>
        <v>0.98303835499058057</v>
      </c>
      <c r="W584" s="357">
        <f t="shared" ca="1" si="265"/>
        <v>30.072842036580617</v>
      </c>
      <c r="X584" s="343"/>
      <c r="Y584" s="367" t="str">
        <f t="shared" ca="1" si="283"/>
        <v/>
      </c>
      <c r="Z584" s="368" t="str">
        <f t="shared" ca="1" si="284"/>
        <v/>
      </c>
      <c r="AA584" s="369" t="str">
        <f t="shared" ca="1" si="285"/>
        <v/>
      </c>
      <c r="AB584" s="344"/>
      <c r="AC584" s="363">
        <f t="shared" ca="1" si="286"/>
        <v>12.999999999999909</v>
      </c>
      <c r="AD584" s="376">
        <f t="shared" ca="1" si="287"/>
        <v>605.8668733453552</v>
      </c>
      <c r="AE584" s="377">
        <f t="shared" ca="1" si="266"/>
        <v>2191.6434962512399</v>
      </c>
      <c r="AF584" s="344"/>
      <c r="AG584" s="359">
        <f t="shared" ca="1" si="288"/>
        <v>-12.274967849986135</v>
      </c>
      <c r="AH584" s="357">
        <f t="shared" ca="1" si="289"/>
        <v>-3.1902119221444862</v>
      </c>
    </row>
    <row r="585" spans="1:34" x14ac:dyDescent="0.25">
      <c r="A585" s="402">
        <f t="shared" ca="1" si="267"/>
        <v>0.1</v>
      </c>
      <c r="B585" s="357">
        <f t="shared" ca="1" si="268"/>
        <v>13.099999999999909</v>
      </c>
      <c r="C585" s="342"/>
      <c r="D585" s="359">
        <f t="shared" ca="1" si="269"/>
        <v>-1.1866551347184413</v>
      </c>
      <c r="E585" s="360">
        <f t="shared" ca="1" si="270"/>
        <v>-12.695780158422657</v>
      </c>
      <c r="F585" s="357">
        <f t="shared" ca="1" si="271"/>
        <v>12.751116980082649</v>
      </c>
      <c r="G585" s="359">
        <f t="shared" ca="1" si="272"/>
        <v>43.900206080920107</v>
      </c>
      <c r="H585" s="360">
        <f t="shared" ca="1" si="273"/>
        <v>105.77819224758076</v>
      </c>
      <c r="I585" s="357">
        <f t="shared" ca="1" si="274"/>
        <v>114.52621555396567</v>
      </c>
      <c r="J585" s="359">
        <f t="shared" ca="1" si="275"/>
        <v>610.26282722912083</v>
      </c>
      <c r="K585" s="360">
        <f t="shared" ca="1" si="276"/>
        <v>2202.2847943767902</v>
      </c>
      <c r="L585" s="357">
        <f t="shared" ca="1" si="261"/>
        <v>2285.274389179755</v>
      </c>
      <c r="M585" s="359">
        <f t="shared" ca="1" si="277"/>
        <v>1.1774079688603341</v>
      </c>
      <c r="N585" s="357">
        <f t="shared" ca="1" si="278"/>
        <v>67.460507380767794</v>
      </c>
      <c r="O585" s="343"/>
      <c r="P585" s="363">
        <f t="shared" ca="1" si="279"/>
        <v>23</v>
      </c>
      <c r="Q585" s="357">
        <f t="shared" ca="1" si="280"/>
        <v>0</v>
      </c>
      <c r="R585" s="359">
        <f t="shared" ca="1" si="281"/>
        <v>0</v>
      </c>
      <c r="S585" s="360">
        <f t="shared" ca="1" si="282"/>
        <v>9.637999999999975</v>
      </c>
      <c r="T585" s="357">
        <f t="shared" ca="1" si="262"/>
        <v>94.548779999999766</v>
      </c>
      <c r="U585" s="364">
        <f t="shared" ca="1" si="263"/>
        <v>0</v>
      </c>
      <c r="V585" s="359">
        <f t="shared" ca="1" si="264"/>
        <v>0.98198006776358027</v>
      </c>
      <c r="W585" s="357">
        <f t="shared" ca="1" si="265"/>
        <v>29.411192603088836</v>
      </c>
      <c r="X585" s="343"/>
      <c r="Y585" s="367" t="str">
        <f t="shared" ca="1" si="283"/>
        <v/>
      </c>
      <c r="Z585" s="368" t="str">
        <f t="shared" ca="1" si="284"/>
        <v/>
      </c>
      <c r="AA585" s="369" t="str">
        <f t="shared" ca="1" si="285"/>
        <v/>
      </c>
      <c r="AB585" s="344"/>
      <c r="AC585" s="363" t="e">
        <f t="shared" ca="1" si="286"/>
        <v>#N/A</v>
      </c>
      <c r="AD585" s="376" t="e">
        <f t="shared" ca="1" si="287"/>
        <v>#N/A</v>
      </c>
      <c r="AE585" s="377">
        <f t="shared" ca="1" si="266"/>
        <v>2202.2847943767902</v>
      </c>
      <c r="AF585" s="344"/>
      <c r="AG585" s="359">
        <f t="shared" ca="1" si="288"/>
        <v>-12.193107007632641</v>
      </c>
      <c r="AH585" s="357">
        <f t="shared" ca="1" si="289"/>
        <v>-3.1202367749098046</v>
      </c>
    </row>
    <row r="586" spans="1:34" x14ac:dyDescent="0.25">
      <c r="A586" s="402">
        <f t="shared" ca="1" si="267"/>
        <v>0.1</v>
      </c>
      <c r="B586" s="357">
        <f t="shared" ca="1" si="268"/>
        <v>13.199999999999909</v>
      </c>
      <c r="C586" s="342"/>
      <c r="D586" s="359">
        <f t="shared" ca="1" si="269"/>
        <v>-1.1697346699475761</v>
      </c>
      <c r="E586" s="360">
        <f t="shared" ca="1" si="270"/>
        <v>-12.62849289199924</v>
      </c>
      <c r="F586" s="357">
        <f t="shared" ca="1" si="271"/>
        <v>12.682551475210053</v>
      </c>
      <c r="G586" s="359">
        <f t="shared" ca="1" si="272"/>
        <v>43.78323261392535</v>
      </c>
      <c r="H586" s="360">
        <f t="shared" ca="1" si="273"/>
        <v>104.51534295838084</v>
      </c>
      <c r="I586" s="357">
        <f t="shared" ca="1" si="274"/>
        <v>113.31561398074435</v>
      </c>
      <c r="J586" s="359">
        <f t="shared" ca="1" si="275"/>
        <v>614.64699916386314</v>
      </c>
      <c r="K586" s="360">
        <f t="shared" ca="1" si="276"/>
        <v>2212.7994711370884</v>
      </c>
      <c r="L586" s="357">
        <f t="shared" ca="1" si="261"/>
        <v>2296.5784186580086</v>
      </c>
      <c r="M586" s="359">
        <f t="shared" ca="1" si="277"/>
        <v>1.1740894698137929</v>
      </c>
      <c r="N586" s="357">
        <f t="shared" ca="1" si="278"/>
        <v>67.270371391082804</v>
      </c>
      <c r="O586" s="343"/>
      <c r="P586" s="363">
        <f t="shared" ca="1" si="279"/>
        <v>23</v>
      </c>
      <c r="Q586" s="357">
        <f t="shared" ca="1" si="280"/>
        <v>0</v>
      </c>
      <c r="R586" s="359">
        <f t="shared" ca="1" si="281"/>
        <v>0</v>
      </c>
      <c r="S586" s="360">
        <f t="shared" ca="1" si="282"/>
        <v>9.637999999999975</v>
      </c>
      <c r="T586" s="357">
        <f t="shared" ca="1" si="262"/>
        <v>94.548779999999766</v>
      </c>
      <c r="U586" s="364">
        <f t="shared" ca="1" si="263"/>
        <v>0</v>
      </c>
      <c r="V586" s="359">
        <f t="shared" ca="1" si="264"/>
        <v>0.98093536909517953</v>
      </c>
      <c r="W586" s="357">
        <f t="shared" ca="1" si="265"/>
        <v>28.762064058210413</v>
      </c>
      <c r="X586" s="343"/>
      <c r="Y586" s="367" t="str">
        <f t="shared" ca="1" si="283"/>
        <v/>
      </c>
      <c r="Z586" s="368" t="str">
        <f t="shared" ca="1" si="284"/>
        <v/>
      </c>
      <c r="AA586" s="369" t="str">
        <f t="shared" ca="1" si="285"/>
        <v/>
      </c>
      <c r="AB586" s="344"/>
      <c r="AC586" s="363" t="e">
        <f t="shared" ca="1" si="286"/>
        <v>#N/A</v>
      </c>
      <c r="AD586" s="376" t="e">
        <f t="shared" ca="1" si="287"/>
        <v>#N/A</v>
      </c>
      <c r="AE586" s="377">
        <f t="shared" ca="1" si="266"/>
        <v>2212.7994711370884</v>
      </c>
      <c r="AF586" s="344"/>
      <c r="AG586" s="359">
        <f t="shared" ca="1" si="288"/>
        <v>-12.112255131176951</v>
      </c>
      <c r="AH586" s="357">
        <f t="shared" ca="1" si="289"/>
        <v>-3.0515866988056559</v>
      </c>
    </row>
    <row r="587" spans="1:34" x14ac:dyDescent="0.25">
      <c r="A587" s="402">
        <f t="shared" ca="1" si="267"/>
        <v>0.1</v>
      </c>
      <c r="B587" s="357">
        <f t="shared" ca="1" si="268"/>
        <v>13.299999999999908</v>
      </c>
      <c r="C587" s="342"/>
      <c r="D587" s="359">
        <f t="shared" ca="1" si="269"/>
        <v>-1.1530581088644369</v>
      </c>
      <c r="E587" s="360">
        <f t="shared" ca="1" si="270"/>
        <v>-12.562475240043822</v>
      </c>
      <c r="F587" s="357">
        <f t="shared" ca="1" si="271"/>
        <v>12.615281493455948</v>
      </c>
      <c r="G587" s="359">
        <f t="shared" ca="1" si="272"/>
        <v>43.667926803038903</v>
      </c>
      <c r="H587" s="360">
        <f t="shared" ca="1" si="273"/>
        <v>103.25909543437646</v>
      </c>
      <c r="I587" s="357">
        <f t="shared" ca="1" si="274"/>
        <v>112.11301717999221</v>
      </c>
      <c r="J587" s="359">
        <f t="shared" ca="1" si="275"/>
        <v>619.01955713471136</v>
      </c>
      <c r="K587" s="360">
        <f t="shared" ca="1" si="276"/>
        <v>2223.188193056726</v>
      </c>
      <c r="L587" s="357">
        <f t="shared" ca="1" si="261"/>
        <v>2307.7588595566231</v>
      </c>
      <c r="M587" s="359">
        <f t="shared" ca="1" si="277"/>
        <v>1.1707085734263163</v>
      </c>
      <c r="N587" s="357">
        <f t="shared" ca="1" si="278"/>
        <v>67.07666029710937</v>
      </c>
      <c r="O587" s="343"/>
      <c r="P587" s="363">
        <f t="shared" ca="1" si="279"/>
        <v>23</v>
      </c>
      <c r="Q587" s="357">
        <f t="shared" ca="1" si="280"/>
        <v>0</v>
      </c>
      <c r="R587" s="359">
        <f t="shared" ca="1" si="281"/>
        <v>0</v>
      </c>
      <c r="S587" s="360">
        <f t="shared" ca="1" si="282"/>
        <v>9.637999999999975</v>
      </c>
      <c r="T587" s="357">
        <f t="shared" ca="1" si="262"/>
        <v>94.548779999999766</v>
      </c>
      <c r="U587" s="364">
        <f t="shared" ca="1" si="263"/>
        <v>0</v>
      </c>
      <c r="V587" s="359">
        <f t="shared" ca="1" si="264"/>
        <v>0.97990415571017198</v>
      </c>
      <c r="W587" s="357">
        <f t="shared" ca="1" si="265"/>
        <v>28.125213187264603</v>
      </c>
      <c r="X587" s="343"/>
      <c r="Y587" s="367" t="str">
        <f t="shared" ca="1" si="283"/>
        <v/>
      </c>
      <c r="Z587" s="368" t="str">
        <f t="shared" ca="1" si="284"/>
        <v/>
      </c>
      <c r="AA587" s="369" t="str">
        <f t="shared" ca="1" si="285"/>
        <v/>
      </c>
      <c r="AB587" s="344"/>
      <c r="AC587" s="363" t="e">
        <f t="shared" ca="1" si="286"/>
        <v>#N/A</v>
      </c>
      <c r="AD587" s="376" t="e">
        <f t="shared" ca="1" si="287"/>
        <v>#N/A</v>
      </c>
      <c r="AE587" s="377">
        <f t="shared" ca="1" si="266"/>
        <v>2223.188193056726</v>
      </c>
      <c r="AF587" s="344"/>
      <c r="AG587" s="359">
        <f t="shared" ca="1" si="288"/>
        <v>-12.032375518424349</v>
      </c>
      <c r="AH587" s="357">
        <f t="shared" ca="1" si="289"/>
        <v>-2.9842357395943648</v>
      </c>
    </row>
    <row r="588" spans="1:34" x14ac:dyDescent="0.25">
      <c r="A588" s="402">
        <f t="shared" ca="1" si="267"/>
        <v>0.1</v>
      </c>
      <c r="B588" s="357">
        <f t="shared" ca="1" si="268"/>
        <v>13.399999999999908</v>
      </c>
      <c r="C588" s="342"/>
      <c r="D588" s="359">
        <f t="shared" ca="1" si="269"/>
        <v>-1.1366203681813842</v>
      </c>
      <c r="E588" s="360">
        <f t="shared" ca="1" si="270"/>
        <v>-12.497702386240375</v>
      </c>
      <c r="F588" s="357">
        <f t="shared" ca="1" si="271"/>
        <v>12.549281684479123</v>
      </c>
      <c r="G588" s="359">
        <f t="shared" ca="1" si="272"/>
        <v>43.554264766220761</v>
      </c>
      <c r="H588" s="360">
        <f t="shared" ca="1" si="273"/>
        <v>102.00932519575242</v>
      </c>
      <c r="I588" s="357">
        <f t="shared" ca="1" si="274"/>
        <v>110.91833214675935</v>
      </c>
      <c r="J588" s="359">
        <f t="shared" ca="1" si="275"/>
        <v>623.38066671317438</v>
      </c>
      <c r="K588" s="360">
        <f t="shared" ca="1" si="276"/>
        <v>2233.4516140882324</v>
      </c>
      <c r="L588" s="357">
        <f t="shared" ca="1" si="261"/>
        <v>2318.816415351826</v>
      </c>
      <c r="M588" s="359">
        <f t="shared" ca="1" si="277"/>
        <v>1.1672637015896861</v>
      </c>
      <c r="N588" s="357">
        <f t="shared" ca="1" si="278"/>
        <v>66.879283679906976</v>
      </c>
      <c r="O588" s="343"/>
      <c r="P588" s="363">
        <f t="shared" ca="1" si="279"/>
        <v>23</v>
      </c>
      <c r="Q588" s="357">
        <f t="shared" ca="1" si="280"/>
        <v>0</v>
      </c>
      <c r="R588" s="359">
        <f t="shared" ca="1" si="281"/>
        <v>0</v>
      </c>
      <c r="S588" s="360">
        <f t="shared" ca="1" si="282"/>
        <v>9.637999999999975</v>
      </c>
      <c r="T588" s="357">
        <f t="shared" ca="1" si="262"/>
        <v>94.548779999999766</v>
      </c>
      <c r="U588" s="364">
        <f t="shared" ca="1" si="263"/>
        <v>0</v>
      </c>
      <c r="V588" s="359">
        <f t="shared" ca="1" si="264"/>
        <v>0.97888632635659401</v>
      </c>
      <c r="W588" s="357">
        <f t="shared" ca="1" si="265"/>
        <v>27.500403489858691</v>
      </c>
      <c r="X588" s="343"/>
      <c r="Y588" s="367" t="str">
        <f t="shared" ca="1" si="283"/>
        <v/>
      </c>
      <c r="Z588" s="368" t="str">
        <f t="shared" ca="1" si="284"/>
        <v/>
      </c>
      <c r="AA588" s="369" t="str">
        <f t="shared" ca="1" si="285"/>
        <v/>
      </c>
      <c r="AB588" s="344"/>
      <c r="AC588" s="363" t="e">
        <f t="shared" ca="1" si="286"/>
        <v>#N/A</v>
      </c>
      <c r="AD588" s="376" t="e">
        <f t="shared" ca="1" si="287"/>
        <v>#N/A</v>
      </c>
      <c r="AE588" s="377">
        <f t="shared" ca="1" si="266"/>
        <v>2233.4516140882324</v>
      </c>
      <c r="AF588" s="344"/>
      <c r="AG588" s="359">
        <f t="shared" ca="1" si="288"/>
        <v>-11.953431743793786</v>
      </c>
      <c r="AH588" s="357">
        <f t="shared" ca="1" si="289"/>
        <v>-2.9181586623017925</v>
      </c>
    </row>
    <row r="589" spans="1:34" x14ac:dyDescent="0.25">
      <c r="A589" s="402">
        <f t="shared" ca="1" si="267"/>
        <v>0.1</v>
      </c>
      <c r="B589" s="357">
        <f t="shared" ca="1" si="268"/>
        <v>13.499999999999908</v>
      </c>
      <c r="C589" s="342"/>
      <c r="D589" s="359">
        <f t="shared" ca="1" si="269"/>
        <v>-1.1204165111815185</v>
      </c>
      <c r="E589" s="360">
        <f t="shared" ca="1" si="270"/>
        <v>-12.434150191887701</v>
      </c>
      <c r="F589" s="357">
        <f t="shared" ca="1" si="271"/>
        <v>12.484527390051621</v>
      </c>
      <c r="G589" s="359">
        <f t="shared" ca="1" si="272"/>
        <v>43.442223115102607</v>
      </c>
      <c r="H589" s="360">
        <f t="shared" ca="1" si="273"/>
        <v>100.76591017656365</v>
      </c>
      <c r="I589" s="357">
        <f t="shared" ca="1" si="274"/>
        <v>109.73146951943023</v>
      </c>
      <c r="J589" s="359">
        <f t="shared" ca="1" si="275"/>
        <v>627.7304911072406</v>
      </c>
      <c r="K589" s="360">
        <f t="shared" ca="1" si="276"/>
        <v>2243.5903758568484</v>
      </c>
      <c r="L589" s="357">
        <f t="shared" ca="1" si="261"/>
        <v>2329.7517773580971</v>
      </c>
      <c r="M589" s="359">
        <f t="shared" ca="1" si="277"/>
        <v>1.163753225168233</v>
      </c>
      <c r="N589" s="357">
        <f t="shared" ca="1" si="278"/>
        <v>66.67814819687753</v>
      </c>
      <c r="O589" s="343"/>
      <c r="P589" s="363">
        <f t="shared" ca="1" si="279"/>
        <v>23</v>
      </c>
      <c r="Q589" s="357">
        <f t="shared" ca="1" si="280"/>
        <v>0</v>
      </c>
      <c r="R589" s="359">
        <f t="shared" ca="1" si="281"/>
        <v>0</v>
      </c>
      <c r="S589" s="360">
        <f t="shared" ca="1" si="282"/>
        <v>9.637999999999975</v>
      </c>
      <c r="T589" s="357">
        <f t="shared" ca="1" si="262"/>
        <v>94.548779999999766</v>
      </c>
      <c r="U589" s="364">
        <f t="shared" ca="1" si="263"/>
        <v>0</v>
      </c>
      <c r="V589" s="359">
        <f t="shared" ca="1" si="264"/>
        <v>0.97788178176417551</v>
      </c>
      <c r="W589" s="357">
        <f t="shared" ca="1" si="265"/>
        <v>26.88740497011781</v>
      </c>
      <c r="X589" s="343"/>
      <c r="Y589" s="367" t="str">
        <f t="shared" ca="1" si="283"/>
        <v/>
      </c>
      <c r="Z589" s="368" t="str">
        <f t="shared" ca="1" si="284"/>
        <v/>
      </c>
      <c r="AA589" s="369" t="str">
        <f t="shared" ca="1" si="285"/>
        <v/>
      </c>
      <c r="AB589" s="344"/>
      <c r="AC589" s="363" t="e">
        <f t="shared" ca="1" si="286"/>
        <v>#N/A</v>
      </c>
      <c r="AD589" s="376" t="e">
        <f t="shared" ca="1" si="287"/>
        <v>#N/A</v>
      </c>
      <c r="AE589" s="377">
        <f t="shared" ca="1" si="266"/>
        <v>2243.5903758568484</v>
      </c>
      <c r="AF589" s="344"/>
      <c r="AG589" s="359">
        <f t="shared" ca="1" si="288"/>
        <v>-11.875387614832874</v>
      </c>
      <c r="AH589" s="357">
        <f t="shared" ca="1" si="289"/>
        <v>-2.8533309286012409</v>
      </c>
    </row>
    <row r="590" spans="1:34" x14ac:dyDescent="0.25">
      <c r="A590" s="402">
        <f t="shared" ca="1" si="267"/>
        <v>0.1</v>
      </c>
      <c r="B590" s="357">
        <f t="shared" ca="1" si="268"/>
        <v>13.599999999999907</v>
      </c>
      <c r="C590" s="342"/>
      <c r="D590" s="359">
        <f t="shared" ca="1" si="269"/>
        <v>-1.1044417436749894</v>
      </c>
      <c r="E590" s="360">
        <f t="shared" ca="1" si="270"/>
        <v>-12.371795174329177</v>
      </c>
      <c r="F590" s="357">
        <f t="shared" ca="1" si="271"/>
        <v>12.420994622039194</v>
      </c>
      <c r="G590" s="359">
        <f t="shared" ca="1" si="272"/>
        <v>43.331778940735106</v>
      </c>
      <c r="H590" s="360">
        <f t="shared" ca="1" si="273"/>
        <v>99.52873065913073</v>
      </c>
      <c r="I590" s="357">
        <f t="shared" ca="1" si="274"/>
        <v>108.55234356192649</v>
      </c>
      <c r="J590" s="359">
        <f t="shared" ca="1" si="275"/>
        <v>632.0691912100325</v>
      </c>
      <c r="K590" s="360">
        <f t="shared" ca="1" si="276"/>
        <v>2253.6051078986329</v>
      </c>
      <c r="L590" s="357">
        <f t="shared" ca="1" si="261"/>
        <v>2340.565624976944</v>
      </c>
      <c r="M590" s="359">
        <f t="shared" ca="1" si="277"/>
        <v>1.1601754621025839</v>
      </c>
      <c r="N590" s="357">
        <f t="shared" ca="1" si="278"/>
        <v>66.47315747311805</v>
      </c>
      <c r="O590" s="343"/>
      <c r="P590" s="363">
        <f t="shared" ca="1" si="279"/>
        <v>23</v>
      </c>
      <c r="Q590" s="357">
        <f t="shared" ca="1" si="280"/>
        <v>0</v>
      </c>
      <c r="R590" s="359">
        <f t="shared" ca="1" si="281"/>
        <v>0</v>
      </c>
      <c r="S590" s="360">
        <f t="shared" ca="1" si="282"/>
        <v>9.637999999999975</v>
      </c>
      <c r="T590" s="357">
        <f t="shared" ca="1" si="262"/>
        <v>94.548779999999766</v>
      </c>
      <c r="U590" s="364">
        <f t="shared" ca="1" si="263"/>
        <v>0</v>
      </c>
      <c r="V590" s="359">
        <f t="shared" ca="1" si="264"/>
        <v>0.97689042460397013</v>
      </c>
      <c r="W590" s="357">
        <f t="shared" ca="1" si="265"/>
        <v>26.285993934770008</v>
      </c>
      <c r="X590" s="343"/>
      <c r="Y590" s="367" t="str">
        <f t="shared" ca="1" si="283"/>
        <v/>
      </c>
      <c r="Z590" s="368" t="str">
        <f t="shared" ca="1" si="284"/>
        <v/>
      </c>
      <c r="AA590" s="369" t="str">
        <f t="shared" ca="1" si="285"/>
        <v/>
      </c>
      <c r="AB590" s="344"/>
      <c r="AC590" s="363" t="e">
        <f t="shared" ca="1" si="286"/>
        <v>#N/A</v>
      </c>
      <c r="AD590" s="376" t="e">
        <f t="shared" ca="1" si="287"/>
        <v>#N/A</v>
      </c>
      <c r="AE590" s="377">
        <f t="shared" ca="1" si="266"/>
        <v>2253.6051078986329</v>
      </c>
      <c r="AF590" s="344"/>
      <c r="AG590" s="359">
        <f t="shared" ca="1" si="288"/>
        <v>-11.798207128506718</v>
      </c>
      <c r="AH590" s="357">
        <f t="shared" ca="1" si="289"/>
        <v>-2.7897286750485453</v>
      </c>
    </row>
    <row r="591" spans="1:34" x14ac:dyDescent="0.25">
      <c r="A591" s="402">
        <f t="shared" ca="1" si="267"/>
        <v>0.1</v>
      </c>
      <c r="B591" s="357">
        <f t="shared" ca="1" si="268"/>
        <v>13.699999999999907</v>
      </c>
      <c r="C591" s="342"/>
      <c r="D591" s="359">
        <f t="shared" ca="1" si="269"/>
        <v>-1.0886914101377969</v>
      </c>
      <c r="E591" s="360">
        <f t="shared" ca="1" si="270"/>
        <v>-12.310614486165285</v>
      </c>
      <c r="F591" s="357">
        <f t="shared" ca="1" si="271"/>
        <v>12.35866004118126</v>
      </c>
      <c r="G591" s="359">
        <f t="shared" ca="1" si="272"/>
        <v>43.222909799721329</v>
      </c>
      <c r="H591" s="360">
        <f t="shared" ca="1" si="273"/>
        <v>98.297669210514201</v>
      </c>
      <c r="I591" s="357">
        <f t="shared" ca="1" si="274"/>
        <v>107.38087215037191</v>
      </c>
      <c r="J591" s="359">
        <f t="shared" ca="1" si="275"/>
        <v>636.39692564705535</v>
      </c>
      <c r="K591" s="360">
        <f t="shared" ca="1" si="276"/>
        <v>2263.4964278921152</v>
      </c>
      <c r="L591" s="357">
        <f t="shared" ca="1" si="261"/>
        <v>2351.2586259391774</v>
      </c>
      <c r="M591" s="359">
        <f t="shared" ca="1" si="277"/>
        <v>1.1565286754387378</v>
      </c>
      <c r="N591" s="357">
        <f t="shared" ca="1" si="278"/>
        <v>66.264211988495063</v>
      </c>
      <c r="O591" s="343"/>
      <c r="P591" s="363">
        <f t="shared" ca="1" si="279"/>
        <v>23</v>
      </c>
      <c r="Q591" s="357">
        <f t="shared" ca="1" si="280"/>
        <v>0</v>
      </c>
      <c r="R591" s="359">
        <f t="shared" ca="1" si="281"/>
        <v>0</v>
      </c>
      <c r="S591" s="360">
        <f t="shared" ca="1" si="282"/>
        <v>9.637999999999975</v>
      </c>
      <c r="T591" s="357">
        <f t="shared" ca="1" si="262"/>
        <v>94.548779999999766</v>
      </c>
      <c r="U591" s="364">
        <f t="shared" ca="1" si="263"/>
        <v>0</v>
      </c>
      <c r="V591" s="359">
        <f t="shared" ca="1" si="264"/>
        <v>0.9759121594491289</v>
      </c>
      <c r="W591" s="357">
        <f t="shared" ca="1" si="265"/>
        <v>25.695952798754373</v>
      </c>
      <c r="X591" s="343"/>
      <c r="Y591" s="367" t="str">
        <f t="shared" ca="1" si="283"/>
        <v/>
      </c>
      <c r="Z591" s="368" t="str">
        <f t="shared" ca="1" si="284"/>
        <v/>
      </c>
      <c r="AA591" s="369" t="str">
        <f t="shared" ca="1" si="285"/>
        <v/>
      </c>
      <c r="AB591" s="344"/>
      <c r="AC591" s="363" t="e">
        <f t="shared" ca="1" si="286"/>
        <v>#N/A</v>
      </c>
      <c r="AD591" s="376" t="e">
        <f t="shared" ca="1" si="287"/>
        <v>#N/A</v>
      </c>
      <c r="AE591" s="377">
        <f t="shared" ca="1" si="266"/>
        <v>2263.4964278921152</v>
      </c>
      <c r="AF591" s="344"/>
      <c r="AG591" s="359">
        <f t="shared" ca="1" si="288"/>
        <v>-11.721854427166861</v>
      </c>
      <c r="AH591" s="357">
        <f t="shared" ca="1" si="289"/>
        <v>-2.7273286921321929</v>
      </c>
    </row>
    <row r="592" spans="1:34" x14ac:dyDescent="0.25">
      <c r="A592" s="402">
        <f t="shared" ca="1" si="267"/>
        <v>0.1</v>
      </c>
      <c r="B592" s="357">
        <f t="shared" ca="1" si="268"/>
        <v>13.799999999999907</v>
      </c>
      <c r="C592" s="342"/>
      <c r="D592" s="359">
        <f t="shared" ca="1" si="269"/>
        <v>-1.0731609900271</v>
      </c>
      <c r="E592" s="360">
        <f t="shared" ca="1" si="270"/>
        <v>-12.250585895214115</v>
      </c>
      <c r="F592" s="357">
        <f t="shared" ca="1" si="271"/>
        <v>12.297500936634847</v>
      </c>
      <c r="G592" s="359">
        <f t="shared" ca="1" si="272"/>
        <v>43.11559370071862</v>
      </c>
      <c r="H592" s="360">
        <f t="shared" ca="1" si="273"/>
        <v>97.072610620992791</v>
      </c>
      <c r="I592" s="357">
        <f t="shared" ca="1" si="274"/>
        <v>106.21697676426461</v>
      </c>
      <c r="J592" s="359">
        <f t="shared" ca="1" si="275"/>
        <v>640.71385082207735</v>
      </c>
      <c r="K592" s="360">
        <f t="shared" ca="1" si="276"/>
        <v>2273.2649418836904</v>
      </c>
      <c r="L592" s="357">
        <f t="shared" ca="1" si="261"/>
        <v>2361.831436540871</v>
      </c>
      <c r="M592" s="359">
        <f t="shared" ca="1" si="277"/>
        <v>1.1528110712798483</v>
      </c>
      <c r="N592" s="357">
        <f t="shared" ca="1" si="278"/>
        <v>66.05120896029041</v>
      </c>
      <c r="O592" s="343"/>
      <c r="P592" s="363">
        <f t="shared" ca="1" si="279"/>
        <v>23</v>
      </c>
      <c r="Q592" s="357">
        <f t="shared" ca="1" si="280"/>
        <v>0</v>
      </c>
      <c r="R592" s="359">
        <f t="shared" ca="1" si="281"/>
        <v>0</v>
      </c>
      <c r="S592" s="360">
        <f t="shared" ca="1" si="282"/>
        <v>9.637999999999975</v>
      </c>
      <c r="T592" s="357">
        <f t="shared" ca="1" si="262"/>
        <v>94.548779999999766</v>
      </c>
      <c r="U592" s="364">
        <f t="shared" ca="1" si="263"/>
        <v>0</v>
      </c>
      <c r="V592" s="359">
        <f t="shared" ca="1" si="264"/>
        <v>0.97494689273677626</v>
      </c>
      <c r="W592" s="357">
        <f t="shared" ca="1" si="265"/>
        <v>25.117069898035989</v>
      </c>
      <c r="X592" s="343"/>
      <c r="Y592" s="367" t="str">
        <f t="shared" ca="1" si="283"/>
        <v/>
      </c>
      <c r="Z592" s="368" t="str">
        <f t="shared" ca="1" si="284"/>
        <v/>
      </c>
      <c r="AA592" s="369" t="str">
        <f t="shared" ca="1" si="285"/>
        <v/>
      </c>
      <c r="AB592" s="344"/>
      <c r="AC592" s="363" t="e">
        <f t="shared" ca="1" si="286"/>
        <v>#N/A</v>
      </c>
      <c r="AD592" s="376" t="e">
        <f t="shared" ca="1" si="287"/>
        <v>#N/A</v>
      </c>
      <c r="AE592" s="377">
        <f t="shared" ca="1" si="266"/>
        <v>2273.2649418836904</v>
      </c>
      <c r="AF592" s="344"/>
      <c r="AG592" s="359">
        <f t="shared" ca="1" si="288"/>
        <v>-11.646293754105422</v>
      </c>
      <c r="AH592" s="357">
        <f t="shared" ca="1" si="289"/>
        <v>-2.6661084041040093</v>
      </c>
    </row>
    <row r="593" spans="1:34" x14ac:dyDescent="0.25">
      <c r="A593" s="402">
        <f t="shared" ca="1" si="267"/>
        <v>0.1</v>
      </c>
      <c r="B593" s="357">
        <f t="shared" ca="1" si="268"/>
        <v>13.899999999999906</v>
      </c>
      <c r="C593" s="342"/>
      <c r="D593" s="359">
        <f t="shared" ca="1" si="269"/>
        <v>-1.0578460942674062</v>
      </c>
      <c r="E593" s="360">
        <f t="shared" ca="1" si="270"/>
        <v>-12.1916877651866</v>
      </c>
      <c r="F593" s="357">
        <f t="shared" ca="1" si="271"/>
        <v>12.2374952062486</v>
      </c>
      <c r="G593" s="359">
        <f t="shared" ca="1" si="272"/>
        <v>43.009809091291878</v>
      </c>
      <c r="H593" s="360">
        <f t="shared" ca="1" si="273"/>
        <v>95.853441844474133</v>
      </c>
      <c r="I593" s="357">
        <f t="shared" ca="1" si="274"/>
        <v>105.06058248221051</v>
      </c>
      <c r="J593" s="359">
        <f t="shared" ca="1" si="275"/>
        <v>645.02012096167789</v>
      </c>
      <c r="K593" s="360">
        <f t="shared" ca="1" si="276"/>
        <v>2282.9112445069636</v>
      </c>
      <c r="L593" s="357">
        <f t="shared" ca="1" si="261"/>
        <v>2372.2847018732282</v>
      </c>
      <c r="M593" s="359">
        <f t="shared" ca="1" si="277"/>
        <v>1.1490207966580583</v>
      </c>
      <c r="N593" s="357">
        <f t="shared" ca="1" si="278"/>
        <v>65.834042221266316</v>
      </c>
      <c r="O593" s="343"/>
      <c r="P593" s="363">
        <f t="shared" ca="1" si="279"/>
        <v>23</v>
      </c>
      <c r="Q593" s="357">
        <f t="shared" ca="1" si="280"/>
        <v>0</v>
      </c>
      <c r="R593" s="359">
        <f t="shared" ca="1" si="281"/>
        <v>0</v>
      </c>
      <c r="S593" s="360">
        <f t="shared" ca="1" si="282"/>
        <v>9.637999999999975</v>
      </c>
      <c r="T593" s="357">
        <f t="shared" ca="1" si="262"/>
        <v>94.548779999999766</v>
      </c>
      <c r="U593" s="364">
        <f t="shared" ca="1" si="263"/>
        <v>0</v>
      </c>
      <c r="V593" s="359">
        <f t="shared" ca="1" si="264"/>
        <v>0.97399453273095815</v>
      </c>
      <c r="W593" s="357">
        <f t="shared" ca="1" si="265"/>
        <v>24.549139309326318</v>
      </c>
      <c r="X593" s="343"/>
      <c r="Y593" s="367" t="str">
        <f t="shared" ca="1" si="283"/>
        <v/>
      </c>
      <c r="Z593" s="368" t="str">
        <f t="shared" ca="1" si="284"/>
        <v/>
      </c>
      <c r="AA593" s="369" t="str">
        <f t="shared" ca="1" si="285"/>
        <v/>
      </c>
      <c r="AB593" s="344"/>
      <c r="AC593" s="363" t="e">
        <f t="shared" ca="1" si="286"/>
        <v>#N/A</v>
      </c>
      <c r="AD593" s="376" t="e">
        <f t="shared" ca="1" si="287"/>
        <v>#N/A</v>
      </c>
      <c r="AE593" s="377">
        <f t="shared" ca="1" si="266"/>
        <v>2282.9112445069636</v>
      </c>
      <c r="AF593" s="344"/>
      <c r="AG593" s="359">
        <f t="shared" ca="1" si="288"/>
        <v>-11.571489408598172</v>
      </c>
      <c r="AH593" s="357">
        <f t="shared" ca="1" si="289"/>
        <v>-2.60604584955759</v>
      </c>
    </row>
    <row r="594" spans="1:34" x14ac:dyDescent="0.25">
      <c r="A594" s="402">
        <f t="shared" ca="1" si="267"/>
        <v>0.1</v>
      </c>
      <c r="B594" s="357">
        <f t="shared" ca="1" si="268"/>
        <v>13.999999999999906</v>
      </c>
      <c r="C594" s="342"/>
      <c r="D594" s="359">
        <f t="shared" ca="1" si="269"/>
        <v>-1.0427424619024097</v>
      </c>
      <c r="E594" s="360">
        <f t="shared" ca="1" si="270"/>
        <v>-12.133899037044628</v>
      </c>
      <c r="F594" s="357">
        <f t="shared" ca="1" si="271"/>
        <v>12.178621337534345</v>
      </c>
      <c r="G594" s="359">
        <f t="shared" ca="1" si="272"/>
        <v>42.905534845101634</v>
      </c>
      <c r="H594" s="360">
        <f t="shared" ca="1" si="273"/>
        <v>94.640051940769666</v>
      </c>
      <c r="I594" s="357">
        <f t="shared" ca="1" si="274"/>
        <v>103.91161798228246</v>
      </c>
      <c r="J594" s="359">
        <f t="shared" ca="1" si="275"/>
        <v>649.31588815849761</v>
      </c>
      <c r="K594" s="360">
        <f t="shared" ca="1" si="276"/>
        <v>2292.4359191962258</v>
      </c>
      <c r="L594" s="357">
        <f t="shared" ca="1" si="261"/>
        <v>2382.6190560465398</v>
      </c>
      <c r="M594" s="359">
        <f t="shared" ca="1" si="277"/>
        <v>1.1451559373237243</v>
      </c>
      <c r="N594" s="357">
        <f t="shared" ca="1" si="278"/>
        <v>65.612602092997236</v>
      </c>
      <c r="O594" s="343"/>
      <c r="P594" s="363">
        <f t="shared" ca="1" si="279"/>
        <v>23</v>
      </c>
      <c r="Q594" s="357">
        <f t="shared" ca="1" si="280"/>
        <v>0</v>
      </c>
      <c r="R594" s="359">
        <f t="shared" ca="1" si="281"/>
        <v>0</v>
      </c>
      <c r="S594" s="360">
        <f t="shared" ca="1" si="282"/>
        <v>9.637999999999975</v>
      </c>
      <c r="T594" s="357">
        <f t="shared" ca="1" si="262"/>
        <v>94.548779999999766</v>
      </c>
      <c r="U594" s="364">
        <f t="shared" ca="1" si="263"/>
        <v>0</v>
      </c>
      <c r="V594" s="359">
        <f t="shared" ca="1" si="264"/>
        <v>0.97305498948661961</v>
      </c>
      <c r="W594" s="357">
        <f t="shared" ca="1" si="265"/>
        <v>23.991960676421716</v>
      </c>
      <c r="X594" s="343"/>
      <c r="Y594" s="367" t="str">
        <f t="shared" ca="1" si="283"/>
        <v/>
      </c>
      <c r="Z594" s="368" t="str">
        <f t="shared" ca="1" si="284"/>
        <v/>
      </c>
      <c r="AA594" s="369" t="str">
        <f t="shared" ca="1" si="285"/>
        <v/>
      </c>
      <c r="AB594" s="344"/>
      <c r="AC594" s="363">
        <f t="shared" ca="1" si="286"/>
        <v>13.999999999999906</v>
      </c>
      <c r="AD594" s="376">
        <f t="shared" ca="1" si="287"/>
        <v>649.31588815849761</v>
      </c>
      <c r="AE594" s="377">
        <f t="shared" ca="1" si="266"/>
        <v>2292.4359191962258</v>
      </c>
      <c r="AF594" s="344"/>
      <c r="AG594" s="359">
        <f t="shared" ca="1" si="288"/>
        <v>-11.497405700338824</v>
      </c>
      <c r="AH594" s="357">
        <f t="shared" ca="1" si="289"/>
        <v>-2.5471196627232184</v>
      </c>
    </row>
    <row r="595" spans="1:34" x14ac:dyDescent="0.25">
      <c r="A595" s="402">
        <f t="shared" ca="1" si="267"/>
        <v>0.1</v>
      </c>
      <c r="B595" s="357">
        <f t="shared" ca="1" si="268"/>
        <v>14.099999999999905</v>
      </c>
      <c r="C595" s="342"/>
      <c r="D595" s="359">
        <f t="shared" ca="1" si="269"/>
        <v>-1.0278459569075733</v>
      </c>
      <c r="E595" s="360">
        <f t="shared" ca="1" si="270"/>
        <v>-12.077199211011546</v>
      </c>
      <c r="F595" s="357">
        <f t="shared" ca="1" si="271"/>
        <v>12.120858389305155</v>
      </c>
      <c r="G595" s="359">
        <f t="shared" ca="1" si="272"/>
        <v>42.802750249410877</v>
      </c>
      <c r="H595" s="360">
        <f t="shared" ca="1" si="273"/>
        <v>93.432332019668507</v>
      </c>
      <c r="I595" s="357">
        <f t="shared" ca="1" si="274"/>
        <v>102.77001554707977</v>
      </c>
      <c r="J595" s="359">
        <f t="shared" ca="1" si="275"/>
        <v>653.60130241322327</v>
      </c>
      <c r="K595" s="360">
        <f t="shared" ca="1" si="276"/>
        <v>2301.8395383942475</v>
      </c>
      <c r="L595" s="357">
        <f t="shared" ca="1" si="261"/>
        <v>2392.8351224084172</v>
      </c>
      <c r="M595" s="359">
        <f t="shared" ca="1" si="277"/>
        <v>1.1412145154493685</v>
      </c>
      <c r="N595" s="357">
        <f t="shared" ca="1" si="278"/>
        <v>65.386775254316092</v>
      </c>
      <c r="O595" s="343"/>
      <c r="P595" s="363">
        <f t="shared" ca="1" si="279"/>
        <v>23</v>
      </c>
      <c r="Q595" s="357">
        <f t="shared" ca="1" si="280"/>
        <v>0</v>
      </c>
      <c r="R595" s="359">
        <f t="shared" ca="1" si="281"/>
        <v>0</v>
      </c>
      <c r="S595" s="360">
        <f t="shared" ca="1" si="282"/>
        <v>9.637999999999975</v>
      </c>
      <c r="T595" s="357">
        <f t="shared" ca="1" si="262"/>
        <v>94.548779999999766</v>
      </c>
      <c r="U595" s="364">
        <f t="shared" ca="1" si="263"/>
        <v>0</v>
      </c>
      <c r="V595" s="359">
        <f t="shared" ca="1" si="264"/>
        <v>0.97212817481458957</v>
      </c>
      <c r="W595" s="357">
        <f t="shared" ca="1" si="265"/>
        <v>23.445339042886488</v>
      </c>
      <c r="X595" s="343"/>
      <c r="Y595" s="367" t="str">
        <f t="shared" ca="1" si="283"/>
        <v/>
      </c>
      <c r="Z595" s="368" t="str">
        <f t="shared" ca="1" si="284"/>
        <v/>
      </c>
      <c r="AA595" s="369" t="str">
        <f t="shared" ca="1" si="285"/>
        <v/>
      </c>
      <c r="AB595" s="344"/>
      <c r="AC595" s="363" t="e">
        <f t="shared" ca="1" si="286"/>
        <v>#N/A</v>
      </c>
      <c r="AD595" s="376" t="e">
        <f t="shared" ca="1" si="287"/>
        <v>#N/A</v>
      </c>
      <c r="AE595" s="377">
        <f t="shared" ca="1" si="266"/>
        <v>2301.8395383942475</v>
      </c>
      <c r="AF595" s="344"/>
      <c r="AG595" s="359">
        <f t="shared" ca="1" si="288"/>
        <v>-11.424006903165102</v>
      </c>
      <c r="AH595" s="357">
        <f t="shared" ca="1" si="289"/>
        <v>-2.4893090554494477</v>
      </c>
    </row>
    <row r="596" spans="1:34" x14ac:dyDescent="0.25">
      <c r="A596" s="402">
        <f t="shared" ca="1" si="267"/>
        <v>0.1</v>
      </c>
      <c r="B596" s="357">
        <f t="shared" ca="1" si="268"/>
        <v>14.199999999999905</v>
      </c>
      <c r="C596" s="342"/>
      <c r="D596" s="359">
        <f t="shared" ca="1" si="269"/>
        <v>-1.0131525651589013</v>
      </c>
      <c r="E596" s="360">
        <f t="shared" ca="1" si="270"/>
        <v>-12.021568329205861</v>
      </c>
      <c r="F596" s="357">
        <f t="shared" ca="1" si="271"/>
        <v>12.064185973950064</v>
      </c>
      <c r="G596" s="359">
        <f t="shared" ca="1" si="272"/>
        <v>42.701434992894988</v>
      </c>
      <c r="H596" s="360">
        <f t="shared" ca="1" si="273"/>
        <v>92.230175186747914</v>
      </c>
      <c r="I596" s="357">
        <f t="shared" ca="1" si="274"/>
        <v>101.6357110735722</v>
      </c>
      <c r="J596" s="359">
        <f t="shared" ca="1" si="275"/>
        <v>657.87651167533852</v>
      </c>
      <c r="K596" s="360">
        <f t="shared" ca="1" si="276"/>
        <v>2311.1226637545683</v>
      </c>
      <c r="L596" s="357">
        <f t="shared" ca="1" si="261"/>
        <v>2402.9335137564926</v>
      </c>
      <c r="M596" s="359">
        <f t="shared" ca="1" si="277"/>
        <v>1.1371944872457069</v>
      </c>
      <c r="N596" s="357">
        <f t="shared" ca="1" si="278"/>
        <v>65.156444604722736</v>
      </c>
      <c r="O596" s="343"/>
      <c r="P596" s="363">
        <f t="shared" ca="1" si="279"/>
        <v>23</v>
      </c>
      <c r="Q596" s="357">
        <f t="shared" ca="1" si="280"/>
        <v>0</v>
      </c>
      <c r="R596" s="359">
        <f t="shared" ca="1" si="281"/>
        <v>0</v>
      </c>
      <c r="S596" s="360">
        <f t="shared" ca="1" si="282"/>
        <v>9.637999999999975</v>
      </c>
      <c r="T596" s="357">
        <f t="shared" ca="1" si="262"/>
        <v>94.548779999999766</v>
      </c>
      <c r="U596" s="364">
        <f t="shared" ca="1" si="263"/>
        <v>0</v>
      </c>
      <c r="V596" s="359">
        <f t="shared" ca="1" si="264"/>
        <v>0.97121400224753018</v>
      </c>
      <c r="W596" s="357">
        <f t="shared" ca="1" si="265"/>
        <v>22.909084690819217</v>
      </c>
      <c r="X596" s="343"/>
      <c r="Y596" s="367" t="str">
        <f t="shared" ca="1" si="283"/>
        <v/>
      </c>
      <c r="Z596" s="368" t="str">
        <f t="shared" ca="1" si="284"/>
        <v/>
      </c>
      <c r="AA596" s="369" t="str">
        <f t="shared" ca="1" si="285"/>
        <v/>
      </c>
      <c r="AB596" s="344"/>
      <c r="AC596" s="363" t="e">
        <f t="shared" ca="1" si="286"/>
        <v>#N/A</v>
      </c>
      <c r="AD596" s="376" t="e">
        <f t="shared" ca="1" si="287"/>
        <v>#N/A</v>
      </c>
      <c r="AE596" s="377">
        <f t="shared" ca="1" si="266"/>
        <v>2311.1226637545683</v>
      </c>
      <c r="AF596" s="344"/>
      <c r="AG596" s="359">
        <f t="shared" ca="1" si="288"/>
        <v>-11.351257207975468</v>
      </c>
      <c r="AH596" s="357">
        <f t="shared" ca="1" si="289"/>
        <v>-2.4325937998429703</v>
      </c>
    </row>
    <row r="597" spans="1:34" x14ac:dyDescent="0.25">
      <c r="A597" s="402">
        <f t="shared" ca="1" si="267"/>
        <v>0.1</v>
      </c>
      <c r="B597" s="357">
        <f t="shared" ca="1" si="268"/>
        <v>14.299999999999905</v>
      </c>
      <c r="C597" s="342"/>
      <c r="D597" s="359">
        <f t="shared" ca="1" si="269"/>
        <v>-0.99865839155368763</v>
      </c>
      <c r="E597" s="360">
        <f t="shared" ca="1" si="270"/>
        <v>-11.966986958870068</v>
      </c>
      <c r="F597" s="357">
        <f t="shared" ca="1" si="271"/>
        <v>12.008584240316877</v>
      </c>
      <c r="G597" s="359">
        <f t="shared" ca="1" si="272"/>
        <v>42.601569153739618</v>
      </c>
      <c r="H597" s="360">
        <f t="shared" ca="1" si="273"/>
        <v>91.033476490860906</v>
      </c>
      <c r="I597" s="357">
        <f t="shared" ca="1" si="274"/>
        <v>100.50864408782452</v>
      </c>
      <c r="J597" s="359">
        <f t="shared" ca="1" si="275"/>
        <v>662.14166188267029</v>
      </c>
      <c r="K597" s="360">
        <f t="shared" ca="1" si="276"/>
        <v>2320.2858463384487</v>
      </c>
      <c r="L597" s="357">
        <f t="shared" ca="1" si="261"/>
        <v>2412.9148325457481</v>
      </c>
      <c r="M597" s="359">
        <f t="shared" ca="1" si="277"/>
        <v>1.1330937404871508</v>
      </c>
      <c r="N597" s="357">
        <f t="shared" ca="1" si="278"/>
        <v>64.921489122605522</v>
      </c>
      <c r="O597" s="343"/>
      <c r="P597" s="363">
        <f t="shared" ca="1" si="279"/>
        <v>23</v>
      </c>
      <c r="Q597" s="357">
        <f t="shared" ca="1" si="280"/>
        <v>0</v>
      </c>
      <c r="R597" s="359">
        <f t="shared" ca="1" si="281"/>
        <v>0</v>
      </c>
      <c r="S597" s="360">
        <f t="shared" ca="1" si="282"/>
        <v>9.637999999999975</v>
      </c>
      <c r="T597" s="357">
        <f t="shared" ca="1" si="262"/>
        <v>94.548779999999766</v>
      </c>
      <c r="U597" s="364">
        <f t="shared" ca="1" si="263"/>
        <v>0</v>
      </c>
      <c r="V597" s="359">
        <f t="shared" ca="1" si="264"/>
        <v>0.9703123870068292</v>
      </c>
      <c r="W597" s="357">
        <f t="shared" ca="1" si="265"/>
        <v>22.383012985453576</v>
      </c>
      <c r="X597" s="343"/>
      <c r="Y597" s="367" t="str">
        <f t="shared" ca="1" si="283"/>
        <v/>
      </c>
      <c r="Z597" s="368" t="str">
        <f t="shared" ca="1" si="284"/>
        <v/>
      </c>
      <c r="AA597" s="369" t="str">
        <f t="shared" ca="1" si="285"/>
        <v/>
      </c>
      <c r="AB597" s="344"/>
      <c r="AC597" s="363" t="e">
        <f t="shared" ca="1" si="286"/>
        <v>#N/A</v>
      </c>
      <c r="AD597" s="376" t="e">
        <f t="shared" ca="1" si="287"/>
        <v>#N/A</v>
      </c>
      <c r="AE597" s="377">
        <f t="shared" ca="1" si="266"/>
        <v>2320.2858463384487</v>
      </c>
      <c r="AF597" s="344"/>
      <c r="AG597" s="359">
        <f t="shared" ca="1" si="288"/>
        <v>-11.279120674733345</v>
      </c>
      <c r="AH597" s="357">
        <f t="shared" ca="1" si="289"/>
        <v>-2.3769542115396636</v>
      </c>
    </row>
    <row r="598" spans="1:34" x14ac:dyDescent="0.25">
      <c r="A598" s="402">
        <f t="shared" ca="1" si="267"/>
        <v>0.1</v>
      </c>
      <c r="B598" s="357">
        <f t="shared" ca="1" si="268"/>
        <v>14.399999999999904</v>
      </c>
      <c r="C598" s="342"/>
      <c r="D598" s="359">
        <f t="shared" ca="1" si="269"/>
        <v>-0.98435965727931352</v>
      </c>
      <c r="E598" s="360">
        <f t="shared" ca="1" si="270"/>
        <v>-11.913436176167757</v>
      </c>
      <c r="F598" s="357">
        <f t="shared" ca="1" si="271"/>
        <v>11.954033857175645</v>
      </c>
      <c r="G598" s="359">
        <f t="shared" ca="1" si="272"/>
        <v>42.503133188011688</v>
      </c>
      <c r="H598" s="360">
        <f t="shared" ca="1" si="273"/>
        <v>89.842132873244125</v>
      </c>
      <c r="I598" s="357">
        <f t="shared" ca="1" si="274"/>
        <v>99.38875776470654</v>
      </c>
      <c r="J598" s="359">
        <f t="shared" ca="1" si="275"/>
        <v>666.39689699975781</v>
      </c>
      <c r="K598" s="360">
        <f t="shared" ca="1" si="276"/>
        <v>2329.3296268066538</v>
      </c>
      <c r="L598" s="357">
        <f t="shared" ca="1" si="261"/>
        <v>2422.7796710906523</v>
      </c>
      <c r="M598" s="359">
        <f t="shared" ca="1" si="277"/>
        <v>1.1289100919442179</v>
      </c>
      <c r="N598" s="357">
        <f t="shared" ca="1" si="278"/>
        <v>64.681783718129395</v>
      </c>
      <c r="O598" s="343"/>
      <c r="P598" s="363">
        <f t="shared" ca="1" si="279"/>
        <v>23</v>
      </c>
      <c r="Q598" s="357">
        <f t="shared" ca="1" si="280"/>
        <v>0</v>
      </c>
      <c r="R598" s="359">
        <f t="shared" ca="1" si="281"/>
        <v>0</v>
      </c>
      <c r="S598" s="360">
        <f t="shared" ca="1" si="282"/>
        <v>9.637999999999975</v>
      </c>
      <c r="T598" s="357">
        <f t="shared" ca="1" si="262"/>
        <v>94.548779999999766</v>
      </c>
      <c r="U598" s="364">
        <f t="shared" ca="1" si="263"/>
        <v>0</v>
      </c>
      <c r="V598" s="359">
        <f t="shared" ca="1" si="264"/>
        <v>0.96942324597039642</v>
      </c>
      <c r="W598" s="357">
        <f t="shared" ca="1" si="265"/>
        <v>21.866944225355827</v>
      </c>
      <c r="X598" s="343"/>
      <c r="Y598" s="367" t="str">
        <f t="shared" ca="1" si="283"/>
        <v/>
      </c>
      <c r="Z598" s="368" t="str">
        <f t="shared" ca="1" si="284"/>
        <v/>
      </c>
      <c r="AA598" s="369" t="str">
        <f t="shared" ca="1" si="285"/>
        <v/>
      </c>
      <c r="AB598" s="344"/>
      <c r="AC598" s="363" t="e">
        <f t="shared" ca="1" si="286"/>
        <v>#N/A</v>
      </c>
      <c r="AD598" s="376" t="e">
        <f t="shared" ca="1" si="287"/>
        <v>#N/A</v>
      </c>
      <c r="AE598" s="377">
        <f t="shared" ca="1" si="266"/>
        <v>2329.3296268066538</v>
      </c>
      <c r="AF598" s="344"/>
      <c r="AG598" s="359">
        <f t="shared" ca="1" si="288"/>
        <v>-11.2075611834538</v>
      </c>
      <c r="AH598" s="357">
        <f t="shared" ca="1" si="289"/>
        <v>-2.3223711335809956</v>
      </c>
    </row>
    <row r="599" spans="1:34" x14ac:dyDescent="0.25">
      <c r="A599" s="402">
        <f t="shared" ca="1" si="267"/>
        <v>0.1</v>
      </c>
      <c r="B599" s="357">
        <f t="shared" ca="1" si="268"/>
        <v>14.499999999999904</v>
      </c>
      <c r="C599" s="342"/>
      <c r="D599" s="359">
        <f t="shared" ca="1" si="269"/>
        <v>-0.97025269722650853</v>
      </c>
      <c r="E599" s="360">
        <f t="shared" ca="1" si="270"/>
        <v>-11.860897550523035</v>
      </c>
      <c r="F599" s="357">
        <f t="shared" ca="1" si="271"/>
        <v>11.900515997236365</v>
      </c>
      <c r="G599" s="359">
        <f t="shared" ca="1" si="272"/>
        <v>42.406107918289038</v>
      </c>
      <c r="H599" s="360">
        <f t="shared" ca="1" si="273"/>
        <v>88.656043118191818</v>
      </c>
      <c r="I599" s="357">
        <f t="shared" ca="1" si="274"/>
        <v>98.275998952705962</v>
      </c>
      <c r="J599" s="359">
        <f t="shared" ca="1" si="275"/>
        <v>670.6423590550728</v>
      </c>
      <c r="K599" s="360">
        <f t="shared" ca="1" si="276"/>
        <v>2338.2545356062255</v>
      </c>
      <c r="L599" s="357">
        <f t="shared" ca="1" si="261"/>
        <v>2432.5286117622622</v>
      </c>
      <c r="M599" s="359">
        <f t="shared" ca="1" si="277"/>
        <v>1.124641284720393</v>
      </c>
      <c r="N599" s="357">
        <f t="shared" ca="1" si="278"/>
        <v>64.437199080649279</v>
      </c>
      <c r="O599" s="343"/>
      <c r="P599" s="363">
        <f t="shared" ca="1" si="279"/>
        <v>23</v>
      </c>
      <c r="Q599" s="357">
        <f t="shared" ca="1" si="280"/>
        <v>0</v>
      </c>
      <c r="R599" s="359">
        <f t="shared" ca="1" si="281"/>
        <v>0</v>
      </c>
      <c r="S599" s="360">
        <f t="shared" ca="1" si="282"/>
        <v>9.637999999999975</v>
      </c>
      <c r="T599" s="357">
        <f t="shared" ca="1" si="262"/>
        <v>94.548779999999766</v>
      </c>
      <c r="U599" s="364">
        <f t="shared" ca="1" si="263"/>
        <v>0</v>
      </c>
      <c r="V599" s="359">
        <f t="shared" ca="1" si="264"/>
        <v>0.96854649764134848</v>
      </c>
      <c r="W599" s="357">
        <f t="shared" ca="1" si="265"/>
        <v>21.360703497992592</v>
      </c>
      <c r="X599" s="343"/>
      <c r="Y599" s="367" t="str">
        <f t="shared" ca="1" si="283"/>
        <v/>
      </c>
      <c r="Z599" s="368" t="str">
        <f t="shared" ca="1" si="284"/>
        <v/>
      </c>
      <c r="AA599" s="369" t="str">
        <f t="shared" ca="1" si="285"/>
        <v/>
      </c>
      <c r="AB599" s="344"/>
      <c r="AC599" s="363" t="e">
        <f t="shared" ca="1" si="286"/>
        <v>#N/A</v>
      </c>
      <c r="AD599" s="376" t="e">
        <f t="shared" ca="1" si="287"/>
        <v>#N/A</v>
      </c>
      <c r="AE599" s="377">
        <f t="shared" ca="1" si="266"/>
        <v>2338.2545356062255</v>
      </c>
      <c r="AF599" s="344"/>
      <c r="AG599" s="359">
        <f t="shared" ca="1" si="288"/>
        <v>-11.136542384065489</v>
      </c>
      <c r="AH599" s="357">
        <f t="shared" ca="1" si="289"/>
        <v>-2.268825920871123</v>
      </c>
    </row>
    <row r="600" spans="1:34" x14ac:dyDescent="0.25">
      <c r="A600" s="402">
        <f t="shared" ca="1" si="267"/>
        <v>0.1</v>
      </c>
      <c r="B600" s="357">
        <f t="shared" ca="1" si="268"/>
        <v>14.599999999999904</v>
      </c>
      <c r="C600" s="342"/>
      <c r="D600" s="359">
        <f t="shared" ca="1" si="269"/>
        <v>-0.95633395754375594</v>
      </c>
      <c r="E600" s="360">
        <f t="shared" ca="1" si="270"/>
        <v>-11.809353129477465</v>
      </c>
      <c r="F600" s="357">
        <f t="shared" ca="1" si="271"/>
        <v>11.848012321695588</v>
      </c>
      <c r="G600" s="359">
        <f t="shared" ca="1" si="272"/>
        <v>42.310474522534662</v>
      </c>
      <c r="H600" s="360">
        <f t="shared" ca="1" si="273"/>
        <v>87.475107805244065</v>
      </c>
      <c r="I600" s="357">
        <f t="shared" ca="1" si="274"/>
        <v>97.17031820397176</v>
      </c>
      <c r="J600" s="359">
        <f t="shared" ca="1" si="275"/>
        <v>674.878188177114</v>
      </c>
      <c r="K600" s="360">
        <f t="shared" ca="1" si="276"/>
        <v>2347.0610931523975</v>
      </c>
      <c r="L600" s="357">
        <f t="shared" ca="1" si="261"/>
        <v>2442.1622271804449</v>
      </c>
      <c r="M600" s="359">
        <f t="shared" ca="1" si="277"/>
        <v>1.1202849854910772</v>
      </c>
      <c r="N600" s="357">
        <f t="shared" ca="1" si="278"/>
        <v>64.187601520513397</v>
      </c>
      <c r="O600" s="343"/>
      <c r="P600" s="363">
        <f t="shared" ca="1" si="279"/>
        <v>23</v>
      </c>
      <c r="Q600" s="357">
        <f t="shared" ca="1" si="280"/>
        <v>0</v>
      </c>
      <c r="R600" s="359">
        <f t="shared" ca="1" si="281"/>
        <v>0</v>
      </c>
      <c r="S600" s="360">
        <f t="shared" ca="1" si="282"/>
        <v>9.637999999999975</v>
      </c>
      <c r="T600" s="357">
        <f t="shared" ca="1" si="262"/>
        <v>94.548779999999766</v>
      </c>
      <c r="U600" s="364">
        <f t="shared" ca="1" si="263"/>
        <v>0</v>
      </c>
      <c r="V600" s="359">
        <f t="shared" ca="1" si="264"/>
        <v>0.96768206211753782</v>
      </c>
      <c r="W600" s="357">
        <f t="shared" ca="1" si="265"/>
        <v>20.864120540452191</v>
      </c>
      <c r="X600" s="343"/>
      <c r="Y600" s="367" t="str">
        <f t="shared" ca="1" si="283"/>
        <v/>
      </c>
      <c r="Z600" s="368" t="str">
        <f t="shared" ca="1" si="284"/>
        <v/>
      </c>
      <c r="AA600" s="369" t="str">
        <f t="shared" ca="1" si="285"/>
        <v/>
      </c>
      <c r="AB600" s="344"/>
      <c r="AC600" s="363" t="e">
        <f t="shared" ca="1" si="286"/>
        <v>#N/A</v>
      </c>
      <c r="AD600" s="376" t="e">
        <f t="shared" ca="1" si="287"/>
        <v>#N/A</v>
      </c>
      <c r="AE600" s="377">
        <f t="shared" ca="1" si="266"/>
        <v>2347.0610931523975</v>
      </c>
      <c r="AF600" s="344"/>
      <c r="AG600" s="359">
        <f t="shared" ca="1" si="288"/>
        <v>-11.066027645038639</v>
      </c>
      <c r="AH600" s="357">
        <f t="shared" ca="1" si="289"/>
        <v>-2.2163004251911858</v>
      </c>
    </row>
    <row r="601" spans="1:34" x14ac:dyDescent="0.25">
      <c r="A601" s="402">
        <f t="shared" ca="1" si="267"/>
        <v>0.1</v>
      </c>
      <c r="B601" s="357">
        <f t="shared" ca="1" si="268"/>
        <v>14.699999999999903</v>
      </c>
      <c r="C601" s="342"/>
      <c r="D601" s="359">
        <f t="shared" ca="1" si="269"/>
        <v>-0.94259999332982791</v>
      </c>
      <c r="E601" s="360">
        <f t="shared" ca="1" si="270"/>
        <v>-11.758785424040418</v>
      </c>
      <c r="F601" s="357">
        <f t="shared" ca="1" si="271"/>
        <v>11.796504965287422</v>
      </c>
      <c r="G601" s="359">
        <f t="shared" ca="1" si="272"/>
        <v>42.216214523201678</v>
      </c>
      <c r="H601" s="360">
        <f t="shared" ca="1" si="273"/>
        <v>86.299229262840029</v>
      </c>
      <c r="I601" s="357">
        <f t="shared" ca="1" si="274"/>
        <v>96.071669809726984</v>
      </c>
      <c r="J601" s="359">
        <f t="shared" ca="1" si="275"/>
        <v>679.10452262940078</v>
      </c>
      <c r="K601" s="360">
        <f t="shared" ca="1" si="276"/>
        <v>2355.7498100058015</v>
      </c>
      <c r="L601" s="357">
        <f t="shared" ca="1" si="261"/>
        <v>2451.6810804013794</v>
      </c>
      <c r="M601" s="359">
        <f t="shared" ca="1" si="277"/>
        <v>1.1158387816424176</v>
      </c>
      <c r="N601" s="357">
        <f t="shared" ca="1" si="278"/>
        <v>63.932852805130366</v>
      </c>
      <c r="O601" s="343"/>
      <c r="P601" s="363">
        <f t="shared" ca="1" si="279"/>
        <v>23</v>
      </c>
      <c r="Q601" s="357">
        <f t="shared" ca="1" si="280"/>
        <v>0</v>
      </c>
      <c r="R601" s="359">
        <f t="shared" ca="1" si="281"/>
        <v>0</v>
      </c>
      <c r="S601" s="360">
        <f t="shared" ca="1" si="282"/>
        <v>9.637999999999975</v>
      </c>
      <c r="T601" s="357">
        <f t="shared" ca="1" si="262"/>
        <v>94.548779999999766</v>
      </c>
      <c r="U601" s="364">
        <f t="shared" ca="1" si="263"/>
        <v>0</v>
      </c>
      <c r="V601" s="359">
        <f t="shared" ca="1" si="264"/>
        <v>0.96682986106191748</v>
      </c>
      <c r="W601" s="357">
        <f t="shared" ca="1" si="265"/>
        <v>20.377029605113215</v>
      </c>
      <c r="X601" s="343"/>
      <c r="Y601" s="367" t="str">
        <f t="shared" ca="1" si="283"/>
        <v/>
      </c>
      <c r="Z601" s="368" t="str">
        <f t="shared" ca="1" si="284"/>
        <v/>
      </c>
      <c r="AA601" s="369" t="str">
        <f t="shared" ca="1" si="285"/>
        <v/>
      </c>
      <c r="AB601" s="344"/>
      <c r="AC601" s="363" t="e">
        <f t="shared" ca="1" si="286"/>
        <v>#N/A</v>
      </c>
      <c r="AD601" s="376" t="e">
        <f t="shared" ca="1" si="287"/>
        <v>#N/A</v>
      </c>
      <c r="AE601" s="377">
        <f t="shared" ca="1" si="266"/>
        <v>2355.7498100058015</v>
      </c>
      <c r="AF601" s="344"/>
      <c r="AG601" s="359">
        <f t="shared" ca="1" si="288"/>
        <v>-10.995980000667714</v>
      </c>
      <c r="AH601" s="357">
        <f t="shared" ca="1" si="289"/>
        <v>-2.1647769807483135</v>
      </c>
    </row>
    <row r="602" spans="1:34" x14ac:dyDescent="0.25">
      <c r="A602" s="402">
        <f t="shared" ca="1" si="267"/>
        <v>0.1</v>
      </c>
      <c r="B602" s="357">
        <f t="shared" ca="1" si="268"/>
        <v>14.799999999999903</v>
      </c>
      <c r="C602" s="342"/>
      <c r="D602" s="359">
        <f t="shared" ca="1" si="269"/>
        <v>-0.92904746646171676</v>
      </c>
      <c r="E602" s="360">
        <f t="shared" ca="1" si="270"/>
        <v>-11.709177394509787</v>
      </c>
      <c r="F602" s="357">
        <f t="shared" ca="1" si="271"/>
        <v>11.74597652181537</v>
      </c>
      <c r="G602" s="359">
        <f t="shared" ca="1" si="272"/>
        <v>42.123309776555509</v>
      </c>
      <c r="H602" s="360">
        <f t="shared" ca="1" si="273"/>
        <v>85.128311523389044</v>
      </c>
      <c r="I602" s="357">
        <f t="shared" ca="1" si="274"/>
        <v>94.980011841201772</v>
      </c>
      <c r="J602" s="359">
        <f t="shared" ca="1" si="275"/>
        <v>683.32149884438866</v>
      </c>
      <c r="K602" s="360">
        <f t="shared" ca="1" si="276"/>
        <v>2364.3211870451128</v>
      </c>
      <c r="L602" s="357">
        <f t="shared" ca="1" si="261"/>
        <v>2461.0857251004795</v>
      </c>
      <c r="M602" s="359">
        <f t="shared" ca="1" si="277"/>
        <v>1.1113001783079972</v>
      </c>
      <c r="N602" s="357">
        <f t="shared" ca="1" si="278"/>
        <v>63.672809989184081</v>
      </c>
      <c r="O602" s="343"/>
      <c r="P602" s="363">
        <f t="shared" ca="1" si="279"/>
        <v>23</v>
      </c>
      <c r="Q602" s="357">
        <f t="shared" ca="1" si="280"/>
        <v>0</v>
      </c>
      <c r="R602" s="359">
        <f t="shared" ca="1" si="281"/>
        <v>0</v>
      </c>
      <c r="S602" s="360">
        <f t="shared" ca="1" si="282"/>
        <v>9.637999999999975</v>
      </c>
      <c r="T602" s="357">
        <f t="shared" ca="1" si="262"/>
        <v>94.548779999999766</v>
      </c>
      <c r="U602" s="364">
        <f t="shared" ca="1" si="263"/>
        <v>0</v>
      </c>
      <c r="V602" s="359">
        <f t="shared" ca="1" si="264"/>
        <v>0.96598981767369851</v>
      </c>
      <c r="W602" s="357">
        <f t="shared" ca="1" si="265"/>
        <v>19.89926933006263</v>
      </c>
      <c r="X602" s="343"/>
      <c r="Y602" s="367" t="str">
        <f t="shared" ca="1" si="283"/>
        <v/>
      </c>
      <c r="Z602" s="368" t="str">
        <f t="shared" ca="1" si="284"/>
        <v/>
      </c>
      <c r="AA602" s="369" t="str">
        <f t="shared" ca="1" si="285"/>
        <v/>
      </c>
      <c r="AB602" s="344"/>
      <c r="AC602" s="363" t="e">
        <f t="shared" ca="1" si="286"/>
        <v>#N/A</v>
      </c>
      <c r="AD602" s="376" t="e">
        <f t="shared" ca="1" si="287"/>
        <v>#N/A</v>
      </c>
      <c r="AE602" s="377">
        <f t="shared" ca="1" si="266"/>
        <v>2364.3211870451128</v>
      </c>
      <c r="AF602" s="344"/>
      <c r="AG602" s="359">
        <f t="shared" ca="1" si="288"/>
        <v>-10.926362096895376</v>
      </c>
      <c r="AH602" s="357">
        <f t="shared" ca="1" si="289"/>
        <v>-2.11423839023794</v>
      </c>
    </row>
    <row r="603" spans="1:34" x14ac:dyDescent="0.25">
      <c r="A603" s="402">
        <f t="shared" ca="1" si="267"/>
        <v>0.1</v>
      </c>
      <c r="B603" s="357">
        <f t="shared" ca="1" si="268"/>
        <v>14.899999999999903</v>
      </c>
      <c r="C603" s="342"/>
      <c r="D603" s="359">
        <f t="shared" ca="1" si="269"/>
        <v>-0.91567314355548168</v>
      </c>
      <c r="E603" s="360">
        <f t="shared" ca="1" si="270"/>
        <v>-11.660512436740579</v>
      </c>
      <c r="F603" s="357">
        <f t="shared" ca="1" si="271"/>
        <v>11.696410030142175</v>
      </c>
      <c r="G603" s="359">
        <f t="shared" ca="1" si="272"/>
        <v>42.031742462199958</v>
      </c>
      <c r="H603" s="360">
        <f t="shared" ca="1" si="273"/>
        <v>83.962260279714982</v>
      </c>
      <c r="I603" s="357">
        <f t="shared" ca="1" si="274"/>
        <v>93.89530619624874</v>
      </c>
      <c r="J603" s="359">
        <f t="shared" ca="1" si="275"/>
        <v>687.52925145632639</v>
      </c>
      <c r="K603" s="360">
        <f t="shared" ca="1" si="276"/>
        <v>2372.7757156352682</v>
      </c>
      <c r="L603" s="357">
        <f t="shared" ca="1" si="261"/>
        <v>2470.3767057508771</v>
      </c>
      <c r="M603" s="359">
        <f t="shared" ca="1" si="277"/>
        <v>1.1066665953015999</v>
      </c>
      <c r="N603" s="357">
        <f t="shared" ca="1" si="278"/>
        <v>63.407325238893975</v>
      </c>
      <c r="O603" s="343"/>
      <c r="P603" s="363">
        <f t="shared" ca="1" si="279"/>
        <v>23</v>
      </c>
      <c r="Q603" s="357">
        <f t="shared" ca="1" si="280"/>
        <v>0</v>
      </c>
      <c r="R603" s="359">
        <f t="shared" ca="1" si="281"/>
        <v>0</v>
      </c>
      <c r="S603" s="360">
        <f t="shared" ca="1" si="282"/>
        <v>9.637999999999975</v>
      </c>
      <c r="T603" s="357">
        <f t="shared" ca="1" si="262"/>
        <v>94.548779999999766</v>
      </c>
      <c r="U603" s="364">
        <f t="shared" ca="1" si="263"/>
        <v>0</v>
      </c>
      <c r="V603" s="359">
        <f t="shared" ca="1" si="264"/>
        <v>0.96516185666029064</v>
      </c>
      <c r="W603" s="357">
        <f t="shared" ca="1" si="265"/>
        <v>19.430682614075206</v>
      </c>
      <c r="X603" s="343"/>
      <c r="Y603" s="367" t="str">
        <f t="shared" ca="1" si="283"/>
        <v/>
      </c>
      <c r="Z603" s="368" t="str">
        <f t="shared" ca="1" si="284"/>
        <v/>
      </c>
      <c r="AA603" s="369" t="str">
        <f t="shared" ca="1" si="285"/>
        <v/>
      </c>
      <c r="AB603" s="344"/>
      <c r="AC603" s="363" t="e">
        <f t="shared" ca="1" si="286"/>
        <v>#N/A</v>
      </c>
      <c r="AD603" s="376" t="e">
        <f t="shared" ca="1" si="287"/>
        <v>#N/A</v>
      </c>
      <c r="AE603" s="377">
        <f t="shared" ca="1" si="266"/>
        <v>2372.7757156352682</v>
      </c>
      <c r="AF603" s="344"/>
      <c r="AG603" s="359">
        <f t="shared" ca="1" si="288"/>
        <v>-10.857136135562483</v>
      </c>
      <c r="AH603" s="357">
        <f t="shared" ca="1" si="289"/>
        <v>-2.0646679113989088</v>
      </c>
    </row>
    <row r="604" spans="1:34" x14ac:dyDescent="0.25">
      <c r="A604" s="402">
        <f t="shared" ca="1" si="267"/>
        <v>0.1</v>
      </c>
      <c r="B604" s="357">
        <f t="shared" ca="1" si="268"/>
        <v>14.999999999999902</v>
      </c>
      <c r="C604" s="342"/>
      <c r="D604" s="359">
        <f t="shared" ca="1" si="269"/>
        <v>-0.90247389405781575</v>
      </c>
      <c r="E604" s="360">
        <f t="shared" ca="1" si="270"/>
        <v>-11.612774368839817</v>
      </c>
      <c r="F604" s="357">
        <f t="shared" ca="1" si="271"/>
        <v>11.64778896061561</v>
      </c>
      <c r="G604" s="359">
        <f t="shared" ca="1" si="272"/>
        <v>41.941495072794176</v>
      </c>
      <c r="H604" s="360">
        <f t="shared" ca="1" si="273"/>
        <v>82.800982842831004</v>
      </c>
      <c r="I604" s="357">
        <f t="shared" ca="1" si="274"/>
        <v>92.817518651814936</v>
      </c>
      <c r="J604" s="359">
        <f t="shared" ca="1" si="275"/>
        <v>691.72791333307612</v>
      </c>
      <c r="K604" s="360">
        <f t="shared" ca="1" si="276"/>
        <v>2381.1138777913957</v>
      </c>
      <c r="L604" s="357">
        <f t="shared" ca="1" si="261"/>
        <v>2479.5545577976118</v>
      </c>
      <c r="M604" s="359">
        <f t="shared" ca="1" si="277"/>
        <v>1.1019353639445453</v>
      </c>
      <c r="N604" s="357">
        <f t="shared" ca="1" si="278"/>
        <v>63.136245650234791</v>
      </c>
      <c r="O604" s="343"/>
      <c r="P604" s="363">
        <f t="shared" ca="1" si="279"/>
        <v>23</v>
      </c>
      <c r="Q604" s="357">
        <f t="shared" ca="1" si="280"/>
        <v>0</v>
      </c>
      <c r="R604" s="359">
        <f t="shared" ca="1" si="281"/>
        <v>0</v>
      </c>
      <c r="S604" s="360">
        <f t="shared" ca="1" si="282"/>
        <v>9.637999999999975</v>
      </c>
      <c r="T604" s="357">
        <f t="shared" ca="1" si="262"/>
        <v>94.548779999999766</v>
      </c>
      <c r="U604" s="364">
        <f t="shared" ca="1" si="263"/>
        <v>0</v>
      </c>
      <c r="V604" s="359">
        <f t="shared" ca="1" si="264"/>
        <v>0.964345904209992</v>
      </c>
      <c r="W604" s="357">
        <f t="shared" ca="1" si="265"/>
        <v>18.971116495973906</v>
      </c>
      <c r="X604" s="343"/>
      <c r="Y604" s="367" t="str">
        <f t="shared" ca="1" si="283"/>
        <v/>
      </c>
      <c r="Z604" s="368" t="str">
        <f t="shared" ca="1" si="284"/>
        <v/>
      </c>
      <c r="AA604" s="369" t="str">
        <f t="shared" ca="1" si="285"/>
        <v/>
      </c>
      <c r="AB604" s="344"/>
      <c r="AC604" s="363">
        <f t="shared" ca="1" si="286"/>
        <v>14.999999999999902</v>
      </c>
      <c r="AD604" s="376">
        <f t="shared" ca="1" si="287"/>
        <v>691.72791333307612</v>
      </c>
      <c r="AE604" s="377">
        <f t="shared" ca="1" si="266"/>
        <v>2381.1138777913957</v>
      </c>
      <c r="AF604" s="344"/>
      <c r="AG604" s="359">
        <f t="shared" ca="1" si="288"/>
        <v>-10.788263816967008</v>
      </c>
      <c r="AH604" s="357">
        <f t="shared" ca="1" si="289"/>
        <v>-2.0160492440418403</v>
      </c>
    </row>
    <row r="605" spans="1:34" x14ac:dyDescent="0.25">
      <c r="A605" s="402">
        <f t="shared" ca="1" si="267"/>
        <v>0.1</v>
      </c>
      <c r="B605" s="357">
        <f t="shared" ca="1" si="268"/>
        <v>15.099999999999902</v>
      </c>
      <c r="C605" s="342"/>
      <c r="D605" s="359">
        <f t="shared" ca="1" si="269"/>
        <v>-0.88944668846638542</v>
      </c>
      <c r="E605" s="360">
        <f t="shared" ca="1" si="270"/>
        <v>-11.56594741826669</v>
      </c>
      <c r="F605" s="357">
        <f t="shared" ca="1" si="271"/>
        <v>11.600097201908859</v>
      </c>
      <c r="G605" s="359">
        <f t="shared" ca="1" si="272"/>
        <v>41.852550403947539</v>
      </c>
      <c r="H605" s="360">
        <f t="shared" ca="1" si="273"/>
        <v>81.644388101004338</v>
      </c>
      <c r="I605" s="357">
        <f t="shared" ca="1" si="274"/>
        <v>91.74661892245615</v>
      </c>
      <c r="J605" s="359">
        <f t="shared" ca="1" si="275"/>
        <v>695.91761560691316</v>
      </c>
      <c r="K605" s="360">
        <f t="shared" ca="1" si="276"/>
        <v>2389.3361463385872</v>
      </c>
      <c r="L605" s="357">
        <f t="shared" ca="1" si="261"/>
        <v>2488.6198078276525</v>
      </c>
      <c r="M605" s="359">
        <f t="shared" ca="1" si="277"/>
        <v>1.0971037237864374</v>
      </c>
      <c r="N605" s="357">
        <f t="shared" ca="1" si="278"/>
        <v>62.859413061049288</v>
      </c>
      <c r="O605" s="343"/>
      <c r="P605" s="363">
        <f t="shared" ca="1" si="279"/>
        <v>23</v>
      </c>
      <c r="Q605" s="357">
        <f t="shared" ca="1" si="280"/>
        <v>0</v>
      </c>
      <c r="R605" s="359">
        <f t="shared" ca="1" si="281"/>
        <v>0</v>
      </c>
      <c r="S605" s="360">
        <f t="shared" ca="1" si="282"/>
        <v>9.637999999999975</v>
      </c>
      <c r="T605" s="357">
        <f t="shared" ca="1" si="262"/>
        <v>94.548779999999766</v>
      </c>
      <c r="U605" s="364">
        <f t="shared" ca="1" si="263"/>
        <v>0</v>
      </c>
      <c r="V605" s="359">
        <f t="shared" ca="1" si="264"/>
        <v>0.96354188796540785</v>
      </c>
      <c r="W605" s="357">
        <f t="shared" ca="1" si="265"/>
        <v>18.520422038198902</v>
      </c>
      <c r="X605" s="343"/>
      <c r="Y605" s="367" t="str">
        <f t="shared" ca="1" si="283"/>
        <v/>
      </c>
      <c r="Z605" s="368" t="str">
        <f t="shared" ca="1" si="284"/>
        <v/>
      </c>
      <c r="AA605" s="369" t="str">
        <f t="shared" ca="1" si="285"/>
        <v/>
      </c>
      <c r="AB605" s="344"/>
      <c r="AC605" s="363" t="e">
        <f t="shared" ca="1" si="286"/>
        <v>#N/A</v>
      </c>
      <c r="AD605" s="376" t="e">
        <f t="shared" ca="1" si="287"/>
        <v>#N/A</v>
      </c>
      <c r="AE605" s="377">
        <f t="shared" ca="1" si="266"/>
        <v>2389.3361463385872</v>
      </c>
      <c r="AF605" s="344"/>
      <c r="AG605" s="359">
        <f t="shared" ca="1" si="288"/>
        <v>-10.719706280613398</v>
      </c>
      <c r="AH605" s="357">
        <f t="shared" ca="1" si="289"/>
        <v>-1.9683665175320559</v>
      </c>
    </row>
    <row r="606" spans="1:34" x14ac:dyDescent="0.25">
      <c r="A606" s="402">
        <f t="shared" ca="1" si="267"/>
        <v>0.1</v>
      </c>
      <c r="B606" s="357">
        <f t="shared" ca="1" si="268"/>
        <v>15.199999999999902</v>
      </c>
      <c r="C606" s="342"/>
      <c r="D606" s="359">
        <f t="shared" ca="1" si="269"/>
        <v>-0.87658859667723255</v>
      </c>
      <c r="E606" s="360">
        <f t="shared" ca="1" si="270"/>
        <v>-11.520016209317566</v>
      </c>
      <c r="F606" s="357">
        <f t="shared" ca="1" si="271"/>
        <v>11.553319048254663</v>
      </c>
      <c r="G606" s="359">
        <f t="shared" ca="1" si="272"/>
        <v>41.764891544279813</v>
      </c>
      <c r="H606" s="360">
        <f t="shared" ca="1" si="273"/>
        <v>80.492386480072582</v>
      </c>
      <c r="I606" s="357">
        <f t="shared" ca="1" si="274"/>
        <v>90.682580725091995</v>
      </c>
      <c r="J606" s="359">
        <f t="shared" ca="1" si="275"/>
        <v>700.0984877043245</v>
      </c>
      <c r="K606" s="360">
        <f t="shared" ca="1" si="276"/>
        <v>2397.4429850676411</v>
      </c>
      <c r="L606" s="357">
        <f t="shared" ca="1" si="261"/>
        <v>2497.5729737358874</v>
      </c>
      <c r="M606" s="359">
        <f t="shared" ca="1" si="277"/>
        <v>1.0921688192185881</v>
      </c>
      <c r="N606" s="357">
        <f t="shared" ca="1" si="278"/>
        <v>62.576663857011688</v>
      </c>
      <c r="O606" s="343"/>
      <c r="P606" s="363">
        <f t="shared" ca="1" si="279"/>
        <v>23</v>
      </c>
      <c r="Q606" s="357">
        <f t="shared" ca="1" si="280"/>
        <v>0</v>
      </c>
      <c r="R606" s="359">
        <f t="shared" ca="1" si="281"/>
        <v>0</v>
      </c>
      <c r="S606" s="360">
        <f t="shared" ca="1" si="282"/>
        <v>9.637999999999975</v>
      </c>
      <c r="T606" s="357">
        <f t="shared" ca="1" si="262"/>
        <v>94.548779999999766</v>
      </c>
      <c r="U606" s="364">
        <f t="shared" ca="1" si="263"/>
        <v>0</v>
      </c>
      <c r="V606" s="359">
        <f t="shared" ca="1" si="264"/>
        <v>0.96274973699757871</v>
      </c>
      <c r="W606" s="357">
        <f t="shared" ca="1" si="265"/>
        <v>18.078454214420766</v>
      </c>
      <c r="X606" s="343"/>
      <c r="Y606" s="367" t="str">
        <f t="shared" ca="1" si="283"/>
        <v/>
      </c>
      <c r="Z606" s="368" t="str">
        <f t="shared" ca="1" si="284"/>
        <v/>
      </c>
      <c r="AA606" s="369" t="str">
        <f t="shared" ca="1" si="285"/>
        <v/>
      </c>
      <c r="AB606" s="344"/>
      <c r="AC606" s="363" t="e">
        <f t="shared" ca="1" si="286"/>
        <v>#N/A</v>
      </c>
      <c r="AD606" s="376" t="e">
        <f t="shared" ca="1" si="287"/>
        <v>#N/A</v>
      </c>
      <c r="AE606" s="377">
        <f t="shared" ca="1" si="266"/>
        <v>2397.4429850676411</v>
      </c>
      <c r="AF606" s="344"/>
      <c r="AG606" s="359">
        <f t="shared" ca="1" si="288"/>
        <v>-10.651424044032579</v>
      </c>
      <c r="AH606" s="357">
        <f t="shared" ca="1" si="289"/>
        <v>-1.9216042787091667</v>
      </c>
    </row>
    <row r="607" spans="1:34" x14ac:dyDescent="0.25">
      <c r="A607" s="402">
        <f t="shared" ca="1" si="267"/>
        <v>0.1</v>
      </c>
      <c r="B607" s="357">
        <f t="shared" ca="1" si="268"/>
        <v>15.299999999999901</v>
      </c>
      <c r="C607" s="342"/>
      <c r="D607" s="359">
        <f t="shared" ca="1" si="269"/>
        <v>-0.86389678645779333</v>
      </c>
      <c r="E607" s="360">
        <f t="shared" ca="1" si="270"/>
        <v>-11.474965750976009</v>
      </c>
      <c r="F607" s="357">
        <f t="shared" ca="1" si="271"/>
        <v>11.507439187053066</v>
      </c>
      <c r="G607" s="359">
        <f t="shared" ca="1" si="272"/>
        <v>41.678501865634033</v>
      </c>
      <c r="H607" s="360">
        <f t="shared" ca="1" si="273"/>
        <v>79.344889904974977</v>
      </c>
      <c r="I607" s="357">
        <f t="shared" ca="1" si="274"/>
        <v>89.625381850211724</v>
      </c>
      <c r="J607" s="359">
        <f t="shared" ca="1" si="275"/>
        <v>704.27065737482019</v>
      </c>
      <c r="K607" s="360">
        <f t="shared" ca="1" si="276"/>
        <v>2405.4348488868936</v>
      </c>
      <c r="L607" s="357">
        <f t="shared" ca="1" si="261"/>
        <v>2506.4145648871963</v>
      </c>
      <c r="M607" s="359">
        <f t="shared" ca="1" si="277"/>
        <v>1.0871276959798579</v>
      </c>
      <c r="N607" s="357">
        <f t="shared" ca="1" si="278"/>
        <v>62.287828771427129</v>
      </c>
      <c r="O607" s="343"/>
      <c r="P607" s="363">
        <f t="shared" ca="1" si="279"/>
        <v>23</v>
      </c>
      <c r="Q607" s="357">
        <f t="shared" ca="1" si="280"/>
        <v>0</v>
      </c>
      <c r="R607" s="359">
        <f t="shared" ca="1" si="281"/>
        <v>0</v>
      </c>
      <c r="S607" s="360">
        <f t="shared" ca="1" si="282"/>
        <v>9.637999999999975</v>
      </c>
      <c r="T607" s="357">
        <f t="shared" ca="1" si="262"/>
        <v>94.548779999999766</v>
      </c>
      <c r="U607" s="364">
        <f t="shared" ca="1" si="263"/>
        <v>0</v>
      </c>
      <c r="V607" s="359">
        <f t="shared" ca="1" si="264"/>
        <v>0.96196938178079305</v>
      </c>
      <c r="W607" s="357">
        <f t="shared" ca="1" si="265"/>
        <v>17.645071801040089</v>
      </c>
      <c r="X607" s="343"/>
      <c r="Y607" s="367" t="str">
        <f t="shared" ca="1" si="283"/>
        <v/>
      </c>
      <c r="Z607" s="368" t="str">
        <f t="shared" ca="1" si="284"/>
        <v/>
      </c>
      <c r="AA607" s="369" t="str">
        <f t="shared" ca="1" si="285"/>
        <v/>
      </c>
      <c r="AB607" s="344"/>
      <c r="AC607" s="363" t="e">
        <f t="shared" ca="1" si="286"/>
        <v>#N/A</v>
      </c>
      <c r="AD607" s="376" t="e">
        <f t="shared" ca="1" si="287"/>
        <v>#N/A</v>
      </c>
      <c r="AE607" s="377">
        <f t="shared" ca="1" si="266"/>
        <v>2405.4348488868936</v>
      </c>
      <c r="AF607" s="344"/>
      <c r="AG607" s="359">
        <f t="shared" ca="1" si="288"/>
        <v>-10.583376939552194</v>
      </c>
      <c r="AH607" s="357">
        <f t="shared" ca="1" si="289"/>
        <v>-1.8757474802262724</v>
      </c>
    </row>
    <row r="608" spans="1:34" x14ac:dyDescent="0.25">
      <c r="A608" s="402">
        <f t="shared" ca="1" si="267"/>
        <v>0.1</v>
      </c>
      <c r="B608" s="357">
        <f t="shared" ca="1" si="268"/>
        <v>15.399999999999901</v>
      </c>
      <c r="C608" s="342"/>
      <c r="D608" s="359">
        <f t="shared" ca="1" si="269"/>
        <v>-0.85136852204430724</v>
      </c>
      <c r="E608" s="360">
        <f t="shared" ca="1" si="270"/>
        <v>-11.430781425108433</v>
      </c>
      <c r="F608" s="357">
        <f t="shared" ca="1" si="271"/>
        <v>11.462442686833025</v>
      </c>
      <c r="G608" s="359">
        <f t="shared" ca="1" si="272"/>
        <v>41.593365013429604</v>
      </c>
      <c r="H608" s="360">
        <f t="shared" ca="1" si="273"/>
        <v>78.201811762464132</v>
      </c>
      <c r="I608" s="357">
        <f t="shared" ca="1" si="274"/>
        <v>88.575004239753014</v>
      </c>
      <c r="J608" s="359">
        <f t="shared" ca="1" si="275"/>
        <v>708.43425071877334</v>
      </c>
      <c r="K608" s="360">
        <f t="shared" ca="1" si="276"/>
        <v>2413.3121839702658</v>
      </c>
      <c r="L608" s="357">
        <f t="shared" ca="1" si="261"/>
        <v>2515.1450822747393</v>
      </c>
      <c r="M608" s="359">
        <f t="shared" ca="1" si="277"/>
        <v>1.0819772975552464</v>
      </c>
      <c r="N608" s="357">
        <f t="shared" ca="1" si="278"/>
        <v>61.992732678886064</v>
      </c>
      <c r="O608" s="343"/>
      <c r="P608" s="363">
        <f t="shared" ca="1" si="279"/>
        <v>23</v>
      </c>
      <c r="Q608" s="357">
        <f t="shared" ca="1" si="280"/>
        <v>0</v>
      </c>
      <c r="R608" s="359">
        <f t="shared" ca="1" si="281"/>
        <v>0</v>
      </c>
      <c r="S608" s="360">
        <f t="shared" ca="1" si="282"/>
        <v>9.637999999999975</v>
      </c>
      <c r="T608" s="357">
        <f t="shared" ca="1" si="262"/>
        <v>94.548779999999766</v>
      </c>
      <c r="U608" s="364">
        <f t="shared" ca="1" si="263"/>
        <v>0</v>
      </c>
      <c r="V608" s="359">
        <f t="shared" ca="1" si="264"/>
        <v>0.96120075416806172</v>
      </c>
      <c r="W608" s="357">
        <f t="shared" ca="1" si="265"/>
        <v>17.220137272422814</v>
      </c>
      <c r="X608" s="343"/>
      <c r="Y608" s="367" t="str">
        <f t="shared" ca="1" si="283"/>
        <v/>
      </c>
      <c r="Z608" s="368" t="str">
        <f t="shared" ca="1" si="284"/>
        <v/>
      </c>
      <c r="AA608" s="369" t="str">
        <f t="shared" ca="1" si="285"/>
        <v/>
      </c>
      <c r="AB608" s="344"/>
      <c r="AC608" s="363" t="e">
        <f t="shared" ca="1" si="286"/>
        <v>#N/A</v>
      </c>
      <c r="AD608" s="376" t="e">
        <f t="shared" ca="1" si="287"/>
        <v>#N/A</v>
      </c>
      <c r="AE608" s="377">
        <f t="shared" ca="1" si="266"/>
        <v>2413.3121839702658</v>
      </c>
      <c r="AF608" s="344"/>
      <c r="AG608" s="359">
        <f t="shared" ca="1" si="288"/>
        <v>-10.515524048896438</v>
      </c>
      <c r="AH608" s="357">
        <f t="shared" ca="1" si="289"/>
        <v>-1.8307814692923983</v>
      </c>
    </row>
    <row r="609" spans="1:34" x14ac:dyDescent="0.25">
      <c r="A609" s="402">
        <f t="shared" ca="1" si="267"/>
        <v>0.1</v>
      </c>
      <c r="B609" s="357">
        <f t="shared" ca="1" si="268"/>
        <v>15.499999999999901</v>
      </c>
      <c r="C609" s="342"/>
      <c r="D609" s="359">
        <f t="shared" ca="1" si="269"/>
        <v>-0.83900116286261761</v>
      </c>
      <c r="E609" s="360">
        <f t="shared" ca="1" si="270"/>
        <v>-11.38744897498643</v>
      </c>
      <c r="F609" s="357">
        <f t="shared" ca="1" si="271"/>
        <v>11.418314985548626</v>
      </c>
      <c r="G609" s="359">
        <f t="shared" ca="1" si="272"/>
        <v>41.509464897143346</v>
      </c>
      <c r="H609" s="360">
        <f t="shared" ca="1" si="273"/>
        <v>77.063066864965492</v>
      </c>
      <c r="I609" s="357">
        <f t="shared" ca="1" si="274"/>
        <v>87.531434071888242</v>
      </c>
      <c r="J609" s="359">
        <f t="shared" ca="1" si="275"/>
        <v>712.58939221430194</v>
      </c>
      <c r="K609" s="360">
        <f t="shared" ca="1" si="276"/>
        <v>2421.0754279016373</v>
      </c>
      <c r="L609" s="357">
        <f t="shared" ca="1" si="261"/>
        <v>2523.7650186745682</v>
      </c>
      <c r="M609" s="359">
        <f t="shared" ca="1" si="277"/>
        <v>1.0767144614682391</v>
      </c>
      <c r="N609" s="357">
        <f t="shared" ca="1" si="278"/>
        <v>61.691194382831398</v>
      </c>
      <c r="O609" s="343"/>
      <c r="P609" s="363">
        <f t="shared" ca="1" si="279"/>
        <v>23</v>
      </c>
      <c r="Q609" s="357">
        <f t="shared" ca="1" si="280"/>
        <v>0</v>
      </c>
      <c r="R609" s="359">
        <f t="shared" ca="1" si="281"/>
        <v>0</v>
      </c>
      <c r="S609" s="360">
        <f t="shared" ca="1" si="282"/>
        <v>9.637999999999975</v>
      </c>
      <c r="T609" s="357">
        <f t="shared" ca="1" si="262"/>
        <v>94.548779999999766</v>
      </c>
      <c r="U609" s="364">
        <f t="shared" ca="1" si="263"/>
        <v>0</v>
      </c>
      <c r="V609" s="359">
        <f t="shared" ca="1" si="264"/>
        <v>0.9604437873672439</v>
      </c>
      <c r="W609" s="357">
        <f t="shared" ca="1" si="265"/>
        <v>16.803516699727279</v>
      </c>
      <c r="X609" s="343"/>
      <c r="Y609" s="367" t="str">
        <f t="shared" ca="1" si="283"/>
        <v/>
      </c>
      <c r="Z609" s="368" t="str">
        <f t="shared" ca="1" si="284"/>
        <v/>
      </c>
      <c r="AA609" s="369" t="str">
        <f t="shared" ca="1" si="285"/>
        <v/>
      </c>
      <c r="AB609" s="344"/>
      <c r="AC609" s="363" t="e">
        <f t="shared" ca="1" si="286"/>
        <v>#N/A</v>
      </c>
      <c r="AD609" s="376" t="e">
        <f t="shared" ca="1" si="287"/>
        <v>#N/A</v>
      </c>
      <c r="AE609" s="377">
        <f t="shared" ca="1" si="266"/>
        <v>2421.0754279016373</v>
      </c>
      <c r="AF609" s="344"/>
      <c r="AG609" s="359">
        <f t="shared" ca="1" si="288"/>
        <v>-10.447823635495332</v>
      </c>
      <c r="AH609" s="357">
        <f t="shared" ca="1" si="289"/>
        <v>-1.7866919768025378</v>
      </c>
    </row>
    <row r="610" spans="1:34" x14ac:dyDescent="0.25">
      <c r="A610" s="402">
        <f t="shared" ca="1" si="267"/>
        <v>0.1</v>
      </c>
      <c r="B610" s="357">
        <f t="shared" ca="1" si="268"/>
        <v>15.5999999999999</v>
      </c>
      <c r="C610" s="342"/>
      <c r="D610" s="359">
        <f t="shared" ca="1" si="269"/>
        <v>-0.82679216237160336</v>
      </c>
      <c r="E610" s="360">
        <f t="shared" ca="1" si="270"/>
        <v>-11.344954494117246</v>
      </c>
      <c r="F610" s="357">
        <f t="shared" ca="1" si="271"/>
        <v>11.375041879191048</v>
      </c>
      <c r="G610" s="359">
        <f t="shared" ca="1" si="272"/>
        <v>41.426785680906185</v>
      </c>
      <c r="H610" s="360">
        <f t="shared" ca="1" si="273"/>
        <v>75.928571415553762</v>
      </c>
      <c r="I610" s="357">
        <f t="shared" ca="1" si="274"/>
        <v>86.494661852963972</v>
      </c>
      <c r="J610" s="359">
        <f t="shared" ca="1" si="275"/>
        <v>716.73620474320444</v>
      </c>
      <c r="K610" s="360">
        <f t="shared" ca="1" si="276"/>
        <v>2428.7250098156633</v>
      </c>
      <c r="L610" s="357">
        <f t="shared" ca="1" si="261"/>
        <v>2532.274858796688</v>
      </c>
      <c r="M610" s="359">
        <f t="shared" ca="1" si="277"/>
        <v>1.0713359154687112</v>
      </c>
      <c r="N610" s="357">
        <f t="shared" ca="1" si="278"/>
        <v>61.383026397141478</v>
      </c>
      <c r="O610" s="343"/>
      <c r="P610" s="363">
        <f t="shared" ca="1" si="279"/>
        <v>23</v>
      </c>
      <c r="Q610" s="357">
        <f t="shared" ca="1" si="280"/>
        <v>0</v>
      </c>
      <c r="R610" s="359">
        <f t="shared" ca="1" si="281"/>
        <v>0</v>
      </c>
      <c r="S610" s="360">
        <f t="shared" ca="1" si="282"/>
        <v>9.637999999999975</v>
      </c>
      <c r="T610" s="357">
        <f t="shared" ca="1" si="262"/>
        <v>94.548779999999766</v>
      </c>
      <c r="U610" s="364">
        <f t="shared" ca="1" si="263"/>
        <v>0</v>
      </c>
      <c r="V610" s="359">
        <f t="shared" ca="1" si="264"/>
        <v>0.95969841591779037</v>
      </c>
      <c r="W610" s="357">
        <f t="shared" ca="1" si="265"/>
        <v>16.395079653184471</v>
      </c>
      <c r="X610" s="343"/>
      <c r="Y610" s="367" t="str">
        <f t="shared" ca="1" si="283"/>
        <v/>
      </c>
      <c r="Z610" s="368" t="str">
        <f t="shared" ca="1" si="284"/>
        <v/>
      </c>
      <c r="AA610" s="369" t="str">
        <f t="shared" ca="1" si="285"/>
        <v/>
      </c>
      <c r="AB610" s="344"/>
      <c r="AC610" s="363" t="e">
        <f t="shared" ca="1" si="286"/>
        <v>#N/A</v>
      </c>
      <c r="AD610" s="376" t="e">
        <f t="shared" ca="1" si="287"/>
        <v>#N/A</v>
      </c>
      <c r="AE610" s="377">
        <f t="shared" ca="1" si="266"/>
        <v>2428.7250098156633</v>
      </c>
      <c r="AF610" s="344"/>
      <c r="AG610" s="359">
        <f t="shared" ca="1" si="288"/>
        <v>-10.380233074384783</v>
      </c>
      <c r="AH610" s="357">
        <f t="shared" ca="1" si="289"/>
        <v>-1.7434651068403531</v>
      </c>
    </row>
    <row r="611" spans="1:34" x14ac:dyDescent="0.25">
      <c r="A611" s="402">
        <f t="shared" ca="1" si="267"/>
        <v>0.1</v>
      </c>
      <c r="B611" s="357">
        <f t="shared" ca="1" si="268"/>
        <v>15.6999999999999</v>
      </c>
      <c r="C611" s="342"/>
      <c r="D611" s="359">
        <f t="shared" ca="1" si="269"/>
        <v>-0.81473906702866628</v>
      </c>
      <c r="E611" s="360">
        <f t="shared" ca="1" si="270"/>
        <v>-11.303284415364146</v>
      </c>
      <c r="F611" s="357">
        <f t="shared" ca="1" si="271"/>
        <v>11.332609510697734</v>
      </c>
      <c r="G611" s="359">
        <f t="shared" ca="1" si="272"/>
        <v>41.345311774203317</v>
      </c>
      <c r="H611" s="360">
        <f t="shared" ca="1" si="273"/>
        <v>74.798242974017342</v>
      </c>
      <c r="I611" s="357">
        <f t="shared" ca="1" si="274"/>
        <v>85.464682516851425</v>
      </c>
      <c r="J611" s="359">
        <f t="shared" ca="1" si="275"/>
        <v>720.87480961595986</v>
      </c>
      <c r="K611" s="360">
        <f t="shared" ca="1" si="276"/>
        <v>2436.2613505351419</v>
      </c>
      <c r="L611" s="357">
        <f t="shared" ca="1" si="261"/>
        <v>2540.6750794326613</v>
      </c>
      <c r="M611" s="359">
        <f t="shared" ca="1" si="277"/>
        <v>1.0658382736191123</v>
      </c>
      <c r="N611" s="357">
        <f t="shared" ca="1" si="278"/>
        <v>61.06803472188497</v>
      </c>
      <c r="O611" s="343"/>
      <c r="P611" s="363">
        <f t="shared" ca="1" si="279"/>
        <v>23</v>
      </c>
      <c r="Q611" s="357">
        <f t="shared" ca="1" si="280"/>
        <v>0</v>
      </c>
      <c r="R611" s="359">
        <f t="shared" ca="1" si="281"/>
        <v>0</v>
      </c>
      <c r="S611" s="360">
        <f t="shared" ca="1" si="282"/>
        <v>9.637999999999975</v>
      </c>
      <c r="T611" s="357">
        <f t="shared" ca="1" si="262"/>
        <v>94.548779999999766</v>
      </c>
      <c r="U611" s="364">
        <f t="shared" ca="1" si="263"/>
        <v>0</v>
      </c>
      <c r="V611" s="359">
        <f t="shared" ca="1" si="264"/>
        <v>0.9589645756680969</v>
      </c>
      <c r="W611" s="357">
        <f t="shared" ca="1" si="265"/>
        <v>15.994699107699537</v>
      </c>
      <c r="X611" s="343"/>
      <c r="Y611" s="367" t="str">
        <f t="shared" ca="1" si="283"/>
        <v/>
      </c>
      <c r="Z611" s="368" t="str">
        <f t="shared" ca="1" si="284"/>
        <v/>
      </c>
      <c r="AA611" s="369" t="str">
        <f t="shared" ca="1" si="285"/>
        <v/>
      </c>
      <c r="AB611" s="344"/>
      <c r="AC611" s="363" t="e">
        <f t="shared" ca="1" si="286"/>
        <v>#N/A</v>
      </c>
      <c r="AD611" s="376" t="e">
        <f t="shared" ca="1" si="287"/>
        <v>#N/A</v>
      </c>
      <c r="AE611" s="377">
        <f t="shared" ca="1" si="266"/>
        <v>2436.2613505351419</v>
      </c>
      <c r="AF611" s="344"/>
      <c r="AG611" s="359">
        <f t="shared" ca="1" si="288"/>
        <v>-10.312708779580987</v>
      </c>
      <c r="AH611" s="357">
        <f t="shared" ca="1" si="289"/>
        <v>-1.7010873265391693</v>
      </c>
    </row>
    <row r="612" spans="1:34" x14ac:dyDescent="0.25">
      <c r="A612" s="402">
        <f t="shared" ca="1" si="267"/>
        <v>0.1</v>
      </c>
      <c r="B612" s="357">
        <f t="shared" ca="1" si="268"/>
        <v>15.799999999999899</v>
      </c>
      <c r="C612" s="342"/>
      <c r="D612" s="359">
        <f t="shared" ca="1" si="269"/>
        <v>-0.80283951537692799</v>
      </c>
      <c r="E612" s="360">
        <f t="shared" ca="1" si="270"/>
        <v>-11.262425500338676</v>
      </c>
      <c r="F612" s="357">
        <f t="shared" ca="1" si="271"/>
        <v>11.291004359140489</v>
      </c>
      <c r="G612" s="359">
        <f t="shared" ca="1" si="272"/>
        <v>41.265027822665623</v>
      </c>
      <c r="H612" s="360">
        <f t="shared" ca="1" si="273"/>
        <v>73.672000423983476</v>
      </c>
      <c r="I612" s="357">
        <f t="shared" ca="1" si="274"/>
        <v>84.4414955319764</v>
      </c>
      <c r="J612" s="359">
        <f t="shared" ca="1" si="275"/>
        <v>725.00532659580335</v>
      </c>
      <c r="K612" s="360">
        <f t="shared" ca="1" si="276"/>
        <v>2443.6848627050417</v>
      </c>
      <c r="L612" s="357">
        <f t="shared" ca="1" si="261"/>
        <v>2548.9661495998816</v>
      </c>
      <c r="M612" s="359">
        <f t="shared" ca="1" si="277"/>
        <v>1.0602180322827255</v>
      </c>
      <c r="N612" s="357">
        <f t="shared" ca="1" si="278"/>
        <v>60.746018613465033</v>
      </c>
      <c r="O612" s="343"/>
      <c r="P612" s="363">
        <f t="shared" ca="1" si="279"/>
        <v>23</v>
      </c>
      <c r="Q612" s="357">
        <f t="shared" ca="1" si="280"/>
        <v>0</v>
      </c>
      <c r="R612" s="359">
        <f t="shared" ca="1" si="281"/>
        <v>0</v>
      </c>
      <c r="S612" s="360">
        <f t="shared" ca="1" si="282"/>
        <v>9.637999999999975</v>
      </c>
      <c r="T612" s="357">
        <f t="shared" ca="1" si="262"/>
        <v>94.548779999999766</v>
      </c>
      <c r="U612" s="364">
        <f t="shared" ca="1" si="263"/>
        <v>0</v>
      </c>
      <c r="V612" s="359">
        <f t="shared" ca="1" si="264"/>
        <v>0.95824220375344538</v>
      </c>
      <c r="W612" s="357">
        <f t="shared" ca="1" si="265"/>
        <v>15.602251351647768</v>
      </c>
      <c r="X612" s="343"/>
      <c r="Y612" s="367" t="str">
        <f t="shared" ca="1" si="283"/>
        <v/>
      </c>
      <c r="Z612" s="368" t="str">
        <f t="shared" ca="1" si="284"/>
        <v/>
      </c>
      <c r="AA612" s="369" t="str">
        <f t="shared" ca="1" si="285"/>
        <v/>
      </c>
      <c r="AB612" s="344"/>
      <c r="AC612" s="363" t="e">
        <f t="shared" ca="1" si="286"/>
        <v>#N/A</v>
      </c>
      <c r="AD612" s="376" t="e">
        <f t="shared" ca="1" si="287"/>
        <v>#N/A</v>
      </c>
      <c r="AE612" s="377">
        <f t="shared" ca="1" si="266"/>
        <v>2443.6848627050417</v>
      </c>
      <c r="AF612" s="344"/>
      <c r="AG612" s="359">
        <f t="shared" ca="1" si="288"/>
        <v>-10.245206128816593</v>
      </c>
      <c r="AH612" s="357">
        <f t="shared" ca="1" si="289"/>
        <v>-1.6595454562875678</v>
      </c>
    </row>
    <row r="613" spans="1:34" x14ac:dyDescent="0.25">
      <c r="A613" s="402">
        <f t="shared" ca="1" si="267"/>
        <v>0.1</v>
      </c>
      <c r="B613" s="357">
        <f t="shared" ca="1" si="268"/>
        <v>15.899999999999899</v>
      </c>
      <c r="C613" s="342"/>
      <c r="D613" s="359">
        <f t="shared" ca="1" si="269"/>
        <v>-0.79109123725397157</v>
      </c>
      <c r="E613" s="360">
        <f t="shared" ca="1" si="270"/>
        <v>-11.22236482904713</v>
      </c>
      <c r="F613" s="357">
        <f t="shared" ca="1" si="271"/>
        <v>11.25021322917455</v>
      </c>
      <c r="G613" s="359">
        <f t="shared" ca="1" si="272"/>
        <v>41.185918698940228</v>
      </c>
      <c r="H613" s="360">
        <f t="shared" ca="1" si="273"/>
        <v>72.549763941078766</v>
      </c>
      <c r="I613" s="357">
        <f t="shared" ca="1" si="274"/>
        <v>83.425105016307697</v>
      </c>
      <c r="J613" s="359">
        <f t="shared" ca="1" si="275"/>
        <v>729.12787392188363</v>
      </c>
      <c r="K613" s="360">
        <f t="shared" ca="1" si="276"/>
        <v>2450.9959509232949</v>
      </c>
      <c r="L613" s="357">
        <f t="shared" ca="1" si="261"/>
        <v>2557.1485306826103</v>
      </c>
      <c r="M613" s="359">
        <f t="shared" ca="1" si="277"/>
        <v>1.0544715660190154</v>
      </c>
      <c r="N613" s="357">
        <f t="shared" ca="1" si="278"/>
        <v>60.416770349440135</v>
      </c>
      <c r="O613" s="343"/>
      <c r="P613" s="363">
        <f t="shared" ca="1" si="279"/>
        <v>23</v>
      </c>
      <c r="Q613" s="357">
        <f t="shared" ca="1" si="280"/>
        <v>0</v>
      </c>
      <c r="R613" s="359">
        <f t="shared" ca="1" si="281"/>
        <v>0</v>
      </c>
      <c r="S613" s="360">
        <f t="shared" ca="1" si="282"/>
        <v>9.637999999999975</v>
      </c>
      <c r="T613" s="357">
        <f t="shared" ca="1" si="262"/>
        <v>94.548779999999766</v>
      </c>
      <c r="U613" s="364">
        <f t="shared" ca="1" si="263"/>
        <v>0</v>
      </c>
      <c r="V613" s="359">
        <f t="shared" ca="1" si="264"/>
        <v>0.95753123857451328</v>
      </c>
      <c r="W613" s="357">
        <f t="shared" ca="1" si="265"/>
        <v>15.217615898743491</v>
      </c>
      <c r="X613" s="343"/>
      <c r="Y613" s="367" t="str">
        <f t="shared" ca="1" si="283"/>
        <v/>
      </c>
      <c r="Z613" s="368" t="str">
        <f t="shared" ca="1" si="284"/>
        <v/>
      </c>
      <c r="AA613" s="369" t="str">
        <f t="shared" ca="1" si="285"/>
        <v/>
      </c>
      <c r="AB613" s="344"/>
      <c r="AC613" s="363" t="e">
        <f t="shared" ca="1" si="286"/>
        <v>#N/A</v>
      </c>
      <c r="AD613" s="376" t="e">
        <f t="shared" ca="1" si="287"/>
        <v>#N/A</v>
      </c>
      <c r="AE613" s="377">
        <f t="shared" ca="1" si="266"/>
        <v>2450.9959509232949</v>
      </c>
      <c r="AF613" s="344"/>
      <c r="AG613" s="359">
        <f t="shared" ca="1" si="288"/>
        <v>-10.177679385531063</v>
      </c>
      <c r="AH613" s="357">
        <f t="shared" ca="1" si="289"/>
        <v>-1.6188266602664254</v>
      </c>
    </row>
    <row r="614" spans="1:34" x14ac:dyDescent="0.25">
      <c r="A614" s="402">
        <f t="shared" ca="1" si="267"/>
        <v>0.1</v>
      </c>
      <c r="B614" s="357">
        <f t="shared" ca="1" si="268"/>
        <v>15.999999999999899</v>
      </c>
      <c r="C614" s="342"/>
      <c r="D614" s="359">
        <f t="shared" ca="1" si="269"/>
        <v>-0.7794920531221502</v>
      </c>
      <c r="E614" s="360">
        <f t="shared" ca="1" si="270"/>
        <v>-11.183089789773561</v>
      </c>
      <c r="F614" s="357">
        <f t="shared" ca="1" si="271"/>
        <v>11.210223240730681</v>
      </c>
      <c r="G614" s="359">
        <f t="shared" ca="1" si="272"/>
        <v>41.107969493628012</v>
      </c>
      <c r="H614" s="360">
        <f t="shared" ca="1" si="273"/>
        <v>71.431454962101412</v>
      </c>
      <c r="I614" s="357">
        <f t="shared" ca="1" si="274"/>
        <v>82.415519860592852</v>
      </c>
      <c r="J614" s="359">
        <f t="shared" ca="1" si="275"/>
        <v>733.24256833151208</v>
      </c>
      <c r="K614" s="360">
        <f t="shared" ca="1" si="276"/>
        <v>2458.195011868454</v>
      </c>
      <c r="L614" s="357">
        <f t="shared" ca="1" si="261"/>
        <v>2565.2226765698802</v>
      </c>
      <c r="M614" s="359">
        <f t="shared" ca="1" si="277"/>
        <v>1.048595123392509</v>
      </c>
      <c r="N614" s="357">
        <f t="shared" ca="1" si="278"/>
        <v>60.08007498839055</v>
      </c>
      <c r="O614" s="343"/>
      <c r="P614" s="363">
        <f t="shared" ca="1" si="279"/>
        <v>23</v>
      </c>
      <c r="Q614" s="357">
        <f t="shared" ca="1" si="280"/>
        <v>0</v>
      </c>
      <c r="R614" s="359">
        <f t="shared" ca="1" si="281"/>
        <v>0</v>
      </c>
      <c r="S614" s="360">
        <f t="shared" ca="1" si="282"/>
        <v>9.637999999999975</v>
      </c>
      <c r="T614" s="357">
        <f t="shared" ca="1" si="262"/>
        <v>94.548779999999766</v>
      </c>
      <c r="U614" s="364">
        <f t="shared" ca="1" si="263"/>
        <v>0</v>
      </c>
      <c r="V614" s="359">
        <f t="shared" ca="1" si="264"/>
        <v>0.95683161977643483</v>
      </c>
      <c r="W614" s="357">
        <f t="shared" ca="1" si="265"/>
        <v>14.840675402865623</v>
      </c>
      <c r="X614" s="343"/>
      <c r="Y614" s="367" t="str">
        <f t="shared" ca="1" si="283"/>
        <v/>
      </c>
      <c r="Z614" s="368" t="str">
        <f t="shared" ca="1" si="284"/>
        <v/>
      </c>
      <c r="AA614" s="369" t="str">
        <f t="shared" ca="1" si="285"/>
        <v/>
      </c>
      <c r="AB614" s="344"/>
      <c r="AC614" s="363">
        <f t="shared" ca="1" si="286"/>
        <v>15.999999999999899</v>
      </c>
      <c r="AD614" s="376">
        <f t="shared" ca="1" si="287"/>
        <v>733.24256833151208</v>
      </c>
      <c r="AE614" s="377">
        <f t="shared" ca="1" si="266"/>
        <v>2458.195011868454</v>
      </c>
      <c r="AF614" s="344"/>
      <c r="AG614" s="359">
        <f t="shared" ca="1" si="288"/>
        <v>-10.110081618014709</v>
      </c>
      <c r="AH614" s="357">
        <f t="shared" ca="1" si="289"/>
        <v>-1.5789184373047862</v>
      </c>
    </row>
    <row r="615" spans="1:34" x14ac:dyDescent="0.25">
      <c r="A615" s="402">
        <f t="shared" ca="1" si="267"/>
        <v>0.1</v>
      </c>
      <c r="B615" s="357">
        <f t="shared" ca="1" si="268"/>
        <v>16.099999999999898</v>
      </c>
      <c r="C615" s="342"/>
      <c r="D615" s="359">
        <f t="shared" ca="1" si="269"/>
        <v>-0.7680398735206575</v>
      </c>
      <c r="E615" s="360">
        <f t="shared" ca="1" si="270"/>
        <v>-11.144588069181887</v>
      </c>
      <c r="F615" s="357">
        <f t="shared" ca="1" si="271"/>
        <v>11.17102181893263</v>
      </c>
      <c r="G615" s="359">
        <f t="shared" ca="1" si="272"/>
        <v>41.031165506275947</v>
      </c>
      <c r="H615" s="360">
        <f t="shared" ca="1" si="273"/>
        <v>70.316996155183219</v>
      </c>
      <c r="I615" s="357">
        <f t="shared" ca="1" si="274"/>
        <v>81.412753860138281</v>
      </c>
      <c r="J615" s="359">
        <f t="shared" ca="1" si="275"/>
        <v>737.34952508150729</v>
      </c>
      <c r="K615" s="360">
        <f t="shared" ca="1" si="276"/>
        <v>2465.2824344243181</v>
      </c>
      <c r="L615" s="357">
        <f t="shared" ca="1" si="261"/>
        <v>2573.1890337903696</v>
      </c>
      <c r="M615" s="359">
        <f t="shared" ca="1" si="277"/>
        <v>1.0425848227032604</v>
      </c>
      <c r="N615" s="357">
        <f t="shared" ca="1" si="278"/>
        <v>59.73571012529203</v>
      </c>
      <c r="O615" s="343"/>
      <c r="P615" s="363">
        <f t="shared" ca="1" si="279"/>
        <v>23</v>
      </c>
      <c r="Q615" s="357">
        <f t="shared" ca="1" si="280"/>
        <v>0</v>
      </c>
      <c r="R615" s="359">
        <f t="shared" ca="1" si="281"/>
        <v>0</v>
      </c>
      <c r="S615" s="360">
        <f t="shared" ca="1" si="282"/>
        <v>9.637999999999975</v>
      </c>
      <c r="T615" s="357">
        <f t="shared" ca="1" si="262"/>
        <v>94.548779999999766</v>
      </c>
      <c r="U615" s="364">
        <f t="shared" ca="1" si="263"/>
        <v>0</v>
      </c>
      <c r="V615" s="359">
        <f t="shared" ca="1" si="264"/>
        <v>0.95614328822840111</v>
      </c>
      <c r="W615" s="357">
        <f t="shared" ca="1" si="265"/>
        <v>14.471315575728154</v>
      </c>
      <c r="X615" s="343"/>
      <c r="Y615" s="367" t="str">
        <f t="shared" ca="1" si="283"/>
        <v/>
      </c>
      <c r="Z615" s="368" t="str">
        <f t="shared" ca="1" si="284"/>
        <v/>
      </c>
      <c r="AA615" s="369" t="str">
        <f t="shared" ca="1" si="285"/>
        <v/>
      </c>
      <c r="AB615" s="344"/>
      <c r="AC615" s="363" t="e">
        <f t="shared" ca="1" si="286"/>
        <v>#N/A</v>
      </c>
      <c r="AD615" s="376" t="e">
        <f t="shared" ca="1" si="287"/>
        <v>#N/A</v>
      </c>
      <c r="AE615" s="377">
        <f t="shared" ca="1" si="266"/>
        <v>2465.2824344243181</v>
      </c>
      <c r="AF615" s="344"/>
      <c r="AG615" s="359">
        <f t="shared" ca="1" si="288"/>
        <v>-10.042364615614794</v>
      </c>
      <c r="AH615" s="357">
        <f t="shared" ca="1" si="289"/>
        <v>-1.5398086120425047</v>
      </c>
    </row>
    <row r="616" spans="1:34" x14ac:dyDescent="0.25">
      <c r="A616" s="402">
        <f t="shared" ca="1" si="267"/>
        <v>0.1</v>
      </c>
      <c r="B616" s="357">
        <f t="shared" ca="1" si="268"/>
        <v>16.1999999999999</v>
      </c>
      <c r="C616" s="342"/>
      <c r="D616" s="359">
        <f t="shared" ca="1" si="269"/>
        <v>-0.75673269863971793</v>
      </c>
      <c r="E616" s="360">
        <f t="shared" ca="1" si="270"/>
        <v>-11.106847642619645</v>
      </c>
      <c r="F616" s="357">
        <f t="shared" ca="1" si="271"/>
        <v>11.132596684222245</v>
      </c>
      <c r="G616" s="359">
        <f t="shared" ca="1" si="272"/>
        <v>40.955492236411978</v>
      </c>
      <c r="H616" s="360">
        <f t="shared" ca="1" si="273"/>
        <v>69.206311390921257</v>
      </c>
      <c r="I616" s="357">
        <f t="shared" ca="1" si="274"/>
        <v>80.416825855438731</v>
      </c>
      <c r="J616" s="359">
        <f t="shared" ca="1" si="275"/>
        <v>741.44885796864173</v>
      </c>
      <c r="K616" s="360">
        <f t="shared" ca="1" si="276"/>
        <v>2472.2585998016234</v>
      </c>
      <c r="L616" s="357">
        <f t="shared" ca="1" si="261"/>
        <v>2581.0480416443406</v>
      </c>
      <c r="M616" s="359">
        <f t="shared" ca="1" si="277"/>
        <v>1.0364366476488132</v>
      </c>
      <c r="N616" s="357">
        <f t="shared" ca="1" si="278"/>
        <v>59.383445642964588</v>
      </c>
      <c r="O616" s="343"/>
      <c r="P616" s="363">
        <f t="shared" ca="1" si="279"/>
        <v>23</v>
      </c>
      <c r="Q616" s="357">
        <f t="shared" ca="1" si="280"/>
        <v>0</v>
      </c>
      <c r="R616" s="359">
        <f t="shared" ca="1" si="281"/>
        <v>0</v>
      </c>
      <c r="S616" s="360">
        <f t="shared" ca="1" si="282"/>
        <v>9.637999999999975</v>
      </c>
      <c r="T616" s="357">
        <f t="shared" ca="1" si="262"/>
        <v>94.548779999999766</v>
      </c>
      <c r="U616" s="364">
        <f t="shared" ca="1" si="263"/>
        <v>0</v>
      </c>
      <c r="V616" s="359">
        <f t="shared" ca="1" si="264"/>
        <v>0.95546618600377609</v>
      </c>
      <c r="W616" s="357">
        <f t="shared" ca="1" si="265"/>
        <v>14.109425107288409</v>
      </c>
      <c r="X616" s="343"/>
      <c r="Y616" s="367" t="str">
        <f t="shared" ca="1" si="283"/>
        <v/>
      </c>
      <c r="Z616" s="368" t="str">
        <f t="shared" ca="1" si="284"/>
        <v/>
      </c>
      <c r="AA616" s="369" t="str">
        <f t="shared" ca="1" si="285"/>
        <v/>
      </c>
      <c r="AB616" s="344"/>
      <c r="AC616" s="363" t="e">
        <f t="shared" ca="1" si="286"/>
        <v>#N/A</v>
      </c>
      <c r="AD616" s="376" t="e">
        <f t="shared" ca="1" si="287"/>
        <v>#N/A</v>
      </c>
      <c r="AE616" s="377">
        <f t="shared" ca="1" si="266"/>
        <v>2472.2585998016234</v>
      </c>
      <c r="AF616" s="344"/>
      <c r="AG616" s="359">
        <f t="shared" ca="1" si="288"/>
        <v>-9.9744788019237891</v>
      </c>
      <c r="AH616" s="357">
        <f t="shared" ca="1" si="289"/>
        <v>-1.5014853263880672</v>
      </c>
    </row>
    <row r="617" spans="1:34" x14ac:dyDescent="0.25">
      <c r="A617" s="402">
        <f t="shared" ca="1" si="267"/>
        <v>0.1</v>
      </c>
      <c r="B617" s="357">
        <f t="shared" ca="1" si="268"/>
        <v>16.299999999999901</v>
      </c>
      <c r="C617" s="342"/>
      <c r="D617" s="359">
        <f t="shared" ca="1" si="269"/>
        <v>-0.74556861801738694</v>
      </c>
      <c r="E617" s="360">
        <f t="shared" ca="1" si="270"/>
        <v>-11.069856764605952</v>
      </c>
      <c r="F617" s="357">
        <f t="shared" ca="1" si="271"/>
        <v>11.094935842674554</v>
      </c>
      <c r="G617" s="359">
        <f t="shared" ca="1" si="272"/>
        <v>40.880935374610239</v>
      </c>
      <c r="H617" s="360">
        <f t="shared" ca="1" si="273"/>
        <v>68.099325714460662</v>
      </c>
      <c r="I617" s="357">
        <f t="shared" ca="1" si="274"/>
        <v>79.427759881966097</v>
      </c>
      <c r="J617" s="359">
        <f t="shared" ca="1" si="275"/>
        <v>745.54067934919283</v>
      </c>
      <c r="K617" s="360">
        <f t="shared" ca="1" si="276"/>
        <v>2479.1238816568925</v>
      </c>
      <c r="L617" s="357">
        <f t="shared" ca="1" si="261"/>
        <v>2588.8001323327367</v>
      </c>
      <c r="M617" s="359">
        <f t="shared" ca="1" si="277"/>
        <v>1.0301464429296798</v>
      </c>
      <c r="N617" s="357">
        <f t="shared" ca="1" si="278"/>
        <v>59.023043460284981</v>
      </c>
      <c r="O617" s="343"/>
      <c r="P617" s="363">
        <f t="shared" ca="1" si="279"/>
        <v>23</v>
      </c>
      <c r="Q617" s="357">
        <f t="shared" ca="1" si="280"/>
        <v>0</v>
      </c>
      <c r="R617" s="359">
        <f t="shared" ca="1" si="281"/>
        <v>0</v>
      </c>
      <c r="S617" s="360">
        <f t="shared" ca="1" si="282"/>
        <v>9.637999999999975</v>
      </c>
      <c r="T617" s="357">
        <f t="shared" ca="1" si="262"/>
        <v>94.548779999999766</v>
      </c>
      <c r="U617" s="364">
        <f t="shared" ca="1" si="263"/>
        <v>0</v>
      </c>
      <c r="V617" s="359">
        <f t="shared" ca="1" si="264"/>
        <v>0.95480025636071675</v>
      </c>
      <c r="W617" s="357">
        <f t="shared" ca="1" si="265"/>
        <v>13.754895588790241</v>
      </c>
      <c r="X617" s="343"/>
      <c r="Y617" s="367" t="str">
        <f t="shared" ca="1" si="283"/>
        <v/>
      </c>
      <c r="Z617" s="368" t="str">
        <f t="shared" ca="1" si="284"/>
        <v/>
      </c>
      <c r="AA617" s="369" t="str">
        <f t="shared" ca="1" si="285"/>
        <v/>
      </c>
      <c r="AB617" s="344"/>
      <c r="AC617" s="363" t="e">
        <f t="shared" ca="1" si="286"/>
        <v>#N/A</v>
      </c>
      <c r="AD617" s="376" t="e">
        <f t="shared" ca="1" si="287"/>
        <v>#N/A</v>
      </c>
      <c r="AE617" s="377">
        <f t="shared" ca="1" si="266"/>
        <v>2479.1238816568925</v>
      </c>
      <c r="AF617" s="344"/>
      <c r="AG617" s="359">
        <f t="shared" ca="1" si="288"/>
        <v>-9.9063731448840961</v>
      </c>
      <c r="AH617" s="357">
        <f t="shared" ca="1" si="289"/>
        <v>-1.4639370312604738</v>
      </c>
    </row>
    <row r="618" spans="1:34" x14ac:dyDescent="0.25">
      <c r="A618" s="402">
        <f t="shared" ca="1" si="267"/>
        <v>0.1</v>
      </c>
      <c r="B618" s="357">
        <f t="shared" ca="1" si="268"/>
        <v>16.399999999999903</v>
      </c>
      <c r="C618" s="342"/>
      <c r="D618" s="359">
        <f t="shared" ca="1" si="269"/>
        <v>-0.73454581035959132</v>
      </c>
      <c r="E618" s="360">
        <f t="shared" ca="1" si="270"/>
        <v>-11.033603959486145</v>
      </c>
      <c r="F618" s="357">
        <f t="shared" ca="1" si="271"/>
        <v>11.058027576485111</v>
      </c>
      <c r="G618" s="359">
        <f t="shared" ca="1" si="272"/>
        <v>40.807480793574278</v>
      </c>
      <c r="H618" s="360">
        <f t="shared" ca="1" si="273"/>
        <v>66.995965318512049</v>
      </c>
      <c r="I618" s="357">
        <f t="shared" ca="1" si="274"/>
        <v>78.445585329432035</v>
      </c>
      <c r="J618" s="359">
        <f t="shared" ca="1" si="275"/>
        <v>749.62510015760211</v>
      </c>
      <c r="K618" s="360">
        <f t="shared" ca="1" si="276"/>
        <v>2485.8786462085413</v>
      </c>
      <c r="L618" s="357">
        <f t="shared" ca="1" si="261"/>
        <v>2596.4457310835337</v>
      </c>
      <c r="M618" s="359">
        <f t="shared" ca="1" si="277"/>
        <v>1.0237099098127691</v>
      </c>
      <c r="N618" s="357">
        <f t="shared" ca="1" si="278"/>
        <v>58.654257277989807</v>
      </c>
      <c r="O618" s="343"/>
      <c r="P618" s="363">
        <f t="shared" ca="1" si="279"/>
        <v>23</v>
      </c>
      <c r="Q618" s="357">
        <f t="shared" ca="1" si="280"/>
        <v>0</v>
      </c>
      <c r="R618" s="359">
        <f t="shared" ca="1" si="281"/>
        <v>0</v>
      </c>
      <c r="S618" s="360">
        <f t="shared" ca="1" si="282"/>
        <v>9.637999999999975</v>
      </c>
      <c r="T618" s="357">
        <f t="shared" ca="1" si="262"/>
        <v>94.548779999999766</v>
      </c>
      <c r="U618" s="364">
        <f t="shared" ca="1" si="263"/>
        <v>0</v>
      </c>
      <c r="V618" s="359">
        <f t="shared" ca="1" si="264"/>
        <v>0.9541454437232828</v>
      </c>
      <c r="W618" s="357">
        <f t="shared" ca="1" si="265"/>
        <v>13.407621438343483</v>
      </c>
      <c r="X618" s="343"/>
      <c r="Y618" s="367" t="str">
        <f t="shared" ca="1" si="283"/>
        <v/>
      </c>
      <c r="Z618" s="368" t="str">
        <f t="shared" ca="1" si="284"/>
        <v/>
      </c>
      <c r="AA618" s="369" t="str">
        <f t="shared" ca="1" si="285"/>
        <v/>
      </c>
      <c r="AB618" s="344"/>
      <c r="AC618" s="363" t="e">
        <f t="shared" ca="1" si="286"/>
        <v>#N/A</v>
      </c>
      <c r="AD618" s="376" t="e">
        <f t="shared" ca="1" si="287"/>
        <v>#N/A</v>
      </c>
      <c r="AE618" s="377">
        <f t="shared" ca="1" si="266"/>
        <v>2485.8786462085413</v>
      </c>
      <c r="AF618" s="344"/>
      <c r="AG618" s="359">
        <f t="shared" ca="1" si="288"/>
        <v>-9.8379950637614364</v>
      </c>
      <c r="AH618" s="357">
        <f t="shared" ca="1" si="289"/>
        <v>-1.4271524786045109</v>
      </c>
    </row>
    <row r="619" spans="1:34" x14ac:dyDescent="0.25">
      <c r="A619" s="402">
        <f t="shared" ca="1" si="267"/>
        <v>0.1</v>
      </c>
      <c r="B619" s="357">
        <f t="shared" ca="1" si="268"/>
        <v>16.499999999999904</v>
      </c>
      <c r="C619" s="342"/>
      <c r="D619" s="359">
        <f t="shared" ca="1" si="269"/>
        <v>-0.72366254348413106</v>
      </c>
      <c r="E619" s="360">
        <f t="shared" ca="1" si="270"/>
        <v>-10.998078012235524</v>
      </c>
      <c r="F619" s="357">
        <f t="shared" ca="1" si="271"/>
        <v>11.021860434611773</v>
      </c>
      <c r="G619" s="359">
        <f t="shared" ca="1" si="272"/>
        <v>40.735114539225869</v>
      </c>
      <c r="H619" s="360">
        <f t="shared" ca="1" si="273"/>
        <v>65.896157517288501</v>
      </c>
      <c r="I619" s="357">
        <f t="shared" ca="1" si="274"/>
        <v>77.470337110839708</v>
      </c>
      <c r="J619" s="359">
        <f t="shared" ca="1" si="275"/>
        <v>753.70222992424215</v>
      </c>
      <c r="K619" s="360">
        <f t="shared" ca="1" si="276"/>
        <v>2492.5232523503314</v>
      </c>
      <c r="L619" s="357">
        <f t="shared" ca="1" si="261"/>
        <v>2603.9852562754363</v>
      </c>
      <c r="M619" s="359">
        <f t="shared" ca="1" si="277"/>
        <v>1.0171226016699055</v>
      </c>
      <c r="N619" s="357">
        <f t="shared" ca="1" si="278"/>
        <v>58.276832323051565</v>
      </c>
      <c r="O619" s="343"/>
      <c r="P619" s="363">
        <f t="shared" ca="1" si="279"/>
        <v>23</v>
      </c>
      <c r="Q619" s="357">
        <f t="shared" ca="1" si="280"/>
        <v>0</v>
      </c>
      <c r="R619" s="359">
        <f t="shared" ca="1" si="281"/>
        <v>0</v>
      </c>
      <c r="S619" s="360">
        <f t="shared" ca="1" si="282"/>
        <v>9.637999999999975</v>
      </c>
      <c r="T619" s="357">
        <f t="shared" ca="1" si="262"/>
        <v>94.548779999999766</v>
      </c>
      <c r="U619" s="364">
        <f t="shared" ca="1" si="263"/>
        <v>0</v>
      </c>
      <c r="V619" s="359">
        <f t="shared" ca="1" si="264"/>
        <v>0.9535016936630174</v>
      </c>
      <c r="W619" s="357">
        <f t="shared" ca="1" si="265"/>
        <v>13.067499828944705</v>
      </c>
      <c r="X619" s="343"/>
      <c r="Y619" s="367" t="str">
        <f t="shared" ca="1" si="283"/>
        <v/>
      </c>
      <c r="Z619" s="368" t="str">
        <f t="shared" ca="1" si="284"/>
        <v/>
      </c>
      <c r="AA619" s="369" t="str">
        <f t="shared" ca="1" si="285"/>
        <v/>
      </c>
      <c r="AB619" s="344"/>
      <c r="AC619" s="363" t="e">
        <f t="shared" ca="1" si="286"/>
        <v>#N/A</v>
      </c>
      <c r="AD619" s="376" t="e">
        <f t="shared" ca="1" si="287"/>
        <v>#N/A</v>
      </c>
      <c r="AE619" s="377">
        <f t="shared" ca="1" si="266"/>
        <v>2492.5232523503314</v>
      </c>
      <c r="AF619" s="344"/>
      <c r="AG619" s="359">
        <f t="shared" ca="1" si="288"/>
        <v>-9.7692903329608907</v>
      </c>
      <c r="AH619" s="357">
        <f t="shared" ca="1" si="289"/>
        <v>-1.3911207136691759</v>
      </c>
    </row>
    <row r="620" spans="1:34" x14ac:dyDescent="0.25">
      <c r="A620" s="402">
        <f t="shared" ca="1" si="267"/>
        <v>0.1</v>
      </c>
      <c r="B620" s="357">
        <f t="shared" ca="1" si="268"/>
        <v>16.599999999999905</v>
      </c>
      <c r="C620" s="342"/>
      <c r="D620" s="359">
        <f t="shared" ca="1" si="269"/>
        <v>-0.71291717438945457</v>
      </c>
      <c r="E620" s="360">
        <f t="shared" ca="1" si="270"/>
        <v>-10.96326795939434</v>
      </c>
      <c r="F620" s="357">
        <f t="shared" ca="1" si="271"/>
        <v>10.986423223552876</v>
      </c>
      <c r="G620" s="359">
        <f t="shared" ca="1" si="272"/>
        <v>40.663822821786923</v>
      </c>
      <c r="H620" s="360">
        <f t="shared" ca="1" si="273"/>
        <v>64.799830721349068</v>
      </c>
      <c r="I620" s="357">
        <f t="shared" ca="1" si="274"/>
        <v>76.502055841638494</v>
      </c>
      <c r="J620" s="359">
        <f t="shared" ca="1" si="275"/>
        <v>757.77217679229284</v>
      </c>
      <c r="K620" s="360">
        <f t="shared" ca="1" si="276"/>
        <v>2499.0580517622634</v>
      </c>
      <c r="L620" s="357">
        <f t="shared" ca="1" si="261"/>
        <v>2611.4191195590051</v>
      </c>
      <c r="M620" s="359">
        <f t="shared" ca="1" si="277"/>
        <v>1.0103799195116825</v>
      </c>
      <c r="N620" s="357">
        <f t="shared" ca="1" si="278"/>
        <v>57.890505092787222</v>
      </c>
      <c r="O620" s="343"/>
      <c r="P620" s="363">
        <f t="shared" ca="1" si="279"/>
        <v>23</v>
      </c>
      <c r="Q620" s="357">
        <f t="shared" ca="1" si="280"/>
        <v>0</v>
      </c>
      <c r="R620" s="359">
        <f t="shared" ca="1" si="281"/>
        <v>0</v>
      </c>
      <c r="S620" s="360">
        <f t="shared" ca="1" si="282"/>
        <v>9.637999999999975</v>
      </c>
      <c r="T620" s="357">
        <f t="shared" ca="1" si="262"/>
        <v>94.548779999999766</v>
      </c>
      <c r="U620" s="364">
        <f t="shared" ca="1" si="263"/>
        <v>0</v>
      </c>
      <c r="V620" s="359">
        <f t="shared" ca="1" si="264"/>
        <v>0.95286895288098628</v>
      </c>
      <c r="W620" s="357">
        <f t="shared" ca="1" si="265"/>
        <v>12.734430618848045</v>
      </c>
      <c r="X620" s="343"/>
      <c r="Y620" s="367" t="str">
        <f t="shared" ca="1" si="283"/>
        <v/>
      </c>
      <c r="Z620" s="368" t="str">
        <f t="shared" ca="1" si="284"/>
        <v/>
      </c>
      <c r="AA620" s="369" t="str">
        <f t="shared" ca="1" si="285"/>
        <v/>
      </c>
      <c r="AB620" s="344"/>
      <c r="AC620" s="363" t="e">
        <f t="shared" ca="1" si="286"/>
        <v>#N/A</v>
      </c>
      <c r="AD620" s="376" t="e">
        <f t="shared" ca="1" si="287"/>
        <v>#N/A</v>
      </c>
      <c r="AE620" s="377">
        <f t="shared" ca="1" si="266"/>
        <v>2499.0580517622634</v>
      </c>
      <c r="AF620" s="344"/>
      <c r="AG620" s="359">
        <f t="shared" ca="1" si="288"/>
        <v>-9.7002029826856138</v>
      </c>
      <c r="AH620" s="357">
        <f t="shared" ca="1" si="289"/>
        <v>-1.3558310675394001</v>
      </c>
    </row>
    <row r="621" spans="1:34" x14ac:dyDescent="0.25">
      <c r="A621" s="402">
        <f t="shared" ca="1" si="267"/>
        <v>0.1</v>
      </c>
      <c r="B621" s="357">
        <f t="shared" ca="1" si="268"/>
        <v>16.699999999999907</v>
      </c>
      <c r="C621" s="342"/>
      <c r="D621" s="359">
        <f t="shared" ca="1" si="269"/>
        <v>-0.70230814944906217</v>
      </c>
      <c r="E621" s="360">
        <f t="shared" ca="1" si="270"/>
        <v>-10.92916308011602</v>
      </c>
      <c r="F621" s="357">
        <f t="shared" ca="1" si="271"/>
        <v>10.95170499824359</v>
      </c>
      <c r="G621" s="359">
        <f t="shared" ca="1" si="272"/>
        <v>40.593592006842016</v>
      </c>
      <c r="H621" s="360">
        <f t="shared" ca="1" si="273"/>
        <v>63.706914413337465</v>
      </c>
      <c r="I621" s="357">
        <f t="shared" ca="1" si="274"/>
        <v>75.540788029290852</v>
      </c>
      <c r="J621" s="359">
        <f t="shared" ca="1" si="275"/>
        <v>761.83504753372426</v>
      </c>
      <c r="K621" s="360">
        <f t="shared" ca="1" si="276"/>
        <v>2505.4833890189975</v>
      </c>
      <c r="L621" s="357">
        <f t="shared" ca="1" si="261"/>
        <v>2618.7477259753055</v>
      </c>
      <c r="M621" s="359">
        <f t="shared" ca="1" si="277"/>
        <v>1.0034771075403655</v>
      </c>
      <c r="N621" s="357">
        <f t="shared" ca="1" si="278"/>
        <v>57.495003100058376</v>
      </c>
      <c r="O621" s="343"/>
      <c r="P621" s="363">
        <f t="shared" ca="1" si="279"/>
        <v>23</v>
      </c>
      <c r="Q621" s="357">
        <f t="shared" ca="1" si="280"/>
        <v>0</v>
      </c>
      <c r="R621" s="359">
        <f t="shared" ca="1" si="281"/>
        <v>0</v>
      </c>
      <c r="S621" s="360">
        <f t="shared" ca="1" si="282"/>
        <v>9.637999999999975</v>
      </c>
      <c r="T621" s="357">
        <f t="shared" ca="1" si="262"/>
        <v>94.548779999999766</v>
      </c>
      <c r="U621" s="364">
        <f t="shared" ca="1" si="263"/>
        <v>0</v>
      </c>
      <c r="V621" s="359">
        <f t="shared" ca="1" si="264"/>
        <v>0.95224716919025854</v>
      </c>
      <c r="W621" s="357">
        <f t="shared" ca="1" si="265"/>
        <v>12.408316284198415</v>
      </c>
      <c r="X621" s="343"/>
      <c r="Y621" s="367" t="str">
        <f t="shared" ca="1" si="283"/>
        <v/>
      </c>
      <c r="Z621" s="368" t="str">
        <f t="shared" ca="1" si="284"/>
        <v/>
      </c>
      <c r="AA621" s="369" t="str">
        <f t="shared" ca="1" si="285"/>
        <v/>
      </c>
      <c r="AB621" s="344"/>
      <c r="AC621" s="363" t="e">
        <f t="shared" ca="1" si="286"/>
        <v>#N/A</v>
      </c>
      <c r="AD621" s="376" t="e">
        <f t="shared" ca="1" si="287"/>
        <v>#N/A</v>
      </c>
      <c r="AE621" s="377">
        <f t="shared" ca="1" si="266"/>
        <v>2505.4833890189975</v>
      </c>
      <c r="AF621" s="344"/>
      <c r="AG621" s="359">
        <f t="shared" ca="1" si="288"/>
        <v>-9.6306751964699906</v>
      </c>
      <c r="AH621" s="357">
        <f t="shared" ca="1" si="289"/>
        <v>-1.3212731499116079</v>
      </c>
    </row>
    <row r="622" spans="1:34" x14ac:dyDescent="0.25">
      <c r="A622" s="402">
        <f t="shared" ca="1" si="267"/>
        <v>0.1</v>
      </c>
      <c r="B622" s="357">
        <f t="shared" ca="1" si="268"/>
        <v>16.799999999999908</v>
      </c>
      <c r="C622" s="342"/>
      <c r="D622" s="359">
        <f t="shared" ca="1" si="269"/>
        <v>-0.6918340047324214</v>
      </c>
      <c r="E622" s="360">
        <f t="shared" ca="1" si="270"/>
        <v>-10.895752887310296</v>
      </c>
      <c r="F622" s="357">
        <f t="shared" ca="1" si="271"/>
        <v>10.917695053051938</v>
      </c>
      <c r="G622" s="359">
        <f t="shared" ca="1" si="272"/>
        <v>40.524408606368773</v>
      </c>
      <c r="H622" s="360">
        <f t="shared" ca="1" si="273"/>
        <v>62.617339124606438</v>
      </c>
      <c r="I622" s="357">
        <f t="shared" ca="1" si="274"/>
        <v>74.586586273551248</v>
      </c>
      <c r="J622" s="359">
        <f t="shared" ca="1" si="275"/>
        <v>765.89094756438476</v>
      </c>
      <c r="K622" s="360">
        <f t="shared" ca="1" si="276"/>
        <v>2511.7996016958946</v>
      </c>
      <c r="L622" s="357">
        <f t="shared" ca="1" si="261"/>
        <v>2625.9714740721624</v>
      </c>
      <c r="M622" s="359">
        <f t="shared" ca="1" si="277"/>
        <v>0.9964092487494921</v>
      </c>
      <c r="N622" s="357">
        <f t="shared" ca="1" si="278"/>
        <v>57.090044621146895</v>
      </c>
      <c r="O622" s="343"/>
      <c r="P622" s="363">
        <f t="shared" ca="1" si="279"/>
        <v>23</v>
      </c>
      <c r="Q622" s="357">
        <f t="shared" ca="1" si="280"/>
        <v>0</v>
      </c>
      <c r="R622" s="359">
        <f t="shared" ca="1" si="281"/>
        <v>0</v>
      </c>
      <c r="S622" s="360">
        <f t="shared" ca="1" si="282"/>
        <v>9.637999999999975</v>
      </c>
      <c r="T622" s="357">
        <f t="shared" ca="1" si="262"/>
        <v>94.548779999999766</v>
      </c>
      <c r="U622" s="364">
        <f t="shared" ca="1" si="263"/>
        <v>0</v>
      </c>
      <c r="V622" s="359">
        <f t="shared" ca="1" si="264"/>
        <v>0.95163629149882178</v>
      </c>
      <c r="W622" s="357">
        <f t="shared" ca="1" si="265"/>
        <v>12.089061853842749</v>
      </c>
      <c r="X622" s="343"/>
      <c r="Y622" s="367" t="str">
        <f t="shared" ca="1" si="283"/>
        <v/>
      </c>
      <c r="Z622" s="368" t="str">
        <f t="shared" ca="1" si="284"/>
        <v/>
      </c>
      <c r="AA622" s="369" t="str">
        <f t="shared" ca="1" si="285"/>
        <v/>
      </c>
      <c r="AB622" s="344"/>
      <c r="AC622" s="363" t="e">
        <f t="shared" ca="1" si="286"/>
        <v>#N/A</v>
      </c>
      <c r="AD622" s="376" t="e">
        <f t="shared" ca="1" si="287"/>
        <v>#N/A</v>
      </c>
      <c r="AE622" s="377">
        <f t="shared" ca="1" si="266"/>
        <v>2511.7996016958946</v>
      </c>
      <c r="AF622" s="344"/>
      <c r="AG622" s="359">
        <f t="shared" ca="1" si="288"/>
        <v>-9.5606472056563625</v>
      </c>
      <c r="AH622" s="357">
        <f t="shared" ca="1" si="289"/>
        <v>-1.2874368421040099</v>
      </c>
    </row>
    <row r="623" spans="1:34" x14ac:dyDescent="0.25">
      <c r="A623" s="402">
        <f t="shared" ca="1" si="267"/>
        <v>0.1</v>
      </c>
      <c r="B623" s="357">
        <f t="shared" ca="1" si="268"/>
        <v>16.89999999999991</v>
      </c>
      <c r="C623" s="342"/>
      <c r="D623" s="359">
        <f t="shared" ca="1" si="269"/>
        <v>-0.68149336645325964</v>
      </c>
      <c r="E623" s="360">
        <f t="shared" ca="1" si="270"/>
        <v>-10.863027118862556</v>
      </c>
      <c r="F623" s="357">
        <f t="shared" ca="1" si="271"/>
        <v>10.884382912855607</v>
      </c>
      <c r="G623" s="359">
        <f t="shared" ca="1" si="272"/>
        <v>40.456259269723446</v>
      </c>
      <c r="H623" s="360">
        <f t="shared" ca="1" si="273"/>
        <v>61.531036412720184</v>
      </c>
      <c r="I623" s="357">
        <f t="shared" ca="1" si="274"/>
        <v>73.639509477742862</v>
      </c>
      <c r="J623" s="359">
        <f t="shared" ca="1" si="275"/>
        <v>769.93998095818938</v>
      </c>
      <c r="K623" s="360">
        <f t="shared" ca="1" si="276"/>
        <v>2518.0070204727608</v>
      </c>
      <c r="L623" s="357">
        <f t="shared" ca="1" si="261"/>
        <v>2633.0907560181072</v>
      </c>
      <c r="M623" s="359">
        <f t="shared" ca="1" si="277"/>
        <v>0.98917126060223015</v>
      </c>
      <c r="N623" s="357">
        <f t="shared" ca="1" si="278"/>
        <v>56.675338448143073</v>
      </c>
      <c r="O623" s="343"/>
      <c r="P623" s="363">
        <f t="shared" ca="1" si="279"/>
        <v>23</v>
      </c>
      <c r="Q623" s="357">
        <f t="shared" ca="1" si="280"/>
        <v>0</v>
      </c>
      <c r="R623" s="359">
        <f t="shared" ca="1" si="281"/>
        <v>0</v>
      </c>
      <c r="S623" s="360">
        <f t="shared" ca="1" si="282"/>
        <v>9.637999999999975</v>
      </c>
      <c r="T623" s="357">
        <f t="shared" ca="1" si="262"/>
        <v>94.548779999999766</v>
      </c>
      <c r="U623" s="364">
        <f t="shared" ca="1" si="263"/>
        <v>0</v>
      </c>
      <c r="V623" s="359">
        <f t="shared" ca="1" si="264"/>
        <v>0.95103626979290545</v>
      </c>
      <c r="W623" s="357">
        <f t="shared" ca="1" si="265"/>
        <v>11.776574846237724</v>
      </c>
      <c r="X623" s="343"/>
      <c r="Y623" s="367" t="str">
        <f t="shared" ca="1" si="283"/>
        <v/>
      </c>
      <c r="Z623" s="368" t="str">
        <f t="shared" ca="1" si="284"/>
        <v/>
      </c>
      <c r="AA623" s="369" t="str">
        <f t="shared" ca="1" si="285"/>
        <v/>
      </c>
      <c r="AB623" s="344"/>
      <c r="AC623" s="363" t="e">
        <f t="shared" ca="1" si="286"/>
        <v>#N/A</v>
      </c>
      <c r="AD623" s="376" t="e">
        <f t="shared" ca="1" si="287"/>
        <v>#N/A</v>
      </c>
      <c r="AE623" s="377">
        <f t="shared" ca="1" si="266"/>
        <v>2518.0070204727608</v>
      </c>
      <c r="AF623" s="344"/>
      <c r="AG623" s="359">
        <f t="shared" ca="1" si="288"/>
        <v>-9.4900571809289911</v>
      </c>
      <c r="AH623" s="357">
        <f t="shared" ca="1" si="289"/>
        <v>-1.2543122902928803</v>
      </c>
    </row>
    <row r="624" spans="1:34" x14ac:dyDescent="0.25">
      <c r="A624" s="402">
        <f t="shared" ca="1" si="267"/>
        <v>0.1</v>
      </c>
      <c r="B624" s="357">
        <f t="shared" ca="1" si="268"/>
        <v>16.999999999999911</v>
      </c>
      <c r="C624" s="342"/>
      <c r="D624" s="359">
        <f t="shared" ca="1" si="269"/>
        <v>-0.67128495154601786</v>
      </c>
      <c r="E624" s="360">
        <f t="shared" ca="1" si="270"/>
        <v>-10.83097572891028</v>
      </c>
      <c r="F624" s="357">
        <f t="shared" ca="1" si="271"/>
        <v>10.851758324180267</v>
      </c>
      <c r="G624" s="359">
        <f t="shared" ca="1" si="272"/>
        <v>40.389130774568848</v>
      </c>
      <c r="H624" s="360">
        <f t="shared" ca="1" si="273"/>
        <v>60.447938839829156</v>
      </c>
      <c r="I624" s="357">
        <f t="shared" ca="1" si="274"/>
        <v>72.699623071299001</v>
      </c>
      <c r="J624" s="359">
        <f t="shared" ca="1" si="275"/>
        <v>773.98225046040398</v>
      </c>
      <c r="K624" s="360">
        <f t="shared" ca="1" si="276"/>
        <v>2524.1059692353883</v>
      </c>
      <c r="L624" s="357">
        <f t="shared" ca="1" si="261"/>
        <v>2640.1059577140973</v>
      </c>
      <c r="M624" s="359">
        <f t="shared" ca="1" si="277"/>
        <v>0.98175789082549836</v>
      </c>
      <c r="N624" s="357">
        <f t="shared" ca="1" si="278"/>
        <v>56.250583647966501</v>
      </c>
      <c r="O624" s="343"/>
      <c r="P624" s="363">
        <f t="shared" ca="1" si="279"/>
        <v>23</v>
      </c>
      <c r="Q624" s="357">
        <f t="shared" ca="1" si="280"/>
        <v>0</v>
      </c>
      <c r="R624" s="359">
        <f t="shared" ca="1" si="281"/>
        <v>0</v>
      </c>
      <c r="S624" s="360">
        <f t="shared" ca="1" si="282"/>
        <v>9.637999999999975</v>
      </c>
      <c r="T624" s="357">
        <f t="shared" ca="1" si="262"/>
        <v>94.548779999999766</v>
      </c>
      <c r="U624" s="364">
        <f t="shared" ca="1" si="263"/>
        <v>0</v>
      </c>
      <c r="V624" s="359">
        <f t="shared" ca="1" si="264"/>
        <v>0.95044705512071304</v>
      </c>
      <c r="W624" s="357">
        <f t="shared" ca="1" si="265"/>
        <v>11.470765208375933</v>
      </c>
      <c r="X624" s="343"/>
      <c r="Y624" s="367" t="str">
        <f t="shared" ca="1" si="283"/>
        <v/>
      </c>
      <c r="Z624" s="368" t="str">
        <f t="shared" ca="1" si="284"/>
        <v/>
      </c>
      <c r="AA624" s="369" t="str">
        <f t="shared" ca="1" si="285"/>
        <v/>
      </c>
      <c r="AB624" s="344"/>
      <c r="AC624" s="363">
        <f t="shared" ca="1" si="286"/>
        <v>16.999999999999911</v>
      </c>
      <c r="AD624" s="376">
        <f t="shared" ca="1" si="287"/>
        <v>773.98225046040398</v>
      </c>
      <c r="AE624" s="377">
        <f t="shared" ca="1" si="266"/>
        <v>2524.1059692353883</v>
      </c>
      <c r="AF624" s="344"/>
      <c r="AG624" s="359">
        <f t="shared" ca="1" si="288"/>
        <v>-9.4188411210711944</v>
      </c>
      <c r="AH624" s="357">
        <f t="shared" ca="1" si="289"/>
        <v>-1.2218898989663576</v>
      </c>
    </row>
    <row r="625" spans="1:34" x14ac:dyDescent="0.25">
      <c r="A625" s="402">
        <f t="shared" ca="1" si="267"/>
        <v>0.1</v>
      </c>
      <c r="B625" s="357">
        <f t="shared" ca="1" si="268"/>
        <v>17.099999999999913</v>
      </c>
      <c r="C625" s="342"/>
      <c r="D625" s="359">
        <f t="shared" ca="1" si="269"/>
        <v>-0.66120756837117667</v>
      </c>
      <c r="E625" s="360">
        <f t="shared" ca="1" si="270"/>
        <v>-10.799588879157049</v>
      </c>
      <c r="F625" s="357">
        <f t="shared" ca="1" si="271"/>
        <v>10.819811246379668</v>
      </c>
      <c r="G625" s="359">
        <f t="shared" ca="1" si="272"/>
        <v>40.323010017731733</v>
      </c>
      <c r="H625" s="360">
        <f t="shared" ca="1" si="273"/>
        <v>59.367979951913455</v>
      </c>
      <c r="I625" s="357">
        <f t="shared" ca="1" si="274"/>
        <v>71.766999243809067</v>
      </c>
      <c r="J625" s="359">
        <f t="shared" ca="1" si="275"/>
        <v>778.01785750001898</v>
      </c>
      <c r="K625" s="360">
        <f t="shared" ca="1" si="276"/>
        <v>2530.0967651749756</v>
      </c>
      <c r="L625" s="357">
        <f t="shared" ca="1" si="261"/>
        <v>2647.0174589030944</v>
      </c>
      <c r="M625" s="359">
        <f t="shared" ca="1" si="277"/>
        <v>0.97416371336240304</v>
      </c>
      <c r="N625" s="357">
        <f t="shared" ca="1" si="278"/>
        <v>55.815469330457773</v>
      </c>
      <c r="O625" s="343"/>
      <c r="P625" s="363">
        <f t="shared" ca="1" si="279"/>
        <v>23</v>
      </c>
      <c r="Q625" s="357">
        <f t="shared" ca="1" si="280"/>
        <v>0</v>
      </c>
      <c r="R625" s="359">
        <f t="shared" ca="1" si="281"/>
        <v>0</v>
      </c>
      <c r="S625" s="360">
        <f t="shared" ca="1" si="282"/>
        <v>9.637999999999975</v>
      </c>
      <c r="T625" s="357">
        <f t="shared" ca="1" si="262"/>
        <v>94.548779999999766</v>
      </c>
      <c r="U625" s="364">
        <f t="shared" ca="1" si="263"/>
        <v>0</v>
      </c>
      <c r="V625" s="359">
        <f t="shared" ca="1" si="264"/>
        <v>0.94986859957653869</v>
      </c>
      <c r="W625" s="357">
        <f t="shared" ca="1" si="265"/>
        <v>11.171545256654715</v>
      </c>
      <c r="X625" s="343"/>
      <c r="Y625" s="367" t="str">
        <f t="shared" ca="1" si="283"/>
        <v/>
      </c>
      <c r="Z625" s="368" t="str">
        <f t="shared" ca="1" si="284"/>
        <v/>
      </c>
      <c r="AA625" s="369" t="str">
        <f t="shared" ca="1" si="285"/>
        <v/>
      </c>
      <c r="AB625" s="344"/>
      <c r="AC625" s="363" t="e">
        <f t="shared" ca="1" si="286"/>
        <v>#N/A</v>
      </c>
      <c r="AD625" s="376" t="e">
        <f t="shared" ca="1" si="287"/>
        <v>#N/A</v>
      </c>
      <c r="AE625" s="377">
        <f t="shared" ca="1" si="266"/>
        <v>2530.0967651749756</v>
      </c>
      <c r="AF625" s="344"/>
      <c r="AG625" s="359">
        <f t="shared" ca="1" si="288"/>
        <v>-9.346932739173015</v>
      </c>
      <c r="AH625" s="357">
        <f t="shared" ca="1" si="289"/>
        <v>-1.19016032458767</v>
      </c>
    </row>
    <row r="626" spans="1:34" x14ac:dyDescent="0.25">
      <c r="A626" s="402">
        <f t="shared" ca="1" si="267"/>
        <v>0.1</v>
      </c>
      <c r="B626" s="357">
        <f t="shared" ca="1" si="268"/>
        <v>17.199999999999914</v>
      </c>
      <c r="C626" s="342"/>
      <c r="D626" s="359">
        <f t="shared" ca="1" si="269"/>
        <v>-0.6512601175499505</v>
      </c>
      <c r="E626" s="360">
        <f t="shared" ca="1" si="270"/>
        <v>-10.768856930203972</v>
      </c>
      <c r="F626" s="357">
        <f t="shared" ca="1" si="271"/>
        <v>10.78853184283725</v>
      </c>
      <c r="G626" s="359">
        <f t="shared" ca="1" si="272"/>
        <v>40.257884005976734</v>
      </c>
      <c r="H626" s="360">
        <f t="shared" ca="1" si="273"/>
        <v>58.291094258893061</v>
      </c>
      <c r="I626" s="357">
        <f t="shared" ca="1" si="274"/>
        <v>70.841717190775611</v>
      </c>
      <c r="J626" s="359">
        <f t="shared" ca="1" si="275"/>
        <v>782.04690220120438</v>
      </c>
      <c r="K626" s="360">
        <f t="shared" ca="1" si="276"/>
        <v>2535.9797188855159</v>
      </c>
      <c r="L626" s="357">
        <f t="shared" ca="1" si="261"/>
        <v>2653.8256332775823</v>
      </c>
      <c r="M626" s="359">
        <f t="shared" ca="1" si="277"/>
        <v>0.9663831245317166</v>
      </c>
      <c r="N626" s="357">
        <f t="shared" ca="1" si="278"/>
        <v>55.369674428332814</v>
      </c>
      <c r="O626" s="343"/>
      <c r="P626" s="363">
        <f t="shared" ca="1" si="279"/>
        <v>23</v>
      </c>
      <c r="Q626" s="357">
        <f t="shared" ca="1" si="280"/>
        <v>0</v>
      </c>
      <c r="R626" s="359">
        <f t="shared" ca="1" si="281"/>
        <v>0</v>
      </c>
      <c r="S626" s="360">
        <f t="shared" ca="1" si="282"/>
        <v>9.637999999999975</v>
      </c>
      <c r="T626" s="357">
        <f t="shared" ca="1" si="262"/>
        <v>94.548779999999766</v>
      </c>
      <c r="U626" s="364">
        <f t="shared" ca="1" si="263"/>
        <v>0</v>
      </c>
      <c r="V626" s="359">
        <f t="shared" ca="1" si="264"/>
        <v>0.94930085628525884</v>
      </c>
      <c r="W626" s="357">
        <f t="shared" ca="1" si="265"/>
        <v>10.878829619614773</v>
      </c>
      <c r="X626" s="343"/>
      <c r="Y626" s="367" t="str">
        <f t="shared" ca="1" si="283"/>
        <v/>
      </c>
      <c r="Z626" s="368" t="str">
        <f t="shared" ca="1" si="284"/>
        <v/>
      </c>
      <c r="AA626" s="369" t="str">
        <f t="shared" ca="1" si="285"/>
        <v/>
      </c>
      <c r="AB626" s="344"/>
      <c r="AC626" s="363" t="e">
        <f t="shared" ca="1" si="286"/>
        <v>#N/A</v>
      </c>
      <c r="AD626" s="376" t="e">
        <f t="shared" ca="1" si="287"/>
        <v>#N/A</v>
      </c>
      <c r="AE626" s="377">
        <f t="shared" ca="1" si="266"/>
        <v>2535.9797188855159</v>
      </c>
      <c r="AF626" s="344"/>
      <c r="AG626" s="359">
        <f t="shared" ca="1" si="288"/>
        <v>-9.2742633465883113</v>
      </c>
      <c r="AH626" s="357">
        <f t="shared" ca="1" si="289"/>
        <v>-1.1591144694599236</v>
      </c>
    </row>
    <row r="627" spans="1:34" x14ac:dyDescent="0.25">
      <c r="A627" s="402">
        <f t="shared" ca="1" si="267"/>
        <v>0.1</v>
      </c>
      <c r="B627" s="357">
        <f t="shared" ca="1" si="268"/>
        <v>17.299999999999915</v>
      </c>
      <c r="C627" s="342"/>
      <c r="D627" s="359">
        <f t="shared" ca="1" si="269"/>
        <v>-0.64144159292863889</v>
      </c>
      <c r="E627" s="360">
        <f t="shared" ca="1" si="270"/>
        <v>-10.738770432877864</v>
      </c>
      <c r="F627" s="357">
        <f t="shared" ca="1" si="271"/>
        <v>10.757910472168406</v>
      </c>
      <c r="G627" s="359">
        <f t="shared" ca="1" si="272"/>
        <v>40.193739846683869</v>
      </c>
      <c r="H627" s="360">
        <f t="shared" ca="1" si="273"/>
        <v>57.217217215605274</v>
      </c>
      <c r="I627" s="357">
        <f t="shared" ca="1" si="274"/>
        <v>69.923863371245872</v>
      </c>
      <c r="J627" s="359">
        <f t="shared" ca="1" si="275"/>
        <v>786.06948339383746</v>
      </c>
      <c r="K627" s="360">
        <f t="shared" ca="1" si="276"/>
        <v>2541.7551344592407</v>
      </c>
      <c r="L627" s="357">
        <f t="shared" ca="1" si="261"/>
        <v>2660.5308485851028</v>
      </c>
      <c r="M627" s="359">
        <f t="shared" ca="1" si="277"/>
        <v>0.95841033945001419</v>
      </c>
      <c r="N627" s="357">
        <f t="shared" ca="1" si="278"/>
        <v>54.9128674921864</v>
      </c>
      <c r="O627" s="343"/>
      <c r="P627" s="363">
        <f t="shared" ca="1" si="279"/>
        <v>23</v>
      </c>
      <c r="Q627" s="357">
        <f t="shared" ca="1" si="280"/>
        <v>0</v>
      </c>
      <c r="R627" s="359">
        <f t="shared" ca="1" si="281"/>
        <v>0</v>
      </c>
      <c r="S627" s="360">
        <f t="shared" ca="1" si="282"/>
        <v>9.637999999999975</v>
      </c>
      <c r="T627" s="357">
        <f t="shared" ca="1" si="262"/>
        <v>94.548779999999766</v>
      </c>
      <c r="U627" s="364">
        <f t="shared" ca="1" si="263"/>
        <v>0</v>
      </c>
      <c r="V627" s="359">
        <f t="shared" ca="1" si="264"/>
        <v>0.94874377938718901</v>
      </c>
      <c r="W627" s="357">
        <f t="shared" ca="1" si="265"/>
        <v>10.59253518247824</v>
      </c>
      <c r="X627" s="343"/>
      <c r="Y627" s="367" t="str">
        <f t="shared" ca="1" si="283"/>
        <v/>
      </c>
      <c r="Z627" s="368" t="str">
        <f t="shared" ca="1" si="284"/>
        <v/>
      </c>
      <c r="AA627" s="369" t="str">
        <f t="shared" ca="1" si="285"/>
        <v/>
      </c>
      <c r="AB627" s="344"/>
      <c r="AC627" s="363" t="e">
        <f t="shared" ca="1" si="286"/>
        <v>#N/A</v>
      </c>
      <c r="AD627" s="376" t="e">
        <f t="shared" ca="1" si="287"/>
        <v>#N/A</v>
      </c>
      <c r="AE627" s="377">
        <f t="shared" ca="1" si="266"/>
        <v>2541.7551344592407</v>
      </c>
      <c r="AF627" s="344"/>
      <c r="AG627" s="359">
        <f t="shared" ca="1" si="288"/>
        <v>-9.2007617350232564</v>
      </c>
      <c r="AH627" s="357">
        <f t="shared" ca="1" si="289"/>
        <v>-1.1287434757848933</v>
      </c>
    </row>
    <row r="628" spans="1:34" x14ac:dyDescent="0.25">
      <c r="A628" s="402">
        <f t="shared" ca="1" si="267"/>
        <v>0.1</v>
      </c>
      <c r="B628" s="357">
        <f t="shared" ca="1" si="268"/>
        <v>17.399999999999917</v>
      </c>
      <c r="C628" s="342"/>
      <c r="D628" s="359">
        <f t="shared" ca="1" si="269"/>
        <v>-0.63175108267259694</v>
      </c>
      <c r="E628" s="360">
        <f t="shared" ca="1" si="270"/>
        <v>-10.709320119534835</v>
      </c>
      <c r="F628" s="357">
        <f t="shared" ca="1" si="271"/>
        <v>10.727937679401927</v>
      </c>
      <c r="G628" s="359">
        <f t="shared" ca="1" si="272"/>
        <v>40.130564738416609</v>
      </c>
      <c r="H628" s="360">
        <f t="shared" ca="1" si="273"/>
        <v>56.146285203651793</v>
      </c>
      <c r="I628" s="357">
        <f t="shared" ca="1" si="274"/>
        <v>69.013531777427929</v>
      </c>
      <c r="J628" s="359">
        <f t="shared" ca="1" si="275"/>
        <v>790.08569862309253</v>
      </c>
      <c r="K628" s="360">
        <f t="shared" ca="1" si="276"/>
        <v>2547.4233095802037</v>
      </c>
      <c r="L628" s="357">
        <f t="shared" ca="1" si="261"/>
        <v>2667.1334667318956</v>
      </c>
      <c r="M628" s="359">
        <f t="shared" ca="1" si="277"/>
        <v>0.95023938877972214</v>
      </c>
      <c r="N628" s="357">
        <f t="shared" ca="1" si="278"/>
        <v>54.444706504169069</v>
      </c>
      <c r="O628" s="343"/>
      <c r="P628" s="363">
        <f t="shared" ca="1" si="279"/>
        <v>23</v>
      </c>
      <c r="Q628" s="357">
        <f t="shared" ca="1" si="280"/>
        <v>0</v>
      </c>
      <c r="R628" s="359">
        <f t="shared" ca="1" si="281"/>
        <v>0</v>
      </c>
      <c r="S628" s="360">
        <f t="shared" ca="1" si="282"/>
        <v>9.637999999999975</v>
      </c>
      <c r="T628" s="357">
        <f t="shared" ca="1" si="262"/>
        <v>94.548779999999766</v>
      </c>
      <c r="U628" s="364">
        <f t="shared" ca="1" si="263"/>
        <v>0</v>
      </c>
      <c r="V628" s="359">
        <f t="shared" ca="1" si="264"/>
        <v>0.94819732402328771</v>
      </c>
      <c r="W628" s="357">
        <f t="shared" ca="1" si="265"/>
        <v>10.312581033417947</v>
      </c>
      <c r="X628" s="343"/>
      <c r="Y628" s="367" t="str">
        <f t="shared" ca="1" si="283"/>
        <v/>
      </c>
      <c r="Z628" s="368" t="str">
        <f t="shared" ca="1" si="284"/>
        <v/>
      </c>
      <c r="AA628" s="369" t="str">
        <f t="shared" ca="1" si="285"/>
        <v/>
      </c>
      <c r="AB628" s="344"/>
      <c r="AC628" s="363" t="e">
        <f t="shared" ca="1" si="286"/>
        <v>#N/A</v>
      </c>
      <c r="AD628" s="376" t="e">
        <f t="shared" ca="1" si="287"/>
        <v>#N/A</v>
      </c>
      <c r="AE628" s="377">
        <f t="shared" ca="1" si="266"/>
        <v>2547.4233095802037</v>
      </c>
      <c r="AF628" s="344"/>
      <c r="AG628" s="359">
        <f t="shared" ca="1" si="288"/>
        <v>-9.1263540572344883</v>
      </c>
      <c r="AH628" s="357">
        <f t="shared" ca="1" si="289"/>
        <v>-1.099038719908515</v>
      </c>
    </row>
    <row r="629" spans="1:34" x14ac:dyDescent="0.25">
      <c r="A629" s="402">
        <f t="shared" ca="1" si="267"/>
        <v>0.1</v>
      </c>
      <c r="B629" s="357">
        <f t="shared" ca="1" si="268"/>
        <v>17.499999999999918</v>
      </c>
      <c r="C629" s="342"/>
      <c r="D629" s="359">
        <f t="shared" ca="1" si="269"/>
        <v>-0.62218777048937934</v>
      </c>
      <c r="E629" s="360">
        <f t="shared" ca="1" si="270"/>
        <v>-10.680496895317285</v>
      </c>
      <c r="F629" s="357">
        <f t="shared" ca="1" si="271"/>
        <v>10.698604187118463</v>
      </c>
      <c r="G629" s="359">
        <f t="shared" ca="1" si="272"/>
        <v>40.068345961367669</v>
      </c>
      <c r="H629" s="360">
        <f t="shared" ca="1" si="273"/>
        <v>55.078235514120067</v>
      </c>
      <c r="I629" s="357">
        <f t="shared" ca="1" si="274"/>
        <v>68.110824216336752</v>
      </c>
      <c r="J629" s="359">
        <f t="shared" ca="1" si="275"/>
        <v>794.09564415808177</v>
      </c>
      <c r="K629" s="360">
        <f t="shared" ca="1" si="276"/>
        <v>2552.9845356160922</v>
      </c>
      <c r="L629" s="357">
        <f t="shared" ca="1" si="261"/>
        <v>2673.6338438847142</v>
      </c>
      <c r="M629" s="359">
        <f t="shared" ca="1" si="277"/>
        <v>0.94186411587479102</v>
      </c>
      <c r="N629" s="357">
        <f t="shared" ca="1" si="278"/>
        <v>53.964838714446245</v>
      </c>
      <c r="O629" s="343"/>
      <c r="P629" s="363">
        <f t="shared" ca="1" si="279"/>
        <v>23</v>
      </c>
      <c r="Q629" s="357">
        <f t="shared" ca="1" si="280"/>
        <v>0</v>
      </c>
      <c r="R629" s="359">
        <f t="shared" ca="1" si="281"/>
        <v>0</v>
      </c>
      <c r="S629" s="360">
        <f t="shared" ca="1" si="282"/>
        <v>9.637999999999975</v>
      </c>
      <c r="T629" s="357">
        <f t="shared" ca="1" si="262"/>
        <v>94.548779999999766</v>
      </c>
      <c r="U629" s="364">
        <f t="shared" ca="1" si="263"/>
        <v>0</v>
      </c>
      <c r="V629" s="359">
        <f t="shared" ca="1" si="264"/>
        <v>0.94766144632069838</v>
      </c>
      <c r="W629" s="357">
        <f t="shared" ca="1" si="265"/>
        <v>10.038888411492136</v>
      </c>
      <c r="X629" s="343"/>
      <c r="Y629" s="367" t="str">
        <f t="shared" ca="1" si="283"/>
        <v/>
      </c>
      <c r="Z629" s="368" t="str">
        <f t="shared" ca="1" si="284"/>
        <v/>
      </c>
      <c r="AA629" s="369" t="str">
        <f t="shared" ca="1" si="285"/>
        <v/>
      </c>
      <c r="AB629" s="344"/>
      <c r="AC629" s="363" t="e">
        <f t="shared" ca="1" si="286"/>
        <v>#N/A</v>
      </c>
      <c r="AD629" s="376" t="e">
        <f t="shared" ca="1" si="287"/>
        <v>#N/A</v>
      </c>
      <c r="AE629" s="377">
        <f t="shared" ca="1" si="266"/>
        <v>2552.9845356160922</v>
      </c>
      <c r="AF629" s="344"/>
      <c r="AG629" s="359">
        <f t="shared" ca="1" si="288"/>
        <v>-9.0509637069258915</v>
      </c>
      <c r="AH629" s="357">
        <f t="shared" ca="1" si="289"/>
        <v>-1.0699918067460028</v>
      </c>
    </row>
    <row r="630" spans="1:34" x14ac:dyDescent="0.25">
      <c r="A630" s="402">
        <f t="shared" ca="1" si="267"/>
        <v>0.1</v>
      </c>
      <c r="B630" s="357">
        <f t="shared" ca="1" si="268"/>
        <v>17.59999999999992</v>
      </c>
      <c r="C630" s="342"/>
      <c r="D630" s="359">
        <f t="shared" ca="1" si="269"/>
        <v>-0.6127509369801174</v>
      </c>
      <c r="E630" s="360">
        <f t="shared" ca="1" si="270"/>
        <v>-10.652291829341506</v>
      </c>
      <c r="F630" s="357">
        <f t="shared" ca="1" si="271"/>
        <v>10.66990088652307</v>
      </c>
      <c r="G630" s="359">
        <f t="shared" ca="1" si="272"/>
        <v>40.007070867669654</v>
      </c>
      <c r="H630" s="360">
        <f t="shared" ca="1" si="273"/>
        <v>54.013006331185913</v>
      </c>
      <c r="I630" s="357">
        <f t="shared" ca="1" si="274"/>
        <v>67.215850603436323</v>
      </c>
      <c r="J630" s="359">
        <f t="shared" ca="1" si="275"/>
        <v>798.09941499953368</v>
      </c>
      <c r="K630" s="360">
        <f t="shared" ca="1" si="276"/>
        <v>2558.4390977083576</v>
      </c>
      <c r="L630" s="357">
        <f t="shared" ca="1" si="261"/>
        <v>2680.0323305709117</v>
      </c>
      <c r="M630" s="359">
        <f t="shared" ca="1" si="277"/>
        <v>0.93327817440504302</v>
      </c>
      <c r="N630" s="357">
        <f t="shared" ca="1" si="278"/>
        <v>53.472900505083338</v>
      </c>
      <c r="O630" s="343"/>
      <c r="P630" s="363">
        <f t="shared" ca="1" si="279"/>
        <v>23</v>
      </c>
      <c r="Q630" s="357">
        <f t="shared" ca="1" si="280"/>
        <v>0</v>
      </c>
      <c r="R630" s="359">
        <f t="shared" ca="1" si="281"/>
        <v>0</v>
      </c>
      <c r="S630" s="360">
        <f t="shared" ca="1" si="282"/>
        <v>9.637999999999975</v>
      </c>
      <c r="T630" s="357">
        <f t="shared" ca="1" si="262"/>
        <v>94.548779999999766</v>
      </c>
      <c r="U630" s="364">
        <f t="shared" ca="1" si="263"/>
        <v>0</v>
      </c>
      <c r="V630" s="359">
        <f t="shared" ca="1" si="264"/>
        <v>0.94713610337861365</v>
      </c>
      <c r="W630" s="357">
        <f t="shared" ca="1" si="265"/>
        <v>9.7713806561805736</v>
      </c>
      <c r="X630" s="343"/>
      <c r="Y630" s="367" t="str">
        <f t="shared" ca="1" si="283"/>
        <v/>
      </c>
      <c r="Z630" s="368" t="str">
        <f t="shared" ca="1" si="284"/>
        <v/>
      </c>
      <c r="AA630" s="369" t="str">
        <f t="shared" ca="1" si="285"/>
        <v/>
      </c>
      <c r="AB630" s="344"/>
      <c r="AC630" s="363" t="e">
        <f t="shared" ca="1" si="286"/>
        <v>#N/A</v>
      </c>
      <c r="AD630" s="376" t="e">
        <f t="shared" ca="1" si="287"/>
        <v>#N/A</v>
      </c>
      <c r="AE630" s="377">
        <f t="shared" ca="1" si="266"/>
        <v>2558.4390977083576</v>
      </c>
      <c r="AF630" s="344"/>
      <c r="AG630" s="359">
        <f t="shared" ca="1" si="288"/>
        <v>-8.9745111985602062</v>
      </c>
      <c r="AH630" s="357">
        <f t="shared" ca="1" si="289"/>
        <v>-1.0415945643797637</v>
      </c>
    </row>
    <row r="631" spans="1:34" x14ac:dyDescent="0.25">
      <c r="A631" s="402">
        <f t="shared" ca="1" si="267"/>
        <v>0.1</v>
      </c>
      <c r="B631" s="357">
        <f t="shared" ca="1" si="268"/>
        <v>17.699999999999921</v>
      </c>
      <c r="C631" s="342"/>
      <c r="D631" s="359">
        <f t="shared" ca="1" si="269"/>
        <v>-0.60343996111754949</v>
      </c>
      <c r="E631" s="360">
        <f t="shared" ca="1" si="270"/>
        <v>-10.624696145792374</v>
      </c>
      <c r="F631" s="357">
        <f t="shared" ca="1" si="271"/>
        <v>10.641818828428196</v>
      </c>
      <c r="G631" s="359">
        <f t="shared" ca="1" si="272"/>
        <v>39.9467268715579</v>
      </c>
      <c r="H631" s="360">
        <f t="shared" ca="1" si="273"/>
        <v>52.950536716606678</v>
      </c>
      <c r="I631" s="357">
        <f t="shared" ca="1" si="274"/>
        <v>66.328729268150141</v>
      </c>
      <c r="J631" s="359">
        <f t="shared" ca="1" si="275"/>
        <v>802.097104886495</v>
      </c>
      <c r="K631" s="360">
        <f t="shared" ca="1" si="276"/>
        <v>2563.7872748607474</v>
      </c>
      <c r="L631" s="357">
        <f t="shared" ca="1" si="261"/>
        <v>2686.32927177686</v>
      </c>
      <c r="M631" s="359">
        <f t="shared" ca="1" si="277"/>
        <v>0.92447502655050517</v>
      </c>
      <c r="N631" s="357">
        <f t="shared" ca="1" si="278"/>
        <v>52.968517286588671</v>
      </c>
      <c r="O631" s="343"/>
      <c r="P631" s="363">
        <f t="shared" ca="1" si="279"/>
        <v>23</v>
      </c>
      <c r="Q631" s="357">
        <f t="shared" ca="1" si="280"/>
        <v>0</v>
      </c>
      <c r="R631" s="359">
        <f t="shared" ca="1" si="281"/>
        <v>0</v>
      </c>
      <c r="S631" s="360">
        <f t="shared" ca="1" si="282"/>
        <v>9.637999999999975</v>
      </c>
      <c r="T631" s="357">
        <f t="shared" ca="1" si="262"/>
        <v>94.548779999999766</v>
      </c>
      <c r="U631" s="364">
        <f t="shared" ca="1" si="263"/>
        <v>0</v>
      </c>
      <c r="V631" s="359">
        <f t="shared" ca="1" si="264"/>
        <v>0.94662125325445412</v>
      </c>
      <c r="W631" s="357">
        <f t="shared" ca="1" si="265"/>
        <v>9.5099831584603809</v>
      </c>
      <c r="X631" s="343"/>
      <c r="Y631" s="367" t="str">
        <f t="shared" ca="1" si="283"/>
        <v/>
      </c>
      <c r="Z631" s="368" t="str">
        <f t="shared" ca="1" si="284"/>
        <v/>
      </c>
      <c r="AA631" s="369" t="str">
        <f t="shared" ca="1" si="285"/>
        <v/>
      </c>
      <c r="AB631" s="344"/>
      <c r="AC631" s="363" t="e">
        <f t="shared" ca="1" si="286"/>
        <v>#N/A</v>
      </c>
      <c r="AD631" s="376" t="e">
        <f t="shared" ca="1" si="287"/>
        <v>#N/A</v>
      </c>
      <c r="AE631" s="377">
        <f t="shared" ca="1" si="266"/>
        <v>2563.7872748607474</v>
      </c>
      <c r="AF631" s="344"/>
      <c r="AG631" s="359">
        <f t="shared" ca="1" si="288"/>
        <v>-8.8969140479470621</v>
      </c>
      <c r="AH631" s="357">
        <f t="shared" ca="1" si="289"/>
        <v>-1.0138390388234695</v>
      </c>
    </row>
    <row r="632" spans="1:34" x14ac:dyDescent="0.25">
      <c r="A632" s="402">
        <f t="shared" ca="1" si="267"/>
        <v>0.1</v>
      </c>
      <c r="B632" s="357">
        <f t="shared" ca="1" si="268"/>
        <v>17.799999999999923</v>
      </c>
      <c r="C632" s="342"/>
      <c r="D632" s="359">
        <f t="shared" ca="1" si="269"/>
        <v>-0.59425432184839855</v>
      </c>
      <c r="E632" s="360">
        <f t="shared" ca="1" si="270"/>
        <v>-10.597701214900781</v>
      </c>
      <c r="F632" s="357">
        <f t="shared" ca="1" si="271"/>
        <v>10.614349214122596</v>
      </c>
      <c r="G632" s="359">
        <f t="shared" ca="1" si="272"/>
        <v>39.887301439373061</v>
      </c>
      <c r="H632" s="360">
        <f t="shared" ca="1" si="273"/>
        <v>51.890766595116602</v>
      </c>
      <c r="I632" s="357">
        <f t="shared" ca="1" si="274"/>
        <v>65.449587271000269</v>
      </c>
      <c r="J632" s="359">
        <f t="shared" ca="1" si="275"/>
        <v>806.08880630204158</v>
      </c>
      <c r="K632" s="360">
        <f t="shared" ca="1" si="276"/>
        <v>2569.0293400263336</v>
      </c>
      <c r="L632" s="357">
        <f t="shared" ca="1" si="261"/>
        <v>2692.5250070447978</v>
      </c>
      <c r="M632" s="359">
        <f t="shared" ca="1" si="277"/>
        <v>0.91544794186828926</v>
      </c>
      <c r="N632" s="357">
        <f t="shared" ca="1" si="278"/>
        <v>52.451303432990507</v>
      </c>
      <c r="O632" s="343"/>
      <c r="P632" s="363">
        <f t="shared" ca="1" si="279"/>
        <v>23</v>
      </c>
      <c r="Q632" s="357">
        <f t="shared" ca="1" si="280"/>
        <v>0</v>
      </c>
      <c r="R632" s="359">
        <f t="shared" ca="1" si="281"/>
        <v>0</v>
      </c>
      <c r="S632" s="360">
        <f t="shared" ca="1" si="282"/>
        <v>9.637999999999975</v>
      </c>
      <c r="T632" s="357">
        <f t="shared" ca="1" si="262"/>
        <v>94.548779999999766</v>
      </c>
      <c r="U632" s="364">
        <f t="shared" ca="1" si="263"/>
        <v>0</v>
      </c>
      <c r="V632" s="359">
        <f t="shared" ca="1" si="264"/>
        <v>0.9461168549503437</v>
      </c>
      <c r="W632" s="357">
        <f t="shared" ca="1" si="265"/>
        <v>9.2546233133611864</v>
      </c>
      <c r="X632" s="343"/>
      <c r="Y632" s="367" t="str">
        <f t="shared" ca="1" si="283"/>
        <v/>
      </c>
      <c r="Z632" s="368" t="str">
        <f t="shared" ca="1" si="284"/>
        <v/>
      </c>
      <c r="AA632" s="369" t="str">
        <f t="shared" ca="1" si="285"/>
        <v/>
      </c>
      <c r="AB632" s="344"/>
      <c r="AC632" s="363" t="e">
        <f t="shared" ca="1" si="286"/>
        <v>#N/A</v>
      </c>
      <c r="AD632" s="376" t="e">
        <f t="shared" ca="1" si="287"/>
        <v>#N/A</v>
      </c>
      <c r="AE632" s="377">
        <f t="shared" ca="1" si="266"/>
        <v>2569.0293400263336</v>
      </c>
      <c r="AF632" s="344"/>
      <c r="AG632" s="359">
        <f t="shared" ca="1" si="288"/>
        <v>-8.8180866546346852</v>
      </c>
      <c r="AH632" s="357">
        <f t="shared" ca="1" si="289"/>
        <v>-0.98671748894588152</v>
      </c>
    </row>
    <row r="633" spans="1:34" x14ac:dyDescent="0.25">
      <c r="A633" s="402">
        <f t="shared" ca="1" si="267"/>
        <v>0.1</v>
      </c>
      <c r="B633" s="357">
        <f t="shared" ca="1" si="268"/>
        <v>17.899999999999924</v>
      </c>
      <c r="C633" s="342"/>
      <c r="D633" s="359">
        <f t="shared" ca="1" si="269"/>
        <v>-0.58519359981685914</v>
      </c>
      <c r="E633" s="360">
        <f t="shared" ca="1" si="270"/>
        <v>-10.5712985437786</v>
      </c>
      <c r="F633" s="357">
        <f t="shared" ca="1" si="271"/>
        <v>10.58748338610088</v>
      </c>
      <c r="G633" s="359">
        <f t="shared" ca="1" si="272"/>
        <v>39.828782079391374</v>
      </c>
      <c r="H633" s="360">
        <f t="shared" ca="1" si="273"/>
        <v>50.83363674073874</v>
      </c>
      <c r="I633" s="357">
        <f t="shared" ca="1" si="274"/>
        <v>64.57856073200324</v>
      </c>
      <c r="J633" s="359">
        <f t="shared" ca="1" si="275"/>
        <v>810.07461047797983</v>
      </c>
      <c r="K633" s="360">
        <f t="shared" ca="1" si="276"/>
        <v>2574.1655601931261</v>
      </c>
      <c r="L633" s="357">
        <f t="shared" ca="1" si="261"/>
        <v>2698.6198705681841</v>
      </c>
      <c r="M633" s="359">
        <f t="shared" ca="1" si="277"/>
        <v>0.90618999694684632</v>
      </c>
      <c r="N633" s="357">
        <f t="shared" ca="1" si="278"/>
        <v>51.920862262027249</v>
      </c>
      <c r="O633" s="343"/>
      <c r="P633" s="363">
        <f t="shared" ca="1" si="279"/>
        <v>23</v>
      </c>
      <c r="Q633" s="357">
        <f t="shared" ca="1" si="280"/>
        <v>0</v>
      </c>
      <c r="R633" s="359">
        <f t="shared" ca="1" si="281"/>
        <v>0</v>
      </c>
      <c r="S633" s="360">
        <f t="shared" ca="1" si="282"/>
        <v>9.637999999999975</v>
      </c>
      <c r="T633" s="357">
        <f t="shared" ca="1" si="262"/>
        <v>94.548779999999766</v>
      </c>
      <c r="U633" s="364">
        <f t="shared" ca="1" si="263"/>
        <v>0</v>
      </c>
      <c r="V633" s="359">
        <f t="shared" ca="1" si="264"/>
        <v>0.94562286839987175</v>
      </c>
      <c r="W633" s="357">
        <f t="shared" ca="1" si="265"/>
        <v>9.0052304739413156</v>
      </c>
      <c r="X633" s="343"/>
      <c r="Y633" s="367" t="str">
        <f t="shared" ca="1" si="283"/>
        <v/>
      </c>
      <c r="Z633" s="368" t="str">
        <f t="shared" ca="1" si="284"/>
        <v/>
      </c>
      <c r="AA633" s="369" t="str">
        <f t="shared" ca="1" si="285"/>
        <v/>
      </c>
      <c r="AB633" s="344"/>
      <c r="AC633" s="363" t="e">
        <f t="shared" ca="1" si="286"/>
        <v>#N/A</v>
      </c>
      <c r="AD633" s="376" t="e">
        <f t="shared" ca="1" si="287"/>
        <v>#N/A</v>
      </c>
      <c r="AE633" s="377">
        <f t="shared" ca="1" si="266"/>
        <v>2574.1655601931261</v>
      </c>
      <c r="AF633" s="344"/>
      <c r="AG633" s="359">
        <f t="shared" ca="1" si="288"/>
        <v>-8.737940187320266</v>
      </c>
      <c r="AH633" s="357">
        <f t="shared" ca="1" si="289"/>
        <v>-0.96022238154816464</v>
      </c>
    </row>
    <row r="634" spans="1:34" x14ac:dyDescent="0.25">
      <c r="A634" s="402">
        <f t="shared" ca="1" si="267"/>
        <v>0.1</v>
      </c>
      <c r="B634" s="357">
        <f t="shared" ca="1" si="268"/>
        <v>17.999999999999925</v>
      </c>
      <c r="C634" s="342"/>
      <c r="D634" s="359">
        <f t="shared" ca="1" si="269"/>
        <v>-0.57625747920491688</v>
      </c>
      <c r="E634" s="360">
        <f t="shared" ca="1" si="270"/>
        <v>-10.545479767085165</v>
      </c>
      <c r="F634" s="357">
        <f t="shared" ca="1" si="271"/>
        <v>10.561212818627517</v>
      </c>
      <c r="G634" s="359">
        <f t="shared" ca="1" si="272"/>
        <v>39.771156331470884</v>
      </c>
      <c r="H634" s="360">
        <f t="shared" ca="1" si="273"/>
        <v>49.77908876403022</v>
      </c>
      <c r="I634" s="357">
        <f t="shared" ca="1" si="274"/>
        <v>63.715795169796763</v>
      </c>
      <c r="J634" s="359">
        <f t="shared" ca="1" si="275"/>
        <v>814.05460739852299</v>
      </c>
      <c r="K634" s="360">
        <f t="shared" ca="1" si="276"/>
        <v>2579.1961964683646</v>
      </c>
      <c r="L634" s="357">
        <f t="shared" ca="1" si="261"/>
        <v>2704.6141912856338</v>
      </c>
      <c r="M634" s="359">
        <f t="shared" ca="1" si="277"/>
        <v>0.89669407597575557</v>
      </c>
      <c r="N634" s="357">
        <f t="shared" ca="1" si="278"/>
        <v>51.376786067793979</v>
      </c>
      <c r="O634" s="343"/>
      <c r="P634" s="363">
        <f t="shared" ca="1" si="279"/>
        <v>23</v>
      </c>
      <c r="Q634" s="357">
        <f t="shared" ca="1" si="280"/>
        <v>0</v>
      </c>
      <c r="R634" s="359">
        <f t="shared" ca="1" si="281"/>
        <v>0</v>
      </c>
      <c r="S634" s="360">
        <f t="shared" ca="1" si="282"/>
        <v>9.637999999999975</v>
      </c>
      <c r="T634" s="357">
        <f t="shared" ca="1" si="262"/>
        <v>94.548779999999766</v>
      </c>
      <c r="U634" s="364">
        <f t="shared" ca="1" si="263"/>
        <v>0</v>
      </c>
      <c r="V634" s="359">
        <f t="shared" ca="1" si="264"/>
        <v>0.94513925445513169</v>
      </c>
      <c r="W634" s="357">
        <f t="shared" ca="1" si="265"/>
        <v>8.7617359066279619</v>
      </c>
      <c r="X634" s="343"/>
      <c r="Y634" s="367" t="str">
        <f t="shared" ca="1" si="283"/>
        <v/>
      </c>
      <c r="Z634" s="368" t="str">
        <f t="shared" ca="1" si="284"/>
        <v/>
      </c>
      <c r="AA634" s="369" t="str">
        <f t="shared" ca="1" si="285"/>
        <v/>
      </c>
      <c r="AB634" s="344"/>
      <c r="AC634" s="363">
        <f t="shared" ca="1" si="286"/>
        <v>17.999999999999925</v>
      </c>
      <c r="AD634" s="376">
        <f t="shared" ca="1" si="287"/>
        <v>814.05460739852299</v>
      </c>
      <c r="AE634" s="377">
        <f t="shared" ca="1" si="266"/>
        <v>2579.1961964683646</v>
      </c>
      <c r="AF634" s="344"/>
      <c r="AG634" s="359">
        <f t="shared" ca="1" si="288"/>
        <v>-8.656382473706282</v>
      </c>
      <c r="AH634" s="357">
        <f t="shared" ca="1" si="289"/>
        <v>-0.93434638658864277</v>
      </c>
    </row>
    <row r="635" spans="1:34" x14ac:dyDescent="0.25">
      <c r="A635" s="402">
        <f t="shared" ca="1" si="267"/>
        <v>0.1</v>
      </c>
      <c r="B635" s="357">
        <f t="shared" ca="1" si="268"/>
        <v>18.099999999999927</v>
      </c>
      <c r="C635" s="342"/>
      <c r="D635" s="359">
        <f t="shared" ca="1" si="269"/>
        <v>-0.56744574968394046</v>
      </c>
      <c r="E635" s="360">
        <f t="shared" ca="1" si="270"/>
        <v>-10.520236637498437</v>
      </c>
      <c r="F635" s="357">
        <f t="shared" ca="1" si="271"/>
        <v>10.535529108108372</v>
      </c>
      <c r="G635" s="359">
        <f t="shared" ca="1" si="272"/>
        <v>39.714411756502493</v>
      </c>
      <c r="H635" s="360">
        <f t="shared" ca="1" si="273"/>
        <v>48.727065100280377</v>
      </c>
      <c r="I635" s="357">
        <f t="shared" ca="1" si="274"/>
        <v>62.861445850791448</v>
      </c>
      <c r="J635" s="359">
        <f t="shared" ca="1" si="275"/>
        <v>818.02888580292165</v>
      </c>
      <c r="K635" s="360">
        <f t="shared" ca="1" si="276"/>
        <v>2584.1215041615801</v>
      </c>
      <c r="L635" s="357">
        <f t="shared" ca="1" si="261"/>
        <v>2710.5082929735295</v>
      </c>
      <c r="M635" s="359">
        <f t="shared" ca="1" si="277"/>
        <v>0.88695287237359854</v>
      </c>
      <c r="N635" s="357">
        <f t="shared" ca="1" si="278"/>
        <v>50.818656214012748</v>
      </c>
      <c r="O635" s="343"/>
      <c r="P635" s="363">
        <f t="shared" ca="1" si="279"/>
        <v>23</v>
      </c>
      <c r="Q635" s="357">
        <f t="shared" ca="1" si="280"/>
        <v>0</v>
      </c>
      <c r="R635" s="359">
        <f t="shared" ca="1" si="281"/>
        <v>0</v>
      </c>
      <c r="S635" s="360">
        <f t="shared" ca="1" si="282"/>
        <v>9.637999999999975</v>
      </c>
      <c r="T635" s="357">
        <f t="shared" ca="1" si="262"/>
        <v>94.548779999999766</v>
      </c>
      <c r="U635" s="364">
        <f t="shared" ca="1" si="263"/>
        <v>0</v>
      </c>
      <c r="V635" s="359">
        <f t="shared" ca="1" si="264"/>
        <v>0.94466597487401771</v>
      </c>
      <c r="W635" s="357">
        <f t="shared" ca="1" si="265"/>
        <v>8.5240727478658069</v>
      </c>
      <c r="X635" s="343"/>
      <c r="Y635" s="367" t="str">
        <f t="shared" ca="1" si="283"/>
        <v/>
      </c>
      <c r="Z635" s="368" t="str">
        <f t="shared" ca="1" si="284"/>
        <v/>
      </c>
      <c r="AA635" s="369" t="str">
        <f t="shared" ca="1" si="285"/>
        <v/>
      </c>
      <c r="AB635" s="344"/>
      <c r="AC635" s="363" t="e">
        <f t="shared" ca="1" si="286"/>
        <v>#N/A</v>
      </c>
      <c r="AD635" s="376" t="e">
        <f t="shared" ca="1" si="287"/>
        <v>#N/A</v>
      </c>
      <c r="AE635" s="377">
        <f t="shared" ca="1" si="266"/>
        <v>2584.1215041615801</v>
      </c>
      <c r="AF635" s="344"/>
      <c r="AG635" s="359">
        <f t="shared" ca="1" si="288"/>
        <v>-8.5733178964686019</v>
      </c>
      <c r="AH635" s="357">
        <f t="shared" ca="1" si="289"/>
        <v>-0.90908237254907498</v>
      </c>
    </row>
    <row r="636" spans="1:34" x14ac:dyDescent="0.25">
      <c r="A636" s="402">
        <f t="shared" ca="1" si="267"/>
        <v>0.1</v>
      </c>
      <c r="B636" s="357">
        <f t="shared" ca="1" si="268"/>
        <v>18.199999999999928</v>
      </c>
      <c r="C636" s="342"/>
      <c r="D636" s="359">
        <f t="shared" ca="1" si="269"/>
        <v>-0.55875830847053654</v>
      </c>
      <c r="E636" s="360">
        <f t="shared" ca="1" si="270"/>
        <v>-10.495561015963142</v>
      </c>
      <c r="F636" s="357">
        <f t="shared" ca="1" si="271"/>
        <v>10.510423963241927</v>
      </c>
      <c r="G636" s="359">
        <f t="shared" ca="1" si="272"/>
        <v>39.658535925655443</v>
      </c>
      <c r="H636" s="360">
        <f t="shared" ca="1" si="273"/>
        <v>47.677508998684061</v>
      </c>
      <c r="I636" s="357">
        <f t="shared" ca="1" si="274"/>
        <v>62.015678147433839</v>
      </c>
      <c r="J636" s="359">
        <f t="shared" ca="1" si="275"/>
        <v>821.9975331870296</v>
      </c>
      <c r="K636" s="360">
        <f t="shared" ca="1" si="276"/>
        <v>2588.9417328665281</v>
      </c>
      <c r="L636" s="357">
        <f t="shared" ca="1" si="261"/>
        <v>2716.3024943373857</v>
      </c>
      <c r="M636" s="359">
        <f t="shared" ca="1" si="277"/>
        <v>0.87695889163194141</v>
      </c>
      <c r="N636" s="357">
        <f t="shared" ca="1" si="278"/>
        <v>50.246043296980773</v>
      </c>
      <c r="O636" s="343"/>
      <c r="P636" s="363">
        <f t="shared" ca="1" si="279"/>
        <v>23</v>
      </c>
      <c r="Q636" s="357">
        <f t="shared" ca="1" si="280"/>
        <v>0</v>
      </c>
      <c r="R636" s="359">
        <f t="shared" ca="1" si="281"/>
        <v>0</v>
      </c>
      <c r="S636" s="360">
        <f t="shared" ca="1" si="282"/>
        <v>9.637999999999975</v>
      </c>
      <c r="T636" s="357">
        <f t="shared" ca="1" si="262"/>
        <v>94.548779999999766</v>
      </c>
      <c r="U636" s="364">
        <f t="shared" ca="1" si="263"/>
        <v>0</v>
      </c>
      <c r="V636" s="359">
        <f t="shared" ca="1" si="264"/>
        <v>0.94420299230777283</v>
      </c>
      <c r="W636" s="357">
        <f t="shared" ca="1" si="265"/>
        <v>8.2921759620198863</v>
      </c>
      <c r="X636" s="343"/>
      <c r="Y636" s="367" t="str">
        <f t="shared" ca="1" si="283"/>
        <v/>
      </c>
      <c r="Z636" s="368" t="str">
        <f t="shared" ca="1" si="284"/>
        <v/>
      </c>
      <c r="AA636" s="369" t="str">
        <f t="shared" ca="1" si="285"/>
        <v/>
      </c>
      <c r="AB636" s="344"/>
      <c r="AC636" s="363" t="e">
        <f t="shared" ca="1" si="286"/>
        <v>#N/A</v>
      </c>
      <c r="AD636" s="376" t="e">
        <f t="shared" ca="1" si="287"/>
        <v>#N/A</v>
      </c>
      <c r="AE636" s="377">
        <f t="shared" ca="1" si="266"/>
        <v>2588.9417328665281</v>
      </c>
      <c r="AF636" s="344"/>
      <c r="AG636" s="359">
        <f t="shared" ca="1" si="288"/>
        <v>-8.4886472972693845</v>
      </c>
      <c r="AH636" s="357">
        <f t="shared" ca="1" si="289"/>
        <v>-0.88442340193669111</v>
      </c>
    </row>
    <row r="637" spans="1:34" x14ac:dyDescent="0.25">
      <c r="A637" s="402">
        <f t="shared" ca="1" si="267"/>
        <v>0.1</v>
      </c>
      <c r="B637" s="357">
        <f t="shared" ca="1" si="268"/>
        <v>18.29999999999993</v>
      </c>
      <c r="C637" s="342"/>
      <c r="D637" s="359">
        <f t="shared" ca="1" si="269"/>
        <v>-0.55019516247794764</v>
      </c>
      <c r="E637" s="360">
        <f t="shared" ca="1" si="270"/>
        <v>-10.471444861687523</v>
      </c>
      <c r="F637" s="357">
        <f t="shared" ca="1" si="271"/>
        <v>10.485889194921723</v>
      </c>
      <c r="G637" s="359">
        <f t="shared" ca="1" si="272"/>
        <v>39.603516409407646</v>
      </c>
      <c r="H637" s="360">
        <f t="shared" ca="1" si="273"/>
        <v>46.630364512515307</v>
      </c>
      <c r="I637" s="357">
        <f t="shared" ca="1" si="274"/>
        <v>61.178667904427826</v>
      </c>
      <c r="J637" s="359">
        <f t="shared" ca="1" si="275"/>
        <v>825.96063580378279</v>
      </c>
      <c r="K637" s="360">
        <f t="shared" ca="1" si="276"/>
        <v>2593.657126542088</v>
      </c>
      <c r="L637" s="357">
        <f t="shared" ca="1" si="261"/>
        <v>2721.9971091020557</v>
      </c>
      <c r="M637" s="359">
        <f t="shared" ca="1" si="277"/>
        <v>0.86670445554994857</v>
      </c>
      <c r="N637" s="357">
        <f t="shared" ca="1" si="278"/>
        <v>49.658507388195915</v>
      </c>
      <c r="O637" s="343"/>
      <c r="P637" s="363">
        <f t="shared" ca="1" si="279"/>
        <v>23</v>
      </c>
      <c r="Q637" s="357">
        <f t="shared" ca="1" si="280"/>
        <v>0</v>
      </c>
      <c r="R637" s="359">
        <f t="shared" ca="1" si="281"/>
        <v>0</v>
      </c>
      <c r="S637" s="360">
        <f t="shared" ca="1" si="282"/>
        <v>9.637999999999975</v>
      </c>
      <c r="T637" s="357">
        <f t="shared" ca="1" si="262"/>
        <v>94.548779999999766</v>
      </c>
      <c r="U637" s="364">
        <f t="shared" ca="1" si="263"/>
        <v>0</v>
      </c>
      <c r="V637" s="359">
        <f t="shared" ca="1" si="264"/>
        <v>0.94375027028877256</v>
      </c>
      <c r="W637" s="357">
        <f t="shared" ca="1" si="265"/>
        <v>8.0659823004795932</v>
      </c>
      <c r="X637" s="343"/>
      <c r="Y637" s="367" t="str">
        <f t="shared" ca="1" si="283"/>
        <v/>
      </c>
      <c r="Z637" s="368" t="str">
        <f t="shared" ca="1" si="284"/>
        <v/>
      </c>
      <c r="AA637" s="369" t="str">
        <f t="shared" ca="1" si="285"/>
        <v/>
      </c>
      <c r="AB637" s="344"/>
      <c r="AC637" s="363" t="e">
        <f t="shared" ca="1" si="286"/>
        <v>#N/A</v>
      </c>
      <c r="AD637" s="376" t="e">
        <f t="shared" ca="1" si="287"/>
        <v>#N/A</v>
      </c>
      <c r="AE637" s="377">
        <f t="shared" ca="1" si="266"/>
        <v>2593.657126542088</v>
      </c>
      <c r="AF637" s="344"/>
      <c r="AG637" s="359">
        <f t="shared" ca="1" si="288"/>
        <v>-8.402267891045323</v>
      </c>
      <c r="AH637" s="357">
        <f t="shared" ca="1" si="289"/>
        <v>-0.86036272691636317</v>
      </c>
    </row>
    <row r="638" spans="1:34" x14ac:dyDescent="0.25">
      <c r="A638" s="402">
        <f t="shared" ca="1" si="267"/>
        <v>0.1</v>
      </c>
      <c r="B638" s="357">
        <f t="shared" ca="1" si="268"/>
        <v>18.399999999999931</v>
      </c>
      <c r="C638" s="342"/>
      <c r="D638" s="359">
        <f t="shared" ca="1" si="269"/>
        <v>-0.54175643055231182</v>
      </c>
      <c r="E638" s="360">
        <f t="shared" ca="1" si="270"/>
        <v>-10.447880221859606</v>
      </c>
      <c r="F638" s="357">
        <f t="shared" ca="1" si="271"/>
        <v>10.46191670586083</v>
      </c>
      <c r="G638" s="359">
        <f t="shared" ca="1" si="272"/>
        <v>39.549340766352415</v>
      </c>
      <c r="H638" s="360">
        <f t="shared" ca="1" si="273"/>
        <v>45.585576490329345</v>
      </c>
      <c r="I638" s="357">
        <f t="shared" ca="1" si="274"/>
        <v>60.350601811487614</v>
      </c>
      <c r="J638" s="359">
        <f t="shared" ca="1" si="275"/>
        <v>829.91827866257074</v>
      </c>
      <c r="K638" s="360">
        <f t="shared" ca="1" si="276"/>
        <v>2598.2679235922301</v>
      </c>
      <c r="L638" s="357">
        <f t="shared" ca="1" si="261"/>
        <v>2727.5924461008694</v>
      </c>
      <c r="M638" s="359">
        <f t="shared" ca="1" si="277"/>
        <v>0.85618170805161919</v>
      </c>
      <c r="N638" s="357">
        <f t="shared" ca="1" si="278"/>
        <v>49.05559836765979</v>
      </c>
      <c r="O638" s="343"/>
      <c r="P638" s="363">
        <f t="shared" ca="1" si="279"/>
        <v>23</v>
      </c>
      <c r="Q638" s="357">
        <f t="shared" ca="1" si="280"/>
        <v>0</v>
      </c>
      <c r="R638" s="359">
        <f t="shared" ca="1" si="281"/>
        <v>0</v>
      </c>
      <c r="S638" s="360">
        <f t="shared" ca="1" si="282"/>
        <v>9.637999999999975</v>
      </c>
      <c r="T638" s="357">
        <f t="shared" ca="1" si="262"/>
        <v>94.548779999999766</v>
      </c>
      <c r="U638" s="364">
        <f t="shared" ca="1" si="263"/>
        <v>0</v>
      </c>
      <c r="V638" s="359">
        <f t="shared" ca="1" si="264"/>
        <v>0.94330777321852999</v>
      </c>
      <c r="W638" s="357">
        <f t="shared" ca="1" si="265"/>
        <v>7.8454302619117637</v>
      </c>
      <c r="X638" s="343"/>
      <c r="Y638" s="367" t="str">
        <f t="shared" ca="1" si="283"/>
        <v/>
      </c>
      <c r="Z638" s="368" t="str">
        <f t="shared" ca="1" si="284"/>
        <v/>
      </c>
      <c r="AA638" s="369" t="str">
        <f t="shared" ca="1" si="285"/>
        <v/>
      </c>
      <c r="AB638" s="344"/>
      <c r="AC638" s="363" t="e">
        <f t="shared" ca="1" si="286"/>
        <v>#N/A</v>
      </c>
      <c r="AD638" s="376" t="e">
        <f t="shared" ca="1" si="287"/>
        <v>#N/A</v>
      </c>
      <c r="AE638" s="377">
        <f t="shared" ca="1" si="266"/>
        <v>2598.2679235922301</v>
      </c>
      <c r="AF638" s="344"/>
      <c r="AG638" s="359">
        <f t="shared" ca="1" si="288"/>
        <v>-8.314073193131426</v>
      </c>
      <c r="AH638" s="357">
        <f t="shared" ca="1" si="289"/>
        <v>-0.83689378506740131</v>
      </c>
    </row>
    <row r="639" spans="1:34" x14ac:dyDescent="0.25">
      <c r="A639" s="402">
        <f t="shared" ca="1" si="267"/>
        <v>0.1</v>
      </c>
      <c r="B639" s="357">
        <f t="shared" ca="1" si="268"/>
        <v>18.499999999999932</v>
      </c>
      <c r="C639" s="342"/>
      <c r="D639" s="359">
        <f t="shared" ca="1" si="269"/>
        <v>-0.53344234578085059</v>
      </c>
      <c r="E639" s="360">
        <f t="shared" ca="1" si="270"/>
        <v>-10.424859221053369</v>
      </c>
      <c r="F639" s="357">
        <f t="shared" ca="1" si="271"/>
        <v>10.438498479908576</v>
      </c>
      <c r="G639" s="359">
        <f t="shared" ca="1" si="272"/>
        <v>39.495996531774331</v>
      </c>
      <c r="H639" s="360">
        <f t="shared" ca="1" si="273"/>
        <v>44.543090568224009</v>
      </c>
      <c r="I639" s="357">
        <f t="shared" ca="1" si="274"/>
        <v>59.531677780883491</v>
      </c>
      <c r="J639" s="359">
        <f t="shared" ca="1" si="275"/>
        <v>833.87054552747713</v>
      </c>
      <c r="K639" s="360">
        <f t="shared" ca="1" si="276"/>
        <v>2602.7743569451577</v>
      </c>
      <c r="L639" s="357">
        <f t="shared" ca="1" si="261"/>
        <v>2733.0888093637886</v>
      </c>
      <c r="M639" s="359">
        <f t="shared" ca="1" si="277"/>
        <v>0.84538262279597642</v>
      </c>
      <c r="N639" s="357">
        <f t="shared" ca="1" si="278"/>
        <v>48.436856359909505</v>
      </c>
      <c r="O639" s="343"/>
      <c r="P639" s="363">
        <f t="shared" ca="1" si="279"/>
        <v>23</v>
      </c>
      <c r="Q639" s="357">
        <f t="shared" ca="1" si="280"/>
        <v>0</v>
      </c>
      <c r="R639" s="359">
        <f t="shared" ca="1" si="281"/>
        <v>0</v>
      </c>
      <c r="S639" s="360">
        <f t="shared" ca="1" si="282"/>
        <v>9.637999999999975</v>
      </c>
      <c r="T639" s="357">
        <f t="shared" ca="1" si="262"/>
        <v>94.548779999999766</v>
      </c>
      <c r="U639" s="364">
        <f t="shared" ca="1" si="263"/>
        <v>0</v>
      </c>
      <c r="V639" s="359">
        <f t="shared" ca="1" si="264"/>
        <v>0.94287546635591513</v>
      </c>
      <c r="W639" s="357">
        <f t="shared" ca="1" si="265"/>
        <v>7.6304600536118254</v>
      </c>
      <c r="X639" s="343"/>
      <c r="Y639" s="367" t="str">
        <f t="shared" ca="1" si="283"/>
        <v/>
      </c>
      <c r="Z639" s="368" t="str">
        <f t="shared" ca="1" si="284"/>
        <v/>
      </c>
      <c r="AA639" s="369" t="str">
        <f t="shared" ca="1" si="285"/>
        <v/>
      </c>
      <c r="AB639" s="344"/>
      <c r="AC639" s="363" t="e">
        <f t="shared" ca="1" si="286"/>
        <v>#N/A</v>
      </c>
      <c r="AD639" s="376" t="e">
        <f t="shared" ca="1" si="287"/>
        <v>#N/A</v>
      </c>
      <c r="AE639" s="377">
        <f t="shared" ca="1" si="266"/>
        <v>2602.7743569451577</v>
      </c>
      <c r="AF639" s="344"/>
      <c r="AG639" s="359">
        <f t="shared" ca="1" si="288"/>
        <v>-8.2239529621436045</v>
      </c>
      <c r="AH639" s="357">
        <f t="shared" ca="1" si="289"/>
        <v>-0.81401019525957508</v>
      </c>
    </row>
    <row r="640" spans="1:34" x14ac:dyDescent="0.25">
      <c r="A640" s="402">
        <f t="shared" ca="1" si="267"/>
        <v>0.1</v>
      </c>
      <c r="B640" s="357">
        <f t="shared" ca="1" si="268"/>
        <v>18.599999999999934</v>
      </c>
      <c r="C640" s="342"/>
      <c r="D640" s="359">
        <f t="shared" ca="1" si="269"/>
        <v>-0.52525325785649579</v>
      </c>
      <c r="E640" s="360">
        <f t="shared" ca="1" si="270"/>
        <v>-10.402374050294803</v>
      </c>
      <c r="F640" s="357">
        <f t="shared" ca="1" si="271"/>
        <v>10.415626571029492</v>
      </c>
      <c r="G640" s="359">
        <f t="shared" ca="1" si="272"/>
        <v>39.443471205988679</v>
      </c>
      <c r="H640" s="360">
        <f t="shared" ca="1" si="273"/>
        <v>43.50285316319453</v>
      </c>
      <c r="I640" s="357">
        <f t="shared" ca="1" si="274"/>
        <v>58.722105327688332</v>
      </c>
      <c r="J640" s="359">
        <f t="shared" ca="1" si="275"/>
        <v>837.81751891436534</v>
      </c>
      <c r="K640" s="360">
        <f t="shared" ca="1" si="276"/>
        <v>2607.1766541317288</v>
      </c>
      <c r="L640" s="357">
        <f t="shared" ca="1" si="261"/>
        <v>2738.4864982046815</v>
      </c>
      <c r="M640" s="359">
        <f t="shared" ca="1" si="277"/>
        <v>0.83429901280955809</v>
      </c>
      <c r="N640" s="357">
        <f t="shared" ca="1" si="278"/>
        <v>47.801812285918686</v>
      </c>
      <c r="O640" s="343"/>
      <c r="P640" s="363">
        <f t="shared" ca="1" si="279"/>
        <v>23</v>
      </c>
      <c r="Q640" s="357">
        <f t="shared" ca="1" si="280"/>
        <v>0</v>
      </c>
      <c r="R640" s="359">
        <f t="shared" ca="1" si="281"/>
        <v>0</v>
      </c>
      <c r="S640" s="360">
        <f t="shared" ca="1" si="282"/>
        <v>9.637999999999975</v>
      </c>
      <c r="T640" s="357">
        <f t="shared" ca="1" si="262"/>
        <v>94.548779999999766</v>
      </c>
      <c r="U640" s="364">
        <f t="shared" ca="1" si="263"/>
        <v>0</v>
      </c>
      <c r="V640" s="359">
        <f t="shared" ca="1" si="264"/>
        <v>0.94245331580556602</v>
      </c>
      <c r="W640" s="357">
        <f t="shared" ca="1" si="265"/>
        <v>7.4210135539026494</v>
      </c>
      <c r="X640" s="343"/>
      <c r="Y640" s="367" t="str">
        <f t="shared" ca="1" si="283"/>
        <v/>
      </c>
      <c r="Z640" s="368" t="str">
        <f t="shared" ca="1" si="284"/>
        <v/>
      </c>
      <c r="AA640" s="369" t="str">
        <f t="shared" ca="1" si="285"/>
        <v/>
      </c>
      <c r="AB640" s="344"/>
      <c r="AC640" s="363" t="e">
        <f t="shared" ca="1" si="286"/>
        <v>#N/A</v>
      </c>
      <c r="AD640" s="376" t="e">
        <f t="shared" ca="1" si="287"/>
        <v>#N/A</v>
      </c>
      <c r="AE640" s="377">
        <f t="shared" ca="1" si="266"/>
        <v>2607.1766541317288</v>
      </c>
      <c r="AF640" s="344"/>
      <c r="AG640" s="359">
        <f t="shared" ca="1" si="288"/>
        <v>-8.131793161940406</v>
      </c>
      <c r="AH640" s="357">
        <f t="shared" ca="1" si="289"/>
        <v>-0.79170575364306339</v>
      </c>
    </row>
    <row r="641" spans="1:34" x14ac:dyDescent="0.25">
      <c r="A641" s="402">
        <f t="shared" ca="1" si="267"/>
        <v>0.1</v>
      </c>
      <c r="B641" s="357">
        <f t="shared" ca="1" si="268"/>
        <v>18.699999999999935</v>
      </c>
      <c r="C641" s="342"/>
      <c r="D641" s="359">
        <f t="shared" ca="1" si="269"/>
        <v>-0.51718963548055308</v>
      </c>
      <c r="E641" s="360">
        <f t="shared" ca="1" si="270"/>
        <v>-10.380416955757703</v>
      </c>
      <c r="F641" s="357">
        <f t="shared" ca="1" si="271"/>
        <v>10.393293091914156</v>
      </c>
      <c r="G641" s="359">
        <f t="shared" ca="1" si="272"/>
        <v>39.391752242440624</v>
      </c>
      <c r="H641" s="360">
        <f t="shared" ca="1" si="273"/>
        <v>42.464811467618759</v>
      </c>
      <c r="I641" s="357">
        <f t="shared" ca="1" si="274"/>
        <v>57.922105950234851</v>
      </c>
      <c r="J641" s="359">
        <f t="shared" ca="1" si="275"/>
        <v>841.75928008678682</v>
      </c>
      <c r="K641" s="360">
        <f t="shared" ca="1" si="276"/>
        <v>2611.4750373632696</v>
      </c>
      <c r="L641" s="357">
        <f t="shared" ca="1" si="261"/>
        <v>2743.7858073078</v>
      </c>
      <c r="M641" s="359">
        <f t="shared" ca="1" si="277"/>
        <v>0.82292254239005946</v>
      </c>
      <c r="N641" s="357">
        <f t="shared" ca="1" si="278"/>
        <v>47.149988545125986</v>
      </c>
      <c r="O641" s="343"/>
      <c r="P641" s="363">
        <f t="shared" ca="1" si="279"/>
        <v>23</v>
      </c>
      <c r="Q641" s="357">
        <f t="shared" ca="1" si="280"/>
        <v>0</v>
      </c>
      <c r="R641" s="359">
        <f t="shared" ca="1" si="281"/>
        <v>0</v>
      </c>
      <c r="S641" s="360">
        <f t="shared" ca="1" si="282"/>
        <v>9.637999999999975</v>
      </c>
      <c r="T641" s="357">
        <f t="shared" ca="1" si="262"/>
        <v>94.548779999999766</v>
      </c>
      <c r="U641" s="364">
        <f t="shared" ca="1" si="263"/>
        <v>0</v>
      </c>
      <c r="V641" s="359">
        <f t="shared" ca="1" si="264"/>
        <v>0.94204128850648838</v>
      </c>
      <c r="W641" s="357">
        <f t="shared" ca="1" si="265"/>
        <v>7.2170342755316828</v>
      </c>
      <c r="X641" s="343"/>
      <c r="Y641" s="367" t="str">
        <f t="shared" ca="1" si="283"/>
        <v/>
      </c>
      <c r="Z641" s="368" t="str">
        <f t="shared" ca="1" si="284"/>
        <v/>
      </c>
      <c r="AA641" s="369" t="str">
        <f t="shared" ca="1" si="285"/>
        <v/>
      </c>
      <c r="AB641" s="344"/>
      <c r="AC641" s="363" t="e">
        <f t="shared" ca="1" si="286"/>
        <v>#N/A</v>
      </c>
      <c r="AD641" s="376" t="e">
        <f t="shared" ca="1" si="287"/>
        <v>#N/A</v>
      </c>
      <c r="AE641" s="377">
        <f t="shared" ca="1" si="266"/>
        <v>2611.4750373632696</v>
      </c>
      <c r="AF641" s="344"/>
      <c r="AG641" s="359">
        <f t="shared" ca="1" si="288"/>
        <v>-8.0374759464155456</v>
      </c>
      <c r="AH641" s="357">
        <f t="shared" ca="1" si="289"/>
        <v>-0.76997442974711228</v>
      </c>
    </row>
    <row r="642" spans="1:34" x14ac:dyDescent="0.25">
      <c r="A642" s="402">
        <f t="shared" ca="1" si="267"/>
        <v>0.1</v>
      </c>
      <c r="B642" s="357">
        <f t="shared" ca="1" si="268"/>
        <v>18.799999999999937</v>
      </c>
      <c r="C642" s="342"/>
      <c r="D642" s="359">
        <f t="shared" ca="1" si="269"/>
        <v>-0.50925206878173634</v>
      </c>
      <c r="E642" s="360">
        <f t="shared" ca="1" si="270"/>
        <v>-10.35898022705911</v>
      </c>
      <c r="F642" s="357">
        <f t="shared" ca="1" si="271"/>
        <v>10.371490202191779</v>
      </c>
      <c r="G642" s="359">
        <f t="shared" ca="1" si="272"/>
        <v>39.340827035562448</v>
      </c>
      <c r="H642" s="360">
        <f t="shared" ca="1" si="273"/>
        <v>41.428913444912851</v>
      </c>
      <c r="I642" s="357">
        <f t="shared" ca="1" si="274"/>
        <v>57.131913507847102</v>
      </c>
      <c r="J642" s="359">
        <f t="shared" ca="1" si="275"/>
        <v>845.69590905068696</v>
      </c>
      <c r="K642" s="360">
        <f t="shared" ca="1" si="276"/>
        <v>2615.6697236088962</v>
      </c>
      <c r="L642" s="357">
        <f t="shared" ca="1" si="261"/>
        <v>2748.9870268135692</v>
      </c>
      <c r="M642" s="359">
        <f t="shared" ca="1" si="277"/>
        <v>0.81124474154962578</v>
      </c>
      <c r="N642" s="357">
        <f t="shared" ca="1" si="278"/>
        <v>46.480899842974814</v>
      </c>
      <c r="O642" s="343"/>
      <c r="P642" s="363">
        <f t="shared" ca="1" si="279"/>
        <v>23</v>
      </c>
      <c r="Q642" s="357">
        <f t="shared" ca="1" si="280"/>
        <v>0</v>
      </c>
      <c r="R642" s="359">
        <f t="shared" ca="1" si="281"/>
        <v>0</v>
      </c>
      <c r="S642" s="360">
        <f t="shared" ca="1" si="282"/>
        <v>9.637999999999975</v>
      </c>
      <c r="T642" s="357">
        <f t="shared" ca="1" si="262"/>
        <v>94.548779999999766</v>
      </c>
      <c r="U642" s="364">
        <f t="shared" ca="1" si="263"/>
        <v>0</v>
      </c>
      <c r="V642" s="359">
        <f t="shared" ca="1" si="264"/>
        <v>0.94163935222082074</v>
      </c>
      <c r="W642" s="357">
        <f t="shared" ca="1" si="265"/>
        <v>7.0184673300172777</v>
      </c>
      <c r="X642" s="343"/>
      <c r="Y642" s="367" t="str">
        <f t="shared" ca="1" si="283"/>
        <v/>
      </c>
      <c r="Z642" s="368" t="str">
        <f t="shared" ca="1" si="284"/>
        <v/>
      </c>
      <c r="AA642" s="369" t="str">
        <f t="shared" ca="1" si="285"/>
        <v/>
      </c>
      <c r="AB642" s="344"/>
      <c r="AC642" s="363" t="e">
        <f t="shared" ca="1" si="286"/>
        <v>#N/A</v>
      </c>
      <c r="AD642" s="376" t="e">
        <f t="shared" ca="1" si="287"/>
        <v>#N/A</v>
      </c>
      <c r="AE642" s="377">
        <f t="shared" ca="1" si="266"/>
        <v>2615.6697236088962</v>
      </c>
      <c r="AF642" s="344"/>
      <c r="AG642" s="359">
        <f t="shared" ca="1" si="288"/>
        <v>-7.9408796713371448</v>
      </c>
      <c r="AH642" s="357">
        <f t="shared" ca="1" si="289"/>
        <v>-0.7488103626822683</v>
      </c>
    </row>
    <row r="643" spans="1:34" x14ac:dyDescent="0.25">
      <c r="A643" s="402">
        <f t="shared" ca="1" si="267"/>
        <v>0.1</v>
      </c>
      <c r="B643" s="357">
        <f t="shared" ca="1" si="268"/>
        <v>18.899999999999938</v>
      </c>
      <c r="C643" s="342"/>
      <c r="D643" s="359">
        <f t="shared" ca="1" si="269"/>
        <v>-0.50144127172622821</v>
      </c>
      <c r="E643" s="360">
        <f t="shared" ca="1" si="270"/>
        <v>-10.338056185124781</v>
      </c>
      <c r="F643" s="357">
        <f t="shared" ca="1" si="271"/>
        <v>10.350210096214818</v>
      </c>
      <c r="G643" s="359">
        <f t="shared" ca="1" si="272"/>
        <v>39.290682908389826</v>
      </c>
      <c r="H643" s="360">
        <f t="shared" ca="1" si="273"/>
        <v>40.39510782640037</v>
      </c>
      <c r="I643" s="357">
        <f t="shared" ca="1" si="274"/>
        <v>56.351774592413221</v>
      </c>
      <c r="J643" s="359">
        <f t="shared" ca="1" si="275"/>
        <v>849.62748454788459</v>
      </c>
      <c r="K643" s="360">
        <f t="shared" ca="1" si="276"/>
        <v>2619.7609246724619</v>
      </c>
      <c r="L643" s="357">
        <f t="shared" ca="1" si="261"/>
        <v>2754.0904424037853</v>
      </c>
      <c r="M643" s="359">
        <f t="shared" ca="1" si="277"/>
        <v>0.79925702328569637</v>
      </c>
      <c r="N643" s="357">
        <f t="shared" ca="1" si="278"/>
        <v>45.79405418045976</v>
      </c>
      <c r="O643" s="343"/>
      <c r="P643" s="363">
        <f t="shared" ca="1" si="279"/>
        <v>23</v>
      </c>
      <c r="Q643" s="357">
        <f t="shared" ca="1" si="280"/>
        <v>0</v>
      </c>
      <c r="R643" s="359">
        <f t="shared" ca="1" si="281"/>
        <v>0</v>
      </c>
      <c r="S643" s="360">
        <f t="shared" ca="1" si="282"/>
        <v>9.637999999999975</v>
      </c>
      <c r="T643" s="357">
        <f t="shared" ca="1" si="262"/>
        <v>94.548779999999766</v>
      </c>
      <c r="U643" s="364">
        <f t="shared" ca="1" si="263"/>
        <v>0</v>
      </c>
      <c r="V643" s="359">
        <f t="shared" ca="1" si="264"/>
        <v>0.94124747552275623</v>
      </c>
      <c r="W643" s="357">
        <f t="shared" ca="1" si="265"/>
        <v>6.8252593928958607</v>
      </c>
      <c r="X643" s="343"/>
      <c r="Y643" s="367" t="str">
        <f t="shared" ca="1" si="283"/>
        <v/>
      </c>
      <c r="Z643" s="368" t="str">
        <f t="shared" ca="1" si="284"/>
        <v/>
      </c>
      <c r="AA643" s="369" t="str">
        <f t="shared" ca="1" si="285"/>
        <v/>
      </c>
      <c r="AB643" s="344"/>
      <c r="AC643" s="363" t="e">
        <f t="shared" ca="1" si="286"/>
        <v>#N/A</v>
      </c>
      <c r="AD643" s="376" t="e">
        <f t="shared" ca="1" si="287"/>
        <v>#N/A</v>
      </c>
      <c r="AE643" s="377">
        <f t="shared" ca="1" si="266"/>
        <v>2619.7609246724619</v>
      </c>
      <c r="AF643" s="344"/>
      <c r="AG643" s="359">
        <f t="shared" ca="1" si="288"/>
        <v>-7.8418789379445251</v>
      </c>
      <c r="AH643" s="357">
        <f t="shared" ca="1" si="289"/>
        <v>-0.72820785744109728</v>
      </c>
    </row>
    <row r="644" spans="1:34" x14ac:dyDescent="0.25">
      <c r="A644" s="402">
        <f t="shared" ca="1" si="267"/>
        <v>0.1</v>
      </c>
      <c r="B644" s="357">
        <f t="shared" ca="1" si="268"/>
        <v>18.99999999999994</v>
      </c>
      <c r="C644" s="342"/>
      <c r="D644" s="359">
        <f t="shared" ca="1" si="269"/>
        <v>-0.4937580844893561</v>
      </c>
      <c r="E644" s="360">
        <f t="shared" ca="1" si="270"/>
        <v>-10.317637169595885</v>
      </c>
      <c r="F644" s="357">
        <f t="shared" ca="1" si="271"/>
        <v>10.329444990386714</v>
      </c>
      <c r="G644" s="359">
        <f t="shared" ca="1" si="272"/>
        <v>39.24130709994089</v>
      </c>
      <c r="H644" s="360">
        <f t="shared" ca="1" si="273"/>
        <v>39.363344109440781</v>
      </c>
      <c r="I644" s="357">
        <f t="shared" ca="1" si="274"/>
        <v>55.581948889815997</v>
      </c>
      <c r="J644" s="359">
        <f t="shared" ca="1" si="275"/>
        <v>853.55408404830109</v>
      </c>
      <c r="K644" s="360">
        <f t="shared" ca="1" si="276"/>
        <v>2623.7488472692539</v>
      </c>
      <c r="L644" s="357">
        <f t="shared" ref="L644:L707" ca="1" si="290">SQRT(pos_x^2+pos_z^2)</f>
        <v>2759.0963353863294</v>
      </c>
      <c r="M644" s="359">
        <f t="shared" ca="1" si="277"/>
        <v>0.78695070398595446</v>
      </c>
      <c r="N644" s="357">
        <f t="shared" ca="1" si="278"/>
        <v>45.088954023244163</v>
      </c>
      <c r="O644" s="343"/>
      <c r="P644" s="363">
        <f t="shared" ca="1" si="279"/>
        <v>23</v>
      </c>
      <c r="Q644" s="357">
        <f t="shared" ca="1" si="280"/>
        <v>0</v>
      </c>
      <c r="R644" s="359">
        <f t="shared" ca="1" si="281"/>
        <v>0</v>
      </c>
      <c r="S644" s="360">
        <f t="shared" ca="1" si="282"/>
        <v>9.637999999999975</v>
      </c>
      <c r="T644" s="357">
        <f t="shared" ref="T644:T707" ca="1" si="291">m*g</f>
        <v>94.548779999999766</v>
      </c>
      <c r="U644" s="364">
        <f t="shared" ref="U644:U707" ca="1" si="292">IF(pos_xz&lt;L_rampe,Poids*COS(Beta),0)</f>
        <v>0</v>
      </c>
      <c r="V644" s="359">
        <f t="shared" ref="V644:V707" ca="1" si="293">Rho_moyen*(20000-Alt_rampe-pos_z)/(20000+Alt_rampe+pos_z)</f>
        <v>0.94086562778760841</v>
      </c>
      <c r="W644" s="357">
        <f t="shared" ref="W644:W707" ca="1" si="294">1/2*Rho*Sref*Cx*vit_xz^2</f>
        <v>6.6373586698219427</v>
      </c>
      <c r="X644" s="343"/>
      <c r="Y644" s="367" t="str">
        <f t="shared" ca="1" si="283"/>
        <v/>
      </c>
      <c r="Z644" s="368" t="str">
        <f t="shared" ca="1" si="284"/>
        <v/>
      </c>
      <c r="AA644" s="369" t="str">
        <f t="shared" ca="1" si="285"/>
        <v/>
      </c>
      <c r="AB644" s="344"/>
      <c r="AC644" s="363">
        <f t="shared" ca="1" si="286"/>
        <v>18.99999999999994</v>
      </c>
      <c r="AD644" s="376">
        <f t="shared" ca="1" si="287"/>
        <v>853.55408404830109</v>
      </c>
      <c r="AE644" s="377">
        <f t="shared" ref="AE644:AE707" ca="1" si="295">IF(t&lt;T_para, pos_z, NA())</f>
        <v>2623.7488472692539</v>
      </c>
      <c r="AF644" s="344"/>
      <c r="AG644" s="359">
        <f t="shared" ca="1" si="288"/>
        <v>-7.7403446735349419</v>
      </c>
      <c r="AH644" s="357">
        <f t="shared" ca="1" si="289"/>
        <v>-0.70816138129237172</v>
      </c>
    </row>
    <row r="645" spans="1:34" x14ac:dyDescent="0.25">
      <c r="A645" s="402">
        <f t="shared" ref="A645:A708" ca="1" si="296">IF(B644+0.01&lt;=T_ini+ROUNDUP(Temps_fin_propu,0), 0.01, IF(K644&gt;0, 0.1, 0.0001))</f>
        <v>0.1</v>
      </c>
      <c r="B645" s="357">
        <f t="shared" ref="B645:B708" ca="1" si="297">B644+pas</f>
        <v>19.099999999999941</v>
      </c>
      <c r="C645" s="342"/>
      <c r="D645" s="359">
        <f t="shared" ref="D645:D708" ca="1" si="298">IF(AND(L644&lt;L_rampe,Poussee&lt;Poids*SIN(M644)),0,(-W644+Poussee)/m*COS(M644)-U644/m*SIN(M644))</f>
        <v>-0.48620347575494793</v>
      </c>
      <c r="E645" s="360">
        <f t="shared" ref="E645:E708" ca="1" si="299">IF(AND(L644&lt;L_rampe,Poussee&lt;Poids*SIN(M644)),0,(-W644+Poussee)/m*SIN(M644)+U644/m*COS(M644)-Poids/m)</f>
        <v>-10.297715525749574</v>
      </c>
      <c r="F645" s="357">
        <f t="shared" ref="F645:F708" ca="1" si="300">SQRT(acc_x^2+acc_z^2)</f>
        <v>10.309187110005329</v>
      </c>
      <c r="G645" s="359">
        <f t="shared" ref="G645:G708" ca="1" si="301">G644+acc_x*pas</f>
        <v>39.192686752365397</v>
      </c>
      <c r="H645" s="360">
        <f t="shared" ref="H645:H708" ca="1" si="302">H644+acc_z*pas</f>
        <v>38.333572556865825</v>
      </c>
      <c r="I645" s="357">
        <f t="shared" ref="I645:I708" ca="1" si="303">SQRT(vit_x^2+vit_z^2)</f>
        <v>54.822709526632615</v>
      </c>
      <c r="J645" s="359">
        <f t="shared" ref="J645:J708" ca="1" si="304">J644+0.5*(vit_x+G644)*pas*(K644&gt;=0)</f>
        <v>857.47578374091643</v>
      </c>
      <c r="K645" s="360">
        <f t="shared" ref="K645:K708" ca="1" si="305">K644+0.5*(vit_z+H644)*pas</f>
        <v>2627.6336931025694</v>
      </c>
      <c r="L645" s="357">
        <f t="shared" ca="1" si="290"/>
        <v>2764.0049827795074</v>
      </c>
      <c r="M645" s="359">
        <f t="shared" ref="M645:M708" ca="1" si="306">IF(AND(L644&gt;L_rampe,G645&gt;0),ATAN2(G645,H645),$M$4)</f>
        <v>0.77431702729117324</v>
      </c>
      <c r="N645" s="357">
        <f t="shared" ref="N645:N708" ca="1" si="307">DEGREES(Beta)</f>
        <v>44.365097668900411</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9.637999999999975</v>
      </c>
      <c r="T645" s="357">
        <f t="shared" ca="1" si="291"/>
        <v>94.548779999999766</v>
      </c>
      <c r="U645" s="364">
        <f t="shared" ca="1" si="292"/>
        <v>0</v>
      </c>
      <c r="V645" s="359">
        <f t="shared" ca="1" si="293"/>
        <v>0.94049377918099963</v>
      </c>
      <c r="W645" s="357">
        <f t="shared" ca="1" si="294"/>
        <v>6.4547148634730931</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f t="shared" ca="1" si="295"/>
        <v>2627.6336931025694</v>
      </c>
      <c r="AF645" s="344"/>
      <c r="AG645" s="359">
        <f t="shared" ref="AG645:AG708" ca="1" si="317">IF(AND(L644&lt;L_rampe,Poussee&lt;Poids*SIN(M644)),0,(-W644+Poussee)/m-Poids*SIN(M644)/m)</f>
        <v>-7.636144254814651</v>
      </c>
      <c r="AH645" s="357">
        <f t="shared" ref="AH645:AH708" ca="1" si="318">IF(AND(L644&lt;L_rampe,Poussee&lt;Poids*SIN(M644)), g*SIN(M644), (-W644+Poussee)/m)</f>
        <v>-0.68866556026374348</v>
      </c>
    </row>
    <row r="646" spans="1:34" x14ac:dyDescent="0.25">
      <c r="A646" s="402">
        <f t="shared" ca="1" si="296"/>
        <v>0.1</v>
      </c>
      <c r="B646" s="357">
        <f t="shared" ca="1" si="297"/>
        <v>19.199999999999942</v>
      </c>
      <c r="C646" s="342"/>
      <c r="D646" s="359">
        <f t="shared" ca="1" si="298"/>
        <v>-0.47877854490346655</v>
      </c>
      <c r="E646" s="360">
        <f t="shared" ca="1" si="299"/>
        <v>-10.27828359090794</v>
      </c>
      <c r="F646" s="357">
        <f t="shared" ca="1" si="300"/>
        <v>10.289428675596486</v>
      </c>
      <c r="G646" s="359">
        <f t="shared" ca="1" si="301"/>
        <v>39.144808897875052</v>
      </c>
      <c r="H646" s="360">
        <f t="shared" ca="1" si="302"/>
        <v>37.305744197775027</v>
      </c>
      <c r="I646" s="357">
        <f t="shared" ca="1" si="303"/>
        <v>54.074343396854879</v>
      </c>
      <c r="J646" s="359">
        <f t="shared" ca="1" si="304"/>
        <v>861.39265852342839</v>
      </c>
      <c r="K646" s="360">
        <f t="shared" ca="1" si="305"/>
        <v>2631.4156589403015</v>
      </c>
      <c r="L646" s="357">
        <f t="shared" ca="1" si="290"/>
        <v>2768.8166573961303</v>
      </c>
      <c r="M646" s="359">
        <f t="shared" ca="1" si="306"/>
        <v>0.76134719175481436</v>
      </c>
      <c r="N646" s="357">
        <f t="shared" ca="1" si="307"/>
        <v>43.621980831688248</v>
      </c>
      <c r="O646" s="343"/>
      <c r="P646" s="363">
        <f t="shared" ca="1" si="308"/>
        <v>23</v>
      </c>
      <c r="Q646" s="357">
        <f t="shared" ca="1" si="309"/>
        <v>0</v>
      </c>
      <c r="R646" s="359">
        <f t="shared" ca="1" si="310"/>
        <v>0</v>
      </c>
      <c r="S646" s="360">
        <f t="shared" ca="1" si="311"/>
        <v>9.637999999999975</v>
      </c>
      <c r="T646" s="357">
        <f t="shared" ca="1" si="291"/>
        <v>94.548779999999766</v>
      </c>
      <c r="U646" s="364">
        <f t="shared" ca="1" si="292"/>
        <v>0</v>
      </c>
      <c r="V646" s="359">
        <f t="shared" ca="1" si="293"/>
        <v>0.94013190064816243</v>
      </c>
      <c r="W646" s="357">
        <f t="shared" ca="1" si="294"/>
        <v>6.2772791412125013</v>
      </c>
      <c r="X646" s="343"/>
      <c r="Y646" s="367" t="str">
        <f t="shared" ca="1" si="312"/>
        <v/>
      </c>
      <c r="Z646" s="368" t="str">
        <f t="shared" ca="1" si="313"/>
        <v/>
      </c>
      <c r="AA646" s="369" t="str">
        <f t="shared" ca="1" si="314"/>
        <v/>
      </c>
      <c r="AB646" s="344"/>
      <c r="AC646" s="363" t="e">
        <f t="shared" ca="1" si="315"/>
        <v>#N/A</v>
      </c>
      <c r="AD646" s="376" t="e">
        <f t="shared" ca="1" si="316"/>
        <v>#N/A</v>
      </c>
      <c r="AE646" s="377">
        <f t="shared" ca="1" si="295"/>
        <v>2631.4156589403015</v>
      </c>
      <c r="AF646" s="344"/>
      <c r="AG646" s="359">
        <f t="shared" ca="1" si="317"/>
        <v>-7.5291416803422875</v>
      </c>
      <c r="AH646" s="357">
        <f t="shared" ca="1" si="318"/>
        <v>-0.66971517570793837</v>
      </c>
    </row>
    <row r="647" spans="1:34" x14ac:dyDescent="0.25">
      <c r="A647" s="402">
        <f t="shared" ca="1" si="296"/>
        <v>0.1</v>
      </c>
      <c r="B647" s="357">
        <f t="shared" ca="1" si="297"/>
        <v>19.299999999999944</v>
      </c>
      <c r="C647" s="342"/>
      <c r="D647" s="359">
        <f t="shared" ca="1" si="298"/>
        <v>-0.47148452404462476</v>
      </c>
      <c r="E647" s="360">
        <f t="shared" ca="1" si="299"/>
        <v>-10.259333680312674</v>
      </c>
      <c r="F647" s="357">
        <f t="shared" ca="1" si="300"/>
        <v>10.270161888714879</v>
      </c>
      <c r="G647" s="359">
        <f t="shared" ca="1" si="301"/>
        <v>39.097660445470588</v>
      </c>
      <c r="H647" s="360">
        <f t="shared" ca="1" si="302"/>
        <v>36.279810829743759</v>
      </c>
      <c r="I647" s="357">
        <f t="shared" ca="1" si="303"/>
        <v>53.337151462665382</v>
      </c>
      <c r="J647" s="359">
        <f t="shared" ca="1" si="304"/>
        <v>865.30478199059564</v>
      </c>
      <c r="K647" s="360">
        <f t="shared" ca="1" si="305"/>
        <v>2635.0949366916775</v>
      </c>
      <c r="L647" s="357">
        <f t="shared" ca="1" si="290"/>
        <v>2773.5316279274534</v>
      </c>
      <c r="M647" s="359">
        <f t="shared" ca="1" si="306"/>
        <v>0.74803238265014205</v>
      </c>
      <c r="N647" s="357">
        <f t="shared" ca="1" si="307"/>
        <v>42.859098464968163</v>
      </c>
      <c r="O647" s="343"/>
      <c r="P647" s="363">
        <f t="shared" ca="1" si="308"/>
        <v>23</v>
      </c>
      <c r="Q647" s="357">
        <f t="shared" ca="1" si="309"/>
        <v>0</v>
      </c>
      <c r="R647" s="359">
        <f t="shared" ca="1" si="310"/>
        <v>0</v>
      </c>
      <c r="S647" s="360">
        <f t="shared" ca="1" si="311"/>
        <v>9.637999999999975</v>
      </c>
      <c r="T647" s="357">
        <f t="shared" ca="1" si="291"/>
        <v>94.548779999999766</v>
      </c>
      <c r="U647" s="364">
        <f t="shared" ca="1" si="292"/>
        <v>0</v>
      </c>
      <c r="V647" s="359">
        <f t="shared" ca="1" si="293"/>
        <v>0.93977996390333651</v>
      </c>
      <c r="W647" s="357">
        <f t="shared" ca="1" si="294"/>
        <v>6.1050041034616136</v>
      </c>
      <c r="X647" s="343"/>
      <c r="Y647" s="367" t="str">
        <f t="shared" ca="1" si="312"/>
        <v/>
      </c>
      <c r="Z647" s="368" t="str">
        <f t="shared" ca="1" si="313"/>
        <v/>
      </c>
      <c r="AA647" s="369" t="str">
        <f t="shared" ca="1" si="314"/>
        <v/>
      </c>
      <c r="AB647" s="344"/>
      <c r="AC647" s="363" t="e">
        <f t="shared" ca="1" si="315"/>
        <v>#N/A</v>
      </c>
      <c r="AD647" s="376" t="e">
        <f t="shared" ca="1" si="316"/>
        <v>#N/A</v>
      </c>
      <c r="AE647" s="377">
        <f t="shared" ca="1" si="295"/>
        <v>2635.0949366916775</v>
      </c>
      <c r="AF647" s="344"/>
      <c r="AG647" s="359">
        <f t="shared" ca="1" si="317"/>
        <v>-7.4191977989459819</v>
      </c>
      <c r="AH647" s="357">
        <f t="shared" ca="1" si="318"/>
        <v>-0.6513051609475532</v>
      </c>
    </row>
    <row r="648" spans="1:34" x14ac:dyDescent="0.25">
      <c r="A648" s="402">
        <f t="shared" ca="1" si="296"/>
        <v>0.1</v>
      </c>
      <c r="B648" s="357">
        <f t="shared" ca="1" si="297"/>
        <v>19.399999999999945</v>
      </c>
      <c r="C648" s="342"/>
      <c r="D648" s="359">
        <f t="shared" ca="1" si="298"/>
        <v>-0.46432277984432069</v>
      </c>
      <c r="E648" s="360">
        <f t="shared" ca="1" si="299"/>
        <v>-10.240858072446231</v>
      </c>
      <c r="F648" s="357">
        <f t="shared" ca="1" si="300"/>
        <v>10.251378917193017</v>
      </c>
      <c r="G648" s="359">
        <f t="shared" ca="1" si="301"/>
        <v>39.051228167486158</v>
      </c>
      <c r="H648" s="360">
        <f t="shared" ca="1" si="302"/>
        <v>35.255725022499135</v>
      </c>
      <c r="I648" s="357">
        <f t="shared" ca="1" si="303"/>
        <v>52.611449022538203</v>
      </c>
      <c r="J648" s="359">
        <f t="shared" ca="1" si="304"/>
        <v>869.21222642124349</v>
      </c>
      <c r="K648" s="360">
        <f t="shared" ca="1" si="305"/>
        <v>2638.6717134842897</v>
      </c>
      <c r="L648" s="357">
        <f t="shared" ca="1" si="290"/>
        <v>2778.1501590270987</v>
      </c>
      <c r="M648" s="359">
        <f t="shared" ca="1" si="306"/>
        <v>0.73436380828326953</v>
      </c>
      <c r="N648" s="357">
        <f t="shared" ca="1" si="307"/>
        <v>42.075946841785665</v>
      </c>
      <c r="O648" s="343"/>
      <c r="P648" s="363">
        <f t="shared" ca="1" si="308"/>
        <v>23</v>
      </c>
      <c r="Q648" s="357">
        <f t="shared" ca="1" si="309"/>
        <v>0</v>
      </c>
      <c r="R648" s="359">
        <f t="shared" ca="1" si="310"/>
        <v>0</v>
      </c>
      <c r="S648" s="360">
        <f t="shared" ca="1" si="311"/>
        <v>9.637999999999975</v>
      </c>
      <c r="T648" s="357">
        <f t="shared" ca="1" si="291"/>
        <v>94.548779999999766</v>
      </c>
      <c r="U648" s="364">
        <f t="shared" ca="1" si="292"/>
        <v>0</v>
      </c>
      <c r="V648" s="359">
        <f t="shared" ca="1" si="293"/>
        <v>0.93943794141924375</v>
      </c>
      <c r="W648" s="357">
        <f t="shared" ca="1" si="294"/>
        <v>5.9378437527355334</v>
      </c>
      <c r="X648" s="343"/>
      <c r="Y648" s="367" t="str">
        <f t="shared" ca="1" si="312"/>
        <v/>
      </c>
      <c r="Z648" s="368" t="str">
        <f t="shared" ca="1" si="313"/>
        <v/>
      </c>
      <c r="AA648" s="369" t="str">
        <f t="shared" ca="1" si="314"/>
        <v/>
      </c>
      <c r="AB648" s="344"/>
      <c r="AC648" s="363" t="e">
        <f t="shared" ca="1" si="315"/>
        <v>#N/A</v>
      </c>
      <c r="AD648" s="376" t="e">
        <f t="shared" ca="1" si="316"/>
        <v>#N/A</v>
      </c>
      <c r="AE648" s="377">
        <f t="shared" ca="1" si="295"/>
        <v>2638.6717134842897</v>
      </c>
      <c r="AF648" s="344"/>
      <c r="AG648" s="359">
        <f t="shared" ca="1" si="317"/>
        <v>-7.3061706015332852</v>
      </c>
      <c r="AH648" s="357">
        <f t="shared" ca="1" si="318"/>
        <v>-0.63343059799352863</v>
      </c>
    </row>
    <row r="649" spans="1:34" x14ac:dyDescent="0.25">
      <c r="A649" s="402">
        <f t="shared" ca="1" si="296"/>
        <v>0.1</v>
      </c>
      <c r="B649" s="357">
        <f t="shared" ca="1" si="297"/>
        <v>19.499999999999947</v>
      </c>
      <c r="C649" s="342"/>
      <c r="D649" s="359">
        <f t="shared" ca="1" si="298"/>
        <v>-0.4572948150894745</v>
      </c>
      <c r="E649" s="360">
        <f t="shared" ca="1" si="299"/>
        <v>-10.222848993784847</v>
      </c>
      <c r="F649" s="357">
        <f t="shared" ca="1" si="300"/>
        <v>10.233071879823555</v>
      </c>
      <c r="G649" s="359">
        <f t="shared" ca="1" si="301"/>
        <v>39.005498685977209</v>
      </c>
      <c r="H649" s="360">
        <f t="shared" ca="1" si="302"/>
        <v>34.233440123120651</v>
      </c>
      <c r="I649" s="357">
        <f t="shared" ca="1" si="303"/>
        <v>51.89756593911757</v>
      </c>
      <c r="J649" s="359">
        <f t="shared" ca="1" si="304"/>
        <v>873.11506276391663</v>
      </c>
      <c r="K649" s="360">
        <f t="shared" ca="1" si="305"/>
        <v>2642.1461717415709</v>
      </c>
      <c r="L649" s="357">
        <f t="shared" ca="1" si="290"/>
        <v>2782.6725113950934</v>
      </c>
      <c r="M649" s="359">
        <f t="shared" ca="1" si="306"/>
        <v>0.72033274117260127</v>
      </c>
      <c r="N649" s="357">
        <f t="shared" ca="1" si="307"/>
        <v>41.27202591427956</v>
      </c>
      <c r="O649" s="343"/>
      <c r="P649" s="363">
        <f t="shared" ca="1" si="308"/>
        <v>23</v>
      </c>
      <c r="Q649" s="357">
        <f t="shared" ca="1" si="309"/>
        <v>0</v>
      </c>
      <c r="R649" s="359">
        <f t="shared" ca="1" si="310"/>
        <v>0</v>
      </c>
      <c r="S649" s="360">
        <f t="shared" ca="1" si="311"/>
        <v>9.637999999999975</v>
      </c>
      <c r="T649" s="357">
        <f t="shared" ca="1" si="291"/>
        <v>94.548779999999766</v>
      </c>
      <c r="U649" s="364">
        <f t="shared" ca="1" si="292"/>
        <v>0</v>
      </c>
      <c r="V649" s="359">
        <f t="shared" ca="1" si="293"/>
        <v>0.93910580641663</v>
      </c>
      <c r="W649" s="357">
        <f t="shared" ca="1" si="294"/>
        <v>5.775753463293797</v>
      </c>
      <c r="X649" s="343"/>
      <c r="Y649" s="367" t="str">
        <f t="shared" ca="1" si="312"/>
        <v/>
      </c>
      <c r="Z649" s="368" t="str">
        <f t="shared" ca="1" si="313"/>
        <v/>
      </c>
      <c r="AA649" s="369" t="str">
        <f t="shared" ca="1" si="314"/>
        <v/>
      </c>
      <c r="AB649" s="344"/>
      <c r="AC649" s="363" t="e">
        <f t="shared" ca="1" si="315"/>
        <v>#N/A</v>
      </c>
      <c r="AD649" s="376" t="e">
        <f t="shared" ca="1" si="316"/>
        <v>#N/A</v>
      </c>
      <c r="AE649" s="377">
        <f t="shared" ca="1" si="295"/>
        <v>2642.1461717415709</v>
      </c>
      <c r="AF649" s="344"/>
      <c r="AG649" s="359">
        <f t="shared" ca="1" si="317"/>
        <v>-7.1899155842149538</v>
      </c>
      <c r="AH649" s="357">
        <f t="shared" ca="1" si="318"/>
        <v>-0.61608671433238726</v>
      </c>
    </row>
    <row r="650" spans="1:34" x14ac:dyDescent="0.25">
      <c r="A650" s="402">
        <f t="shared" ca="1" si="296"/>
        <v>0.1</v>
      </c>
      <c r="B650" s="357">
        <f t="shared" ca="1" si="297"/>
        <v>19.599999999999948</v>
      </c>
      <c r="C650" s="342"/>
      <c r="D650" s="359">
        <f t="shared" ca="1" si="298"/>
        <v>-0.45040226992770488</v>
      </c>
      <c r="E650" s="360">
        <f t="shared" ca="1" si="299"/>
        <v>-10.205298602974429</v>
      </c>
      <c r="F650" s="357">
        <f t="shared" ca="1" si="300"/>
        <v>10.215232830465874</v>
      </c>
      <c r="G650" s="359">
        <f t="shared" ca="1" si="301"/>
        <v>38.960458458984441</v>
      </c>
      <c r="H650" s="360">
        <f t="shared" ca="1" si="302"/>
        <v>33.212910262823208</v>
      </c>
      <c r="I650" s="357">
        <f t="shared" ca="1" si="303"/>
        <v>51.195846818473463</v>
      </c>
      <c r="J650" s="359">
        <f t="shared" ca="1" si="304"/>
        <v>877.01336062116468</v>
      </c>
      <c r="K650" s="360">
        <f t="shared" ca="1" si="305"/>
        <v>2645.5184892608681</v>
      </c>
      <c r="L650" s="357">
        <f t="shared" ca="1" si="290"/>
        <v>2787.0989418621534</v>
      </c>
      <c r="M650" s="359">
        <f t="shared" ca="1" si="306"/>
        <v>0.70593056445006119</v>
      </c>
      <c r="N650" s="357">
        <f t="shared" ca="1" si="307"/>
        <v>40.446841972276459</v>
      </c>
      <c r="O650" s="343"/>
      <c r="P650" s="363">
        <f t="shared" ca="1" si="308"/>
        <v>23</v>
      </c>
      <c r="Q650" s="357">
        <f t="shared" ca="1" si="309"/>
        <v>0</v>
      </c>
      <c r="R650" s="359">
        <f t="shared" ca="1" si="310"/>
        <v>0</v>
      </c>
      <c r="S650" s="360">
        <f t="shared" ca="1" si="311"/>
        <v>9.637999999999975</v>
      </c>
      <c r="T650" s="357">
        <f t="shared" ca="1" si="291"/>
        <v>94.548779999999766</v>
      </c>
      <c r="U650" s="364">
        <f t="shared" ca="1" si="292"/>
        <v>0</v>
      </c>
      <c r="V650" s="359">
        <f t="shared" ca="1" si="293"/>
        <v>0.93878353285384741</v>
      </c>
      <c r="W650" s="357">
        <f t="shared" ca="1" si="294"/>
        <v>5.6186899513590056</v>
      </c>
      <c r="X650" s="343"/>
      <c r="Y650" s="367" t="str">
        <f t="shared" ca="1" si="312"/>
        <v/>
      </c>
      <c r="Z650" s="368" t="str">
        <f t="shared" ca="1" si="313"/>
        <v/>
      </c>
      <c r="AA650" s="369" t="str">
        <f t="shared" ca="1" si="314"/>
        <v/>
      </c>
      <c r="AB650" s="344"/>
      <c r="AC650" s="363" t="e">
        <f t="shared" ca="1" si="315"/>
        <v>#N/A</v>
      </c>
      <c r="AD650" s="376" t="e">
        <f t="shared" ca="1" si="316"/>
        <v>#N/A</v>
      </c>
      <c r="AE650" s="377">
        <f t="shared" ca="1" si="295"/>
        <v>2645.5184892608681</v>
      </c>
      <c r="AF650" s="344"/>
      <c r="AG650" s="359">
        <f t="shared" ca="1" si="317"/>
        <v>-7.0702861911052715</v>
      </c>
      <c r="AH650" s="357">
        <f t="shared" ca="1" si="318"/>
        <v>-0.59926887977732024</v>
      </c>
    </row>
    <row r="651" spans="1:34" x14ac:dyDescent="0.25">
      <c r="A651" s="402">
        <f t="shared" ca="1" si="296"/>
        <v>0.1</v>
      </c>
      <c r="B651" s="357">
        <f t="shared" ca="1" si="297"/>
        <v>19.69999999999995</v>
      </c>
      <c r="C651" s="342"/>
      <c r="D651" s="359">
        <f t="shared" ca="1" si="298"/>
        <v>-0.44364692271183198</v>
      </c>
      <c r="E651" s="360">
        <f t="shared" ca="1" si="299"/>
        <v>-10.18819897442731</v>
      </c>
      <c r="F651" s="357">
        <f t="shared" ca="1" si="300"/>
        <v>10.19785374157491</v>
      </c>
      <c r="G651" s="359">
        <f t="shared" ca="1" si="301"/>
        <v>38.91609376671326</v>
      </c>
      <c r="H651" s="360">
        <f t="shared" ca="1" si="302"/>
        <v>32.194090365380475</v>
      </c>
      <c r="I651" s="357">
        <f t="shared" ca="1" si="303"/>
        <v>50.50665113144904</v>
      </c>
      <c r="J651" s="359">
        <f t="shared" ca="1" si="304"/>
        <v>880.90718823244958</v>
      </c>
      <c r="K651" s="360">
        <f t="shared" ca="1" si="305"/>
        <v>2648.7888392922782</v>
      </c>
      <c r="L651" s="357">
        <f t="shared" ca="1" si="290"/>
        <v>2791.4297034743568</v>
      </c>
      <c r="M651" s="359">
        <f t="shared" ca="1" si="306"/>
        <v>0.69114882382557918</v>
      </c>
      <c r="N651" s="357">
        <f t="shared" ca="1" si="307"/>
        <v>39.599910620636564</v>
      </c>
      <c r="O651" s="343"/>
      <c r="P651" s="363">
        <f t="shared" ca="1" si="308"/>
        <v>23</v>
      </c>
      <c r="Q651" s="357">
        <f t="shared" ca="1" si="309"/>
        <v>0</v>
      </c>
      <c r="R651" s="359">
        <f t="shared" ca="1" si="310"/>
        <v>0</v>
      </c>
      <c r="S651" s="360">
        <f t="shared" ca="1" si="311"/>
        <v>9.637999999999975</v>
      </c>
      <c r="T651" s="357">
        <f t="shared" ca="1" si="291"/>
        <v>94.548779999999766</v>
      </c>
      <c r="U651" s="364">
        <f t="shared" ca="1" si="292"/>
        <v>0</v>
      </c>
      <c r="V651" s="359">
        <f t="shared" ca="1" si="293"/>
        <v>0.93847109541647056</v>
      </c>
      <c r="W651" s="357">
        <f t="shared" ca="1" si="294"/>
        <v>5.4666112458557272</v>
      </c>
      <c r="X651" s="343"/>
      <c r="Y651" s="367" t="str">
        <f t="shared" ca="1" si="312"/>
        <v/>
      </c>
      <c r="Z651" s="368" t="str">
        <f t="shared" ca="1" si="313"/>
        <v/>
      </c>
      <c r="AA651" s="369" t="str">
        <f t="shared" ca="1" si="314"/>
        <v/>
      </c>
      <c r="AB651" s="344"/>
      <c r="AC651" s="363" t="e">
        <f t="shared" ca="1" si="315"/>
        <v>#N/A</v>
      </c>
      <c r="AD651" s="376" t="e">
        <f t="shared" ca="1" si="316"/>
        <v>#N/A</v>
      </c>
      <c r="AE651" s="377">
        <f t="shared" ca="1" si="295"/>
        <v>2648.7888392922782</v>
      </c>
      <c r="AF651" s="344"/>
      <c r="AG651" s="359">
        <f t="shared" ca="1" si="317"/>
        <v>-6.9471343455124703</v>
      </c>
      <c r="AH651" s="357">
        <f t="shared" ca="1" si="318"/>
        <v>-0.58297260337819257</v>
      </c>
    </row>
    <row r="652" spans="1:34" x14ac:dyDescent="0.25">
      <c r="A652" s="402">
        <f t="shared" ca="1" si="296"/>
        <v>0.1</v>
      </c>
      <c r="B652" s="357">
        <f t="shared" ca="1" si="297"/>
        <v>19.799999999999951</v>
      </c>
      <c r="C652" s="342"/>
      <c r="D652" s="359">
        <f t="shared" ca="1" si="298"/>
        <v>-0.43703069037202968</v>
      </c>
      <c r="E652" s="360">
        <f t="shared" ca="1" si="299"/>
        <v>-10.171542081346209</v>
      </c>
      <c r="F652" s="357">
        <f t="shared" ca="1" si="300"/>
        <v>10.180926487158416</v>
      </c>
      <c r="G652" s="359">
        <f t="shared" ca="1" si="301"/>
        <v>38.87239069767606</v>
      </c>
      <c r="H652" s="360">
        <f t="shared" ca="1" si="302"/>
        <v>31.176936157245855</v>
      </c>
      <c r="I652" s="357">
        <f t="shared" ca="1" si="303"/>
        <v>49.830353266917108</v>
      </c>
      <c r="J652" s="359">
        <f t="shared" ca="1" si="304"/>
        <v>884.79661245566911</v>
      </c>
      <c r="K652" s="360">
        <f t="shared" ca="1" si="305"/>
        <v>2651.9573906184096</v>
      </c>
      <c r="L652" s="357">
        <f t="shared" ca="1" si="290"/>
        <v>2795.6650455783561</v>
      </c>
      <c r="M652" s="359">
        <f t="shared" ca="1" si="306"/>
        <v>0.67597928543159158</v>
      </c>
      <c r="N652" s="357">
        <f t="shared" ca="1" si="307"/>
        <v>38.730760093499413</v>
      </c>
      <c r="O652" s="343"/>
      <c r="P652" s="363">
        <f t="shared" ca="1" si="308"/>
        <v>23</v>
      </c>
      <c r="Q652" s="357">
        <f t="shared" ca="1" si="309"/>
        <v>0</v>
      </c>
      <c r="R652" s="359">
        <f t="shared" ca="1" si="310"/>
        <v>0</v>
      </c>
      <c r="S652" s="360">
        <f t="shared" ca="1" si="311"/>
        <v>9.637999999999975</v>
      </c>
      <c r="T652" s="357">
        <f t="shared" ca="1" si="291"/>
        <v>94.548779999999766</v>
      </c>
      <c r="U652" s="364">
        <f t="shared" ca="1" si="292"/>
        <v>0</v>
      </c>
      <c r="V652" s="359">
        <f t="shared" ca="1" si="293"/>
        <v>0.93816846950692057</v>
      </c>
      <c r="W652" s="357">
        <f t="shared" ca="1" si="294"/>
        <v>5.3194766596218628</v>
      </c>
      <c r="X652" s="343"/>
      <c r="Y652" s="367" t="str">
        <f t="shared" ca="1" si="312"/>
        <v/>
      </c>
      <c r="Z652" s="368" t="str">
        <f t="shared" ca="1" si="313"/>
        <v/>
      </c>
      <c r="AA652" s="369" t="str">
        <f t="shared" ca="1" si="314"/>
        <v/>
      </c>
      <c r="AB652" s="344"/>
      <c r="AC652" s="363" t="e">
        <f t="shared" ca="1" si="315"/>
        <v>#N/A</v>
      </c>
      <c r="AD652" s="376" t="e">
        <f t="shared" ca="1" si="316"/>
        <v>#N/A</v>
      </c>
      <c r="AE652" s="377">
        <f t="shared" ca="1" si="295"/>
        <v>2651.9573906184096</v>
      </c>
      <c r="AF652" s="344"/>
      <c r="AG652" s="359">
        <f t="shared" ca="1" si="317"/>
        <v>-6.8203110784568963</v>
      </c>
      <c r="AH652" s="357">
        <f t="shared" ca="1" si="318"/>
        <v>-0.56719353038553033</v>
      </c>
    </row>
    <row r="653" spans="1:34" x14ac:dyDescent="0.25">
      <c r="A653" s="402">
        <f t="shared" ca="1" si="296"/>
        <v>0.1</v>
      </c>
      <c r="B653" s="357">
        <f t="shared" ca="1" si="297"/>
        <v>19.899999999999952</v>
      </c>
      <c r="C653" s="342"/>
      <c r="D653" s="359">
        <f t="shared" ca="1" si="298"/>
        <v>-0.4305556282311917</v>
      </c>
      <c r="E653" s="360">
        <f t="shared" ca="1" si="299"/>
        <v>-10.155319778191807</v>
      </c>
      <c r="F653" s="357">
        <f t="shared" ca="1" si="300"/>
        <v>10.164442825179117</v>
      </c>
      <c r="G653" s="359">
        <f t="shared" ca="1" si="301"/>
        <v>38.82933513485294</v>
      </c>
      <c r="H653" s="360">
        <f t="shared" ca="1" si="302"/>
        <v>30.161404179426675</v>
      </c>
      <c r="I653" s="357">
        <f t="shared" ca="1" si="303"/>
        <v>49.1673425058693</v>
      </c>
      <c r="J653" s="359">
        <f t="shared" ca="1" si="304"/>
        <v>888.68169874729551</v>
      </c>
      <c r="K653" s="360">
        <f t="shared" ca="1" si="305"/>
        <v>2655.0243076352431</v>
      </c>
      <c r="L653" s="357">
        <f t="shared" ca="1" si="290"/>
        <v>2799.8052139072784</v>
      </c>
      <c r="M653" s="359">
        <f t="shared" ca="1" si="306"/>
        <v>0.66041399982673032</v>
      </c>
      <c r="N653" s="357">
        <f t="shared" ca="1" si="307"/>
        <v>37.838934921425128</v>
      </c>
      <c r="O653" s="343"/>
      <c r="P653" s="363">
        <f t="shared" ca="1" si="308"/>
        <v>23</v>
      </c>
      <c r="Q653" s="357">
        <f t="shared" ca="1" si="309"/>
        <v>0</v>
      </c>
      <c r="R653" s="359">
        <f t="shared" ca="1" si="310"/>
        <v>0</v>
      </c>
      <c r="S653" s="360">
        <f t="shared" ca="1" si="311"/>
        <v>9.637999999999975</v>
      </c>
      <c r="T653" s="357">
        <f t="shared" ca="1" si="291"/>
        <v>94.548779999999766</v>
      </c>
      <c r="U653" s="364">
        <f t="shared" ca="1" si="292"/>
        <v>0</v>
      </c>
      <c r="V653" s="359">
        <f t="shared" ca="1" si="293"/>
        <v>0.93787563123408002</v>
      </c>
      <c r="W653" s="357">
        <f t="shared" ca="1" si="294"/>
        <v>5.177246761044465</v>
      </c>
      <c r="X653" s="343"/>
      <c r="Y653" s="367" t="str">
        <f t="shared" ca="1" si="312"/>
        <v/>
      </c>
      <c r="Z653" s="368" t="str">
        <f t="shared" ca="1" si="313"/>
        <v/>
      </c>
      <c r="AA653" s="369" t="str">
        <f t="shared" ca="1" si="314"/>
        <v/>
      </c>
      <c r="AB653" s="344"/>
      <c r="AC653" s="363" t="e">
        <f t="shared" ca="1" si="315"/>
        <v>#N/A</v>
      </c>
      <c r="AD653" s="376" t="e">
        <f t="shared" ca="1" si="316"/>
        <v>#N/A</v>
      </c>
      <c r="AE653" s="377">
        <f t="shared" ca="1" si="295"/>
        <v>2655.0243076352431</v>
      </c>
      <c r="AF653" s="344"/>
      <c r="AG653" s="359">
        <f t="shared" ca="1" si="317"/>
        <v>-6.6896672635090866</v>
      </c>
      <c r="AH653" s="357">
        <f t="shared" ca="1" si="318"/>
        <v>-0.55192743926352739</v>
      </c>
    </row>
    <row r="654" spans="1:34" x14ac:dyDescent="0.25">
      <c r="A654" s="402">
        <f t="shared" ca="1" si="296"/>
        <v>0.1</v>
      </c>
      <c r="B654" s="357">
        <f t="shared" ca="1" si="297"/>
        <v>19.999999999999954</v>
      </c>
      <c r="C654" s="342"/>
      <c r="D654" s="359">
        <f t="shared" ca="1" si="298"/>
        <v>-0.42422392917188734</v>
      </c>
      <c r="E654" s="360">
        <f t="shared" ca="1" si="299"/>
        <v>-10.139523782622096</v>
      </c>
      <c r="F654" s="357">
        <f t="shared" ca="1" si="300"/>
        <v>10.148394379429739</v>
      </c>
      <c r="G654" s="359">
        <f t="shared" ca="1" si="301"/>
        <v>38.786912741935751</v>
      </c>
      <c r="H654" s="360">
        <f t="shared" ca="1" si="302"/>
        <v>29.147451801164465</v>
      </c>
      <c r="I654" s="357">
        <f t="shared" ca="1" si="303"/>
        <v>48.518022904398563</v>
      </c>
      <c r="J654" s="359">
        <f t="shared" ca="1" si="304"/>
        <v>892.56251114113491</v>
      </c>
      <c r="K654" s="360">
        <f t="shared" ca="1" si="305"/>
        <v>2657.9897504342725</v>
      </c>
      <c r="L654" s="357">
        <f t="shared" ca="1" si="290"/>
        <v>2803.8504506674772</v>
      </c>
      <c r="M654" s="359">
        <f t="shared" ca="1" si="306"/>
        <v>0.64444537238515787</v>
      </c>
      <c r="N654" s="357">
        <f t="shared" ca="1" si="307"/>
        <v>36.923999964406235</v>
      </c>
      <c r="O654" s="343"/>
      <c r="P654" s="363">
        <f t="shared" ca="1" si="308"/>
        <v>23</v>
      </c>
      <c r="Q654" s="357">
        <f t="shared" ca="1" si="309"/>
        <v>0</v>
      </c>
      <c r="R654" s="359">
        <f t="shared" ca="1" si="310"/>
        <v>0</v>
      </c>
      <c r="S654" s="360">
        <f t="shared" ca="1" si="311"/>
        <v>9.637999999999975</v>
      </c>
      <c r="T654" s="357">
        <f t="shared" ca="1" si="291"/>
        <v>94.548779999999766</v>
      </c>
      <c r="U654" s="364">
        <f t="shared" ca="1" si="292"/>
        <v>0</v>
      </c>
      <c r="V654" s="359">
        <f t="shared" ca="1" si="293"/>
        <v>0.9375925574028845</v>
      </c>
      <c r="W654" s="357">
        <f t="shared" ca="1" si="294"/>
        <v>5.0398833460718615</v>
      </c>
      <c r="X654" s="343"/>
      <c r="Y654" s="367" t="str">
        <f t="shared" ca="1" si="312"/>
        <v/>
      </c>
      <c r="Z654" s="368" t="str">
        <f t="shared" ca="1" si="313"/>
        <v/>
      </c>
      <c r="AA654" s="369" t="str">
        <f t="shared" ca="1" si="314"/>
        <v/>
      </c>
      <c r="AB654" s="344"/>
      <c r="AC654" s="363">
        <f t="shared" ca="1" si="315"/>
        <v>19.999999999999954</v>
      </c>
      <c r="AD654" s="376">
        <f t="shared" ca="1" si="316"/>
        <v>892.56251114113491</v>
      </c>
      <c r="AE654" s="377">
        <f t="shared" ca="1" si="295"/>
        <v>2657.9897504342725</v>
      </c>
      <c r="AF654" s="344"/>
      <c r="AG654" s="359">
        <f t="shared" ca="1" si="317"/>
        <v>-6.5550544667761947</v>
      </c>
      <c r="AH654" s="357">
        <f t="shared" ca="1" si="318"/>
        <v>-0.53717023874709258</v>
      </c>
    </row>
    <row r="655" spans="1:34" x14ac:dyDescent="0.25">
      <c r="A655" s="402">
        <f t="shared" ca="1" si="296"/>
        <v>0.1</v>
      </c>
      <c r="B655" s="357">
        <f t="shared" ca="1" si="297"/>
        <v>20.099999999999955</v>
      </c>
      <c r="C655" s="342"/>
      <c r="D655" s="359">
        <f t="shared" ca="1" si="298"/>
        <v>-0.41803792205637813</v>
      </c>
      <c r="E655" s="360">
        <f t="shared" ca="1" si="299"/>
        <v>-10.124145656945347</v>
      </c>
      <c r="F655" s="357">
        <f t="shared" ca="1" si="300"/>
        <v>10.132772620922792</v>
      </c>
      <c r="G655" s="359">
        <f t="shared" ca="1" si="301"/>
        <v>38.74510894973011</v>
      </c>
      <c r="H655" s="360">
        <f t="shared" ca="1" si="302"/>
        <v>28.13503723546993</v>
      </c>
      <c r="I655" s="357">
        <f t="shared" ca="1" si="303"/>
        <v>47.882813072831631</v>
      </c>
      <c r="J655" s="359">
        <f t="shared" ca="1" si="304"/>
        <v>896.43911222571819</v>
      </c>
      <c r="K655" s="360">
        <f t="shared" ca="1" si="305"/>
        <v>2660.8538748861042</v>
      </c>
      <c r="L655" s="357">
        <f t="shared" ca="1" si="290"/>
        <v>2807.8009946262982</v>
      </c>
      <c r="M655" s="359">
        <f t="shared" ca="1" si="306"/>
        <v>0.62806624022785862</v>
      </c>
      <c r="N655" s="357">
        <f t="shared" ca="1" si="307"/>
        <v>35.985544819705986</v>
      </c>
      <c r="O655" s="343"/>
      <c r="P655" s="363">
        <f t="shared" ca="1" si="308"/>
        <v>23</v>
      </c>
      <c r="Q655" s="357">
        <f t="shared" ca="1" si="309"/>
        <v>0</v>
      </c>
      <c r="R655" s="359">
        <f t="shared" ca="1" si="310"/>
        <v>0</v>
      </c>
      <c r="S655" s="360">
        <f t="shared" ca="1" si="311"/>
        <v>9.637999999999975</v>
      </c>
      <c r="T655" s="357">
        <f t="shared" ca="1" si="291"/>
        <v>94.548779999999766</v>
      </c>
      <c r="U655" s="364">
        <f t="shared" ca="1" si="292"/>
        <v>0</v>
      </c>
      <c r="V655" s="359">
        <f t="shared" ca="1" si="293"/>
        <v>0.93731922550386615</v>
      </c>
      <c r="W655" s="357">
        <f t="shared" ca="1" si="294"/>
        <v>4.907349410553703</v>
      </c>
      <c r="X655" s="343"/>
      <c r="Y655" s="367" t="str">
        <f t="shared" ca="1" si="312"/>
        <v/>
      </c>
      <c r="Z655" s="368" t="str">
        <f t="shared" ca="1" si="313"/>
        <v/>
      </c>
      <c r="AA655" s="369" t="str">
        <f t="shared" ca="1" si="314"/>
        <v/>
      </c>
      <c r="AB655" s="344"/>
      <c r="AC655" s="363" t="e">
        <f t="shared" ca="1" si="315"/>
        <v>#N/A</v>
      </c>
      <c r="AD655" s="376" t="e">
        <f t="shared" ca="1" si="316"/>
        <v>#N/A</v>
      </c>
      <c r="AE655" s="377">
        <f t="shared" ca="1" si="295"/>
        <v>2660.8538748861042</v>
      </c>
      <c r="AF655" s="344"/>
      <c r="AG655" s="359">
        <f t="shared" ca="1" si="317"/>
        <v>-6.4163259204278358</v>
      </c>
      <c r="AH655" s="357">
        <f t="shared" ca="1" si="318"/>
        <v>-0.52291796493794096</v>
      </c>
    </row>
    <row r="656" spans="1:34" x14ac:dyDescent="0.25">
      <c r="A656" s="402">
        <f t="shared" ca="1" si="296"/>
        <v>0.1</v>
      </c>
      <c r="B656" s="357">
        <f t="shared" ca="1" si="297"/>
        <v>20.199999999999957</v>
      </c>
      <c r="C656" s="342"/>
      <c r="D656" s="359">
        <f t="shared" ca="1" si="298"/>
        <v>-0.41200006929478467</v>
      </c>
      <c r="E656" s="360">
        <f t="shared" ca="1" si="299"/>
        <v>-10.109176789144264</v>
      </c>
      <c r="F656" s="357">
        <f t="shared" ca="1" si="300"/>
        <v>10.117568848852576</v>
      </c>
      <c r="G656" s="359">
        <f t="shared" ca="1" si="301"/>
        <v>38.703908942800631</v>
      </c>
      <c r="H656" s="360">
        <f t="shared" ca="1" si="302"/>
        <v>27.124119556555502</v>
      </c>
      <c r="I656" s="357">
        <f t="shared" ca="1" si="303"/>
        <v>47.26214583756137</v>
      </c>
      <c r="J656" s="359">
        <f t="shared" ca="1" si="304"/>
        <v>900.31156312034477</v>
      </c>
      <c r="K656" s="360">
        <f t="shared" ca="1" si="305"/>
        <v>2663.6168327257055</v>
      </c>
      <c r="L656" s="357">
        <f t="shared" ca="1" si="290"/>
        <v>2811.6570812010341</v>
      </c>
      <c r="M656" s="359">
        <f t="shared" ca="1" si="306"/>
        <v>0.61126995576230903</v>
      </c>
      <c r="N656" s="357">
        <f t="shared" ca="1" si="307"/>
        <v>35.023188608328844</v>
      </c>
      <c r="O656" s="343"/>
      <c r="P656" s="363">
        <f t="shared" ca="1" si="308"/>
        <v>23</v>
      </c>
      <c r="Q656" s="357">
        <f t="shared" ca="1" si="309"/>
        <v>0</v>
      </c>
      <c r="R656" s="359">
        <f t="shared" ca="1" si="310"/>
        <v>0</v>
      </c>
      <c r="S656" s="360">
        <f t="shared" ca="1" si="311"/>
        <v>9.637999999999975</v>
      </c>
      <c r="T656" s="357">
        <f t="shared" ca="1" si="291"/>
        <v>94.548779999999766</v>
      </c>
      <c r="U656" s="364">
        <f t="shared" ca="1" si="292"/>
        <v>0</v>
      </c>
      <c r="V656" s="359">
        <f t="shared" ca="1" si="293"/>
        <v>0.93705561370262891</v>
      </c>
      <c r="W656" s="357">
        <f t="shared" ca="1" si="294"/>
        <v>4.7796091228604451</v>
      </c>
      <c r="X656" s="343"/>
      <c r="Y656" s="367" t="str">
        <f t="shared" ca="1" si="312"/>
        <v/>
      </c>
      <c r="Z656" s="368" t="str">
        <f t="shared" ca="1" si="313"/>
        <v/>
      </c>
      <c r="AA656" s="369" t="str">
        <f t="shared" ca="1" si="314"/>
        <v/>
      </c>
      <c r="AB656" s="344"/>
      <c r="AC656" s="363" t="e">
        <f t="shared" ca="1" si="315"/>
        <v>#N/A</v>
      </c>
      <c r="AD656" s="376" t="e">
        <f t="shared" ca="1" si="316"/>
        <v>#N/A</v>
      </c>
      <c r="AE656" s="377">
        <f t="shared" ca="1" si="295"/>
        <v>2663.6168327257055</v>
      </c>
      <c r="AF656" s="344"/>
      <c r="AG656" s="359">
        <f t="shared" ca="1" si="317"/>
        <v>-6.2733376273809904</v>
      </c>
      <c r="AH656" s="357">
        <f t="shared" ca="1" si="318"/>
        <v>-0.50916677843470803</v>
      </c>
    </row>
    <row r="657" spans="1:34" x14ac:dyDescent="0.25">
      <c r="A657" s="402">
        <f t="shared" ca="1" si="296"/>
        <v>0.1</v>
      </c>
      <c r="B657" s="357">
        <f t="shared" ca="1" si="297"/>
        <v>20.299999999999958</v>
      </c>
      <c r="C657" s="342"/>
      <c r="D657" s="359">
        <f t="shared" ca="1" si="298"/>
        <v>-0.40611296345095405</v>
      </c>
      <c r="E657" s="360">
        <f t="shared" ca="1" si="299"/>
        <v>-10.094608373546718</v>
      </c>
      <c r="F657" s="357">
        <f t="shared" ca="1" si="300"/>
        <v>10.10277417120478</v>
      </c>
      <c r="G657" s="359">
        <f t="shared" ca="1" si="301"/>
        <v>38.663297646455533</v>
      </c>
      <c r="H657" s="360">
        <f t="shared" ca="1" si="302"/>
        <v>26.114658719200829</v>
      </c>
      <c r="I657" s="357">
        <f t="shared" ca="1" si="303"/>
        <v>46.656467771561381</v>
      </c>
      <c r="J657" s="359">
        <f t="shared" ca="1" si="304"/>
        <v>904.17992344980757</v>
      </c>
      <c r="K657" s="360">
        <f t="shared" ca="1" si="305"/>
        <v>2666.2787716394932</v>
      </c>
      <c r="L657" s="357">
        <f t="shared" ca="1" si="290"/>
        <v>2815.4189425492441</v>
      </c>
      <c r="M657" s="359">
        <f t="shared" ca="1" si="306"/>
        <v>0.5940504767851581</v>
      </c>
      <c r="N657" s="357">
        <f t="shared" ca="1" si="307"/>
        <v>34.036585137523851</v>
      </c>
      <c r="O657" s="343"/>
      <c r="P657" s="363">
        <f t="shared" ca="1" si="308"/>
        <v>23</v>
      </c>
      <c r="Q657" s="357">
        <f t="shared" ca="1" si="309"/>
        <v>0</v>
      </c>
      <c r="R657" s="359">
        <f t="shared" ca="1" si="310"/>
        <v>0</v>
      </c>
      <c r="S657" s="360">
        <f t="shared" ca="1" si="311"/>
        <v>9.637999999999975</v>
      </c>
      <c r="T657" s="357">
        <f t="shared" ca="1" si="291"/>
        <v>94.548779999999766</v>
      </c>
      <c r="U657" s="364">
        <f t="shared" ca="1" si="292"/>
        <v>0</v>
      </c>
      <c r="V657" s="359">
        <f t="shared" ca="1" si="293"/>
        <v>0.9368017008292423</v>
      </c>
      <c r="W657" s="357">
        <f t="shared" ca="1" si="294"/>
        <v>4.6566277967337966</v>
      </c>
      <c r="X657" s="343"/>
      <c r="Y657" s="367" t="str">
        <f t="shared" ca="1" si="312"/>
        <v/>
      </c>
      <c r="Z657" s="368" t="str">
        <f t="shared" ca="1" si="313"/>
        <v/>
      </c>
      <c r="AA657" s="369" t="str">
        <f t="shared" ca="1" si="314"/>
        <v/>
      </c>
      <c r="AB657" s="344"/>
      <c r="AC657" s="363" t="e">
        <f t="shared" ca="1" si="315"/>
        <v>#N/A</v>
      </c>
      <c r="AD657" s="376" t="e">
        <f t="shared" ca="1" si="316"/>
        <v>#N/A</v>
      </c>
      <c r="AE657" s="377">
        <f t="shared" ca="1" si="295"/>
        <v>2666.2787716394932</v>
      </c>
      <c r="AF657" s="344"/>
      <c r="AG657" s="359">
        <f t="shared" ca="1" si="317"/>
        <v>-6.1259496035934342</v>
      </c>
      <c r="AH657" s="357">
        <f t="shared" ca="1" si="318"/>
        <v>-0.49591296149205827</v>
      </c>
    </row>
    <row r="658" spans="1:34" x14ac:dyDescent="0.25">
      <c r="A658" s="402">
        <f t="shared" ca="1" si="296"/>
        <v>0.1</v>
      </c>
      <c r="B658" s="357">
        <f t="shared" ca="1" si="297"/>
        <v>20.399999999999959</v>
      </c>
      <c r="C658" s="342"/>
      <c r="D658" s="359">
        <f t="shared" ca="1" si="298"/>
        <v>-0.40037932277123167</v>
      </c>
      <c r="E658" s="360">
        <f t="shared" ca="1" si="299"/>
        <v>-10.080431391238404</v>
      </c>
      <c r="F658" s="357">
        <f t="shared" ca="1" si="300"/>
        <v>10.088379485108963</v>
      </c>
      <c r="G658" s="359">
        <f t="shared" ca="1" si="301"/>
        <v>38.62325971417841</v>
      </c>
      <c r="H658" s="360">
        <f t="shared" ca="1" si="302"/>
        <v>25.106615580076987</v>
      </c>
      <c r="I658" s="357">
        <f t="shared" ca="1" si="303"/>
        <v>46.066238579187704</v>
      </c>
      <c r="J658" s="359">
        <f t="shared" ca="1" si="304"/>
        <v>908.04425131783933</v>
      </c>
      <c r="K658" s="360">
        <f t="shared" ca="1" si="305"/>
        <v>2668.8398353544571</v>
      </c>
      <c r="L658" s="357">
        <f t="shared" ca="1" si="290"/>
        <v>2819.0868076606266</v>
      </c>
      <c r="M658" s="359">
        <f t="shared" ca="1" si="306"/>
        <v>0.57640246296694797</v>
      </c>
      <c r="N658" s="357">
        <f t="shared" ca="1" si="307"/>
        <v>33.025428428951848</v>
      </c>
      <c r="O658" s="343"/>
      <c r="P658" s="363">
        <f t="shared" ca="1" si="308"/>
        <v>23</v>
      </c>
      <c r="Q658" s="357">
        <f t="shared" ca="1" si="309"/>
        <v>0</v>
      </c>
      <c r="R658" s="359">
        <f t="shared" ca="1" si="310"/>
        <v>0</v>
      </c>
      <c r="S658" s="360">
        <f t="shared" ca="1" si="311"/>
        <v>9.637999999999975</v>
      </c>
      <c r="T658" s="357">
        <f t="shared" ca="1" si="291"/>
        <v>94.548779999999766</v>
      </c>
      <c r="U658" s="364">
        <f t="shared" ca="1" si="292"/>
        <v>0</v>
      </c>
      <c r="V658" s="359">
        <f t="shared" ca="1" si="293"/>
        <v>0.9365574663675249</v>
      </c>
      <c r="W658" s="357">
        <f t="shared" ca="1" si="294"/>
        <v>4.538371864319636</v>
      </c>
      <c r="X658" s="343"/>
      <c r="Y658" s="367" t="str">
        <f t="shared" ca="1" si="312"/>
        <v/>
      </c>
      <c r="Z658" s="368" t="str">
        <f t="shared" ca="1" si="313"/>
        <v/>
      </c>
      <c r="AA658" s="369" t="str">
        <f t="shared" ca="1" si="314"/>
        <v/>
      </c>
      <c r="AB658" s="344"/>
      <c r="AC658" s="363" t="e">
        <f t="shared" ca="1" si="315"/>
        <v>#N/A</v>
      </c>
      <c r="AD658" s="376" t="e">
        <f t="shared" ca="1" si="316"/>
        <v>#N/A</v>
      </c>
      <c r="AE658" s="377">
        <f t="shared" ca="1" si="295"/>
        <v>2668.8398353544571</v>
      </c>
      <c r="AF658" s="344"/>
      <c r="AG658" s="359">
        <f t="shared" ca="1" si="317"/>
        <v>-5.9740272627794875</v>
      </c>
      <c r="AH658" s="357">
        <f t="shared" ca="1" si="318"/>
        <v>-0.48315291520375686</v>
      </c>
    </row>
    <row r="659" spans="1:34" x14ac:dyDescent="0.25">
      <c r="A659" s="402">
        <f t="shared" ca="1" si="296"/>
        <v>0.1</v>
      </c>
      <c r="B659" s="357">
        <f t="shared" ca="1" si="297"/>
        <v>20.499999999999961</v>
      </c>
      <c r="C659" s="342"/>
      <c r="D659" s="359">
        <f t="shared" ca="1" si="298"/>
        <v>-0.39480198551859907</v>
      </c>
      <c r="E659" s="360">
        <f t="shared" ca="1" si="299"/>
        <v>-10.066636590334914</v>
      </c>
      <c r="F659" s="357">
        <f t="shared" ca="1" si="300"/>
        <v>10.07437545705138</v>
      </c>
      <c r="G659" s="359">
        <f t="shared" ca="1" si="301"/>
        <v>38.583779515626553</v>
      </c>
      <c r="H659" s="360">
        <f t="shared" ca="1" si="302"/>
        <v>24.099951921043495</v>
      </c>
      <c r="I659" s="357">
        <f t="shared" ca="1" si="303"/>
        <v>45.491930320740309</v>
      </c>
      <c r="J659" s="359">
        <f t="shared" ca="1" si="304"/>
        <v>911.90460327932954</v>
      </c>
      <c r="K659" s="360">
        <f t="shared" ca="1" si="305"/>
        <v>2671.3001637295133</v>
      </c>
      <c r="L659" s="357">
        <f t="shared" ca="1" si="290"/>
        <v>2822.6609024506211</v>
      </c>
      <c r="M659" s="359">
        <f t="shared" ca="1" si="306"/>
        <v>0.55832137837709217</v>
      </c>
      <c r="N659" s="357">
        <f t="shared" ca="1" si="307"/>
        <v>31.989458592934081</v>
      </c>
      <c r="O659" s="343"/>
      <c r="P659" s="363">
        <f t="shared" ca="1" si="308"/>
        <v>23</v>
      </c>
      <c r="Q659" s="357">
        <f t="shared" ca="1" si="309"/>
        <v>0</v>
      </c>
      <c r="R659" s="359">
        <f t="shared" ca="1" si="310"/>
        <v>0</v>
      </c>
      <c r="S659" s="360">
        <f t="shared" ca="1" si="311"/>
        <v>9.637999999999975</v>
      </c>
      <c r="T659" s="357">
        <f t="shared" ca="1" si="291"/>
        <v>94.548779999999766</v>
      </c>
      <c r="U659" s="364">
        <f t="shared" ca="1" si="292"/>
        <v>0</v>
      </c>
      <c r="V659" s="359">
        <f t="shared" ca="1" si="293"/>
        <v>0.9363228904442028</v>
      </c>
      <c r="W659" s="357">
        <f t="shared" ca="1" si="294"/>
        <v>4.4248088493351627</v>
      </c>
      <c r="X659" s="343"/>
      <c r="Y659" s="367" t="str">
        <f t="shared" ca="1" si="312"/>
        <v/>
      </c>
      <c r="Z659" s="368" t="str">
        <f t="shared" ca="1" si="313"/>
        <v/>
      </c>
      <c r="AA659" s="369" t="str">
        <f t="shared" ca="1" si="314"/>
        <v/>
      </c>
      <c r="AB659" s="344"/>
      <c r="AC659" s="363" t="e">
        <f t="shared" ca="1" si="315"/>
        <v>#N/A</v>
      </c>
      <c r="AD659" s="376" t="e">
        <f t="shared" ca="1" si="316"/>
        <v>#N/A</v>
      </c>
      <c r="AE659" s="377">
        <f t="shared" ca="1" si="295"/>
        <v>2671.3001637295133</v>
      </c>
      <c r="AF659" s="344"/>
      <c r="AG659" s="359">
        <f t="shared" ca="1" si="317"/>
        <v>-5.8174429461950492</v>
      </c>
      <c r="AH659" s="357">
        <f t="shared" ca="1" si="318"/>
        <v>-0.47088315670467396</v>
      </c>
    </row>
    <row r="660" spans="1:34" x14ac:dyDescent="0.25">
      <c r="A660" s="402">
        <f t="shared" ca="1" si="296"/>
        <v>0.1</v>
      </c>
      <c r="B660" s="357">
        <f t="shared" ca="1" si="297"/>
        <v>20.599999999999962</v>
      </c>
      <c r="C660" s="342"/>
      <c r="D660" s="359">
        <f t="shared" ca="1" si="298"/>
        <v>-0.3893839029939673</v>
      </c>
      <c r="E660" s="360">
        <f t="shared" ca="1" si="299"/>
        <v>-10.053214466254719</v>
      </c>
      <c r="F660" s="357">
        <f t="shared" ca="1" si="300"/>
        <v>10.060752503089615</v>
      </c>
      <c r="G660" s="359">
        <f t="shared" ca="1" si="301"/>
        <v>38.544841125327153</v>
      </c>
      <c r="H660" s="360">
        <f t="shared" ca="1" si="302"/>
        <v>23.094630474418022</v>
      </c>
      <c r="I660" s="357">
        <f t="shared" ca="1" si="303"/>
        <v>44.934026462432996</v>
      </c>
      <c r="J660" s="359">
        <f t="shared" ca="1" si="304"/>
        <v>915.76103431137722</v>
      </c>
      <c r="K660" s="360">
        <f t="shared" ca="1" si="305"/>
        <v>2673.6598928492863</v>
      </c>
      <c r="L660" s="357">
        <f t="shared" ca="1" si="290"/>
        <v>2826.1414498559516</v>
      </c>
      <c r="M660" s="359">
        <f t="shared" ca="1" si="306"/>
        <v>0.53980359952055457</v>
      </c>
      <c r="N660" s="357">
        <f t="shared" ca="1" si="307"/>
        <v>30.928468018497885</v>
      </c>
      <c r="O660" s="343"/>
      <c r="P660" s="363">
        <f t="shared" ca="1" si="308"/>
        <v>23</v>
      </c>
      <c r="Q660" s="357">
        <f t="shared" ca="1" si="309"/>
        <v>0</v>
      </c>
      <c r="R660" s="359">
        <f t="shared" ca="1" si="310"/>
        <v>0</v>
      </c>
      <c r="S660" s="360">
        <f t="shared" ca="1" si="311"/>
        <v>9.637999999999975</v>
      </c>
      <c r="T660" s="357">
        <f t="shared" ca="1" si="291"/>
        <v>94.548779999999766</v>
      </c>
      <c r="U660" s="364">
        <f t="shared" ca="1" si="292"/>
        <v>0</v>
      </c>
      <c r="V660" s="359">
        <f t="shared" ca="1" si="293"/>
        <v>0.93609795381791872</v>
      </c>
      <c r="W660" s="357">
        <f t="shared" ca="1" si="294"/>
        <v>4.3159073403224584</v>
      </c>
      <c r="X660" s="343"/>
      <c r="Y660" s="367" t="str">
        <f t="shared" ca="1" si="312"/>
        <v/>
      </c>
      <c r="Z660" s="368" t="str">
        <f t="shared" ca="1" si="313"/>
        <v/>
      </c>
      <c r="AA660" s="369" t="str">
        <f t="shared" ca="1" si="314"/>
        <v/>
      </c>
      <c r="AB660" s="344"/>
      <c r="AC660" s="363" t="e">
        <f t="shared" ca="1" si="315"/>
        <v>#N/A</v>
      </c>
      <c r="AD660" s="376" t="e">
        <f t="shared" ca="1" si="316"/>
        <v>#N/A</v>
      </c>
      <c r="AE660" s="377">
        <f t="shared" ca="1" si="295"/>
        <v>2673.6598928492863</v>
      </c>
      <c r="AF660" s="344"/>
      <c r="AG660" s="359">
        <f t="shared" ca="1" si="317"/>
        <v>-5.6560775973804356</v>
      </c>
      <c r="AH660" s="357">
        <f t="shared" ca="1" si="318"/>
        <v>-0.45910031638671656</v>
      </c>
    </row>
    <row r="661" spans="1:34" x14ac:dyDescent="0.25">
      <c r="A661" s="402">
        <f t="shared" ca="1" si="296"/>
        <v>0.1</v>
      </c>
      <c r="B661" s="357">
        <f t="shared" ca="1" si="297"/>
        <v>20.699999999999964</v>
      </c>
      <c r="C661" s="342"/>
      <c r="D661" s="359">
        <f t="shared" ca="1" si="298"/>
        <v>-0.38412813112832678</v>
      </c>
      <c r="E661" s="360">
        <f t="shared" ca="1" si="299"/>
        <v>-10.040155242160496</v>
      </c>
      <c r="F661" s="357">
        <f t="shared" ca="1" si="300"/>
        <v>10.04750076923645</v>
      </c>
      <c r="G661" s="359">
        <f t="shared" ca="1" si="301"/>
        <v>38.506428312214318</v>
      </c>
      <c r="H661" s="360">
        <f t="shared" ca="1" si="302"/>
        <v>22.090614950201971</v>
      </c>
      <c r="I661" s="357">
        <f t="shared" ca="1" si="303"/>
        <v>44.393020737969472</v>
      </c>
      <c r="J661" s="359">
        <f t="shared" ca="1" si="304"/>
        <v>919.61359778325425</v>
      </c>
      <c r="K661" s="360">
        <f t="shared" ca="1" si="305"/>
        <v>2675.9191551205172</v>
      </c>
      <c r="L661" s="357">
        <f t="shared" ca="1" si="290"/>
        <v>2829.5286699322846</v>
      </c>
      <c r="M661" s="359">
        <f t="shared" ca="1" si="306"/>
        <v>0.5208465281451844</v>
      </c>
      <c r="N661" s="357">
        <f t="shared" ca="1" si="307"/>
        <v>29.842307836760913</v>
      </c>
      <c r="O661" s="343"/>
      <c r="P661" s="363">
        <f t="shared" ca="1" si="308"/>
        <v>23</v>
      </c>
      <c r="Q661" s="357">
        <f t="shared" ca="1" si="309"/>
        <v>0</v>
      </c>
      <c r="R661" s="359">
        <f t="shared" ca="1" si="310"/>
        <v>0</v>
      </c>
      <c r="S661" s="360">
        <f t="shared" ca="1" si="311"/>
        <v>9.637999999999975</v>
      </c>
      <c r="T661" s="357">
        <f t="shared" ca="1" si="291"/>
        <v>94.548779999999766</v>
      </c>
      <c r="U661" s="364">
        <f t="shared" ca="1" si="292"/>
        <v>0</v>
      </c>
      <c r="V661" s="359">
        <f t="shared" ca="1" si="293"/>
        <v>0.93588263786807335</v>
      </c>
      <c r="W661" s="357">
        <f t="shared" ca="1" si="294"/>
        <v>4.2116369639412436</v>
      </c>
      <c r="X661" s="343"/>
      <c r="Y661" s="367" t="str">
        <f t="shared" ca="1" si="312"/>
        <v/>
      </c>
      <c r="Z661" s="368" t="str">
        <f t="shared" ca="1" si="313"/>
        <v/>
      </c>
      <c r="AA661" s="369" t="str">
        <f t="shared" ca="1" si="314"/>
        <v/>
      </c>
      <c r="AB661" s="344"/>
      <c r="AC661" s="363" t="e">
        <f t="shared" ca="1" si="315"/>
        <v>#N/A</v>
      </c>
      <c r="AD661" s="376" t="e">
        <f t="shared" ca="1" si="316"/>
        <v>#N/A</v>
      </c>
      <c r="AE661" s="377">
        <f t="shared" ca="1" si="295"/>
        <v>2675.9191551205172</v>
      </c>
      <c r="AF661" s="344"/>
      <c r="AG661" s="359">
        <f t="shared" ca="1" si="317"/>
        <v>-5.4898225783490382</v>
      </c>
      <c r="AH661" s="357">
        <f t="shared" ca="1" si="318"/>
        <v>-0.44780113512372582</v>
      </c>
    </row>
    <row r="662" spans="1:34" x14ac:dyDescent="0.25">
      <c r="A662" s="402">
        <f t="shared" ca="1" si="296"/>
        <v>0.1</v>
      </c>
      <c r="B662" s="357">
        <f t="shared" ca="1" si="297"/>
        <v>20.799999999999965</v>
      </c>
      <c r="C662" s="342"/>
      <c r="D662" s="359">
        <f t="shared" ca="1" si="298"/>
        <v>-0.3790378205344751</v>
      </c>
      <c r="E662" s="360">
        <f t="shared" ca="1" si="299"/>
        <v>-10.027448849763479</v>
      </c>
      <c r="F662" s="357">
        <f t="shared" ca="1" si="300"/>
        <v>10.03461011220757</v>
      </c>
      <c r="G662" s="359">
        <f t="shared" ca="1" si="301"/>
        <v>38.46852453016087</v>
      </c>
      <c r="H662" s="360">
        <f t="shared" ca="1" si="302"/>
        <v>21.087870065225623</v>
      </c>
      <c r="I662" s="357">
        <f t="shared" ca="1" si="303"/>
        <v>43.86941580891439</v>
      </c>
      <c r="J662" s="359">
        <f t="shared" ca="1" si="304"/>
        <v>923.46234542537297</v>
      </c>
      <c r="K662" s="360">
        <f t="shared" ca="1" si="305"/>
        <v>2678.0780793712884</v>
      </c>
      <c r="L662" s="357">
        <f t="shared" ca="1" si="290"/>
        <v>2832.8227799542169</v>
      </c>
      <c r="M662" s="359">
        <f t="shared" ca="1" si="306"/>
        <v>0.50144870784188589</v>
      </c>
      <c r="N662" s="357">
        <f t="shared" ca="1" si="307"/>
        <v>28.73089460162873</v>
      </c>
      <c r="O662" s="343"/>
      <c r="P662" s="363">
        <f t="shared" ca="1" si="308"/>
        <v>23</v>
      </c>
      <c r="Q662" s="357">
        <f t="shared" ca="1" si="309"/>
        <v>0</v>
      </c>
      <c r="R662" s="359">
        <f t="shared" ca="1" si="310"/>
        <v>0</v>
      </c>
      <c r="S662" s="360">
        <f t="shared" ca="1" si="311"/>
        <v>9.637999999999975</v>
      </c>
      <c r="T662" s="357">
        <f t="shared" ca="1" si="291"/>
        <v>94.548779999999766</v>
      </c>
      <c r="U662" s="364">
        <f t="shared" ca="1" si="292"/>
        <v>0</v>
      </c>
      <c r="V662" s="359">
        <f t="shared" ca="1" si="293"/>
        <v>0.93567692458348062</v>
      </c>
      <c r="W662" s="357">
        <f t="shared" ca="1" si="294"/>
        <v>4.1119683582544884</v>
      </c>
      <c r="X662" s="343"/>
      <c r="Y662" s="367" t="str">
        <f t="shared" ca="1" si="312"/>
        <v/>
      </c>
      <c r="Z662" s="368" t="str">
        <f t="shared" ca="1" si="313"/>
        <v/>
      </c>
      <c r="AA662" s="369" t="str">
        <f t="shared" ca="1" si="314"/>
        <v/>
      </c>
      <c r="AB662" s="344"/>
      <c r="AC662" s="363" t="e">
        <f t="shared" ca="1" si="315"/>
        <v>#N/A</v>
      </c>
      <c r="AD662" s="376" t="e">
        <f t="shared" ca="1" si="316"/>
        <v>#N/A</v>
      </c>
      <c r="AE662" s="377">
        <f t="shared" ca="1" si="295"/>
        <v>2678.0780793712884</v>
      </c>
      <c r="AF662" s="344"/>
      <c r="AG662" s="359">
        <f t="shared" ca="1" si="317"/>
        <v>-5.3185816196340907</v>
      </c>
      <c r="AH662" s="357">
        <f t="shared" ca="1" si="318"/>
        <v>-0.43698246150044145</v>
      </c>
    </row>
    <row r="663" spans="1:34" x14ac:dyDescent="0.25">
      <c r="A663" s="402">
        <f t="shared" ca="1" si="296"/>
        <v>0.1</v>
      </c>
      <c r="B663" s="357">
        <f t="shared" ca="1" si="297"/>
        <v>20.899999999999967</v>
      </c>
      <c r="C663" s="342"/>
      <c r="D663" s="359">
        <f t="shared" ca="1" si="298"/>
        <v>-0.37411620491573883</v>
      </c>
      <c r="E663" s="360">
        <f t="shared" ca="1" si="299"/>
        <v>-10.015084910713767</v>
      </c>
      <c r="F663" s="357">
        <f t="shared" ca="1" si="300"/>
        <v>10.022070080756128</v>
      </c>
      <c r="G663" s="359">
        <f t="shared" ca="1" si="301"/>
        <v>38.431112909669295</v>
      </c>
      <c r="H663" s="360">
        <f t="shared" ca="1" si="302"/>
        <v>20.086361574154246</v>
      </c>
      <c r="I663" s="357">
        <f t="shared" ca="1" si="303"/>
        <v>43.363721712549193</v>
      </c>
      <c r="J663" s="359">
        <f t="shared" ca="1" si="304"/>
        <v>927.30732729736451</v>
      </c>
      <c r="K663" s="360">
        <f t="shared" ca="1" si="305"/>
        <v>2680.1367909532573</v>
      </c>
      <c r="L663" s="357">
        <f t="shared" ca="1" si="290"/>
        <v>2836.0239945177836</v>
      </c>
      <c r="M663" s="359">
        <f t="shared" ca="1" si="306"/>
        <v>0.48160994320174089</v>
      </c>
      <c r="N663" s="357">
        <f t="shared" ca="1" si="307"/>
        <v>27.594217116995047</v>
      </c>
      <c r="O663" s="343"/>
      <c r="P663" s="363">
        <f t="shared" ca="1" si="308"/>
        <v>23</v>
      </c>
      <c r="Q663" s="357">
        <f t="shared" ca="1" si="309"/>
        <v>0</v>
      </c>
      <c r="R663" s="359">
        <f t="shared" ca="1" si="310"/>
        <v>0</v>
      </c>
      <c r="S663" s="360">
        <f t="shared" ca="1" si="311"/>
        <v>9.637999999999975</v>
      </c>
      <c r="T663" s="357">
        <f t="shared" ca="1" si="291"/>
        <v>94.548779999999766</v>
      </c>
      <c r="U663" s="364">
        <f t="shared" ca="1" si="292"/>
        <v>0</v>
      </c>
      <c r="V663" s="359">
        <f t="shared" ca="1" si="293"/>
        <v>0.93548079655080896</v>
      </c>
      <c r="W663" s="357">
        <f t="shared" ca="1" si="294"/>
        <v>4.016873145961803</v>
      </c>
      <c r="X663" s="343"/>
      <c r="Y663" s="367" t="str">
        <f t="shared" ca="1" si="312"/>
        <v/>
      </c>
      <c r="Z663" s="368" t="str">
        <f t="shared" ca="1" si="313"/>
        <v/>
      </c>
      <c r="AA663" s="369" t="str">
        <f t="shared" ca="1" si="314"/>
        <v/>
      </c>
      <c r="AB663" s="344"/>
      <c r="AC663" s="363" t="e">
        <f t="shared" ca="1" si="315"/>
        <v>#N/A</v>
      </c>
      <c r="AD663" s="376" t="e">
        <f t="shared" ca="1" si="316"/>
        <v>#N/A</v>
      </c>
      <c r="AE663" s="377">
        <f t="shared" ca="1" si="295"/>
        <v>2680.1367909532573</v>
      </c>
      <c r="AF663" s="344"/>
      <c r="AG663" s="359">
        <f t="shared" ca="1" si="317"/>
        <v>-5.1422728918451961</v>
      </c>
      <c r="AH663" s="357">
        <f t="shared" ca="1" si="318"/>
        <v>-0.42664124904072409</v>
      </c>
    </row>
    <row r="664" spans="1:34" x14ac:dyDescent="0.25">
      <c r="A664" s="402">
        <f t="shared" ca="1" si="296"/>
        <v>0.1</v>
      </c>
      <c r="B664" s="357">
        <f t="shared" ca="1" si="297"/>
        <v>20.999999999999968</v>
      </c>
      <c r="C664" s="342"/>
      <c r="D664" s="359">
        <f t="shared" ca="1" si="298"/>
        <v>-0.36936658774202785</v>
      </c>
      <c r="E664" s="360">
        <f t="shared" ca="1" si="299"/>
        <v>-10.003052718828013</v>
      </c>
      <c r="F664" s="357">
        <f t="shared" ca="1" si="300"/>
        <v>10.00986989784546</v>
      </c>
      <c r="G664" s="359">
        <f t="shared" ca="1" si="301"/>
        <v>38.394176250895093</v>
      </c>
      <c r="H664" s="360">
        <f t="shared" ca="1" si="302"/>
        <v>19.086056302271444</v>
      </c>
      <c r="I664" s="357">
        <f t="shared" ca="1" si="303"/>
        <v>42.876454087975517</v>
      </c>
      <c r="J664" s="359">
        <f t="shared" ca="1" si="304"/>
        <v>931.14859175539277</v>
      </c>
      <c r="K664" s="360">
        <f t="shared" ca="1" si="305"/>
        <v>2682.0954118470786</v>
      </c>
      <c r="L664" s="357">
        <f t="shared" ca="1" si="290"/>
        <v>2839.1325256456771</v>
      </c>
      <c r="M664" s="359">
        <f t="shared" ca="1" si="306"/>
        <v>0.46133142001963645</v>
      </c>
      <c r="N664" s="357">
        <f t="shared" ca="1" si="307"/>
        <v>26.432343323902263</v>
      </c>
      <c r="O664" s="343"/>
      <c r="P664" s="363">
        <f t="shared" ca="1" si="308"/>
        <v>23</v>
      </c>
      <c r="Q664" s="357">
        <f t="shared" ca="1" si="309"/>
        <v>0</v>
      </c>
      <c r="R664" s="359">
        <f t="shared" ca="1" si="310"/>
        <v>0</v>
      </c>
      <c r="S664" s="360">
        <f t="shared" ca="1" si="311"/>
        <v>9.637999999999975</v>
      </c>
      <c r="T664" s="357">
        <f t="shared" ca="1" si="291"/>
        <v>94.548779999999766</v>
      </c>
      <c r="U664" s="364">
        <f t="shared" ca="1" si="292"/>
        <v>0</v>
      </c>
      <c r="V664" s="359">
        <f t="shared" ca="1" si="293"/>
        <v>0.93529423694280123</v>
      </c>
      <c r="W664" s="357">
        <f t="shared" ca="1" si="294"/>
        <v>3.9263239075371166</v>
      </c>
      <c r="X664" s="343"/>
      <c r="Y664" s="367" t="str">
        <f t="shared" ca="1" si="312"/>
        <v/>
      </c>
      <c r="Z664" s="368" t="str">
        <f t="shared" ca="1" si="313"/>
        <v>Para</v>
      </c>
      <c r="AA664" s="369" t="str">
        <f t="shared" ca="1" si="314"/>
        <v/>
      </c>
      <c r="AB664" s="344"/>
      <c r="AC664" s="363">
        <f t="shared" ca="1" si="315"/>
        <v>20.999999999999968</v>
      </c>
      <c r="AD664" s="376">
        <f t="shared" ca="1" si="316"/>
        <v>931.14859175539277</v>
      </c>
      <c r="AE664" s="377" t="e">
        <f t="shared" ca="1" si="295"/>
        <v>#N/A</v>
      </c>
      <c r="AF664" s="344"/>
      <c r="AG664" s="359">
        <f t="shared" ca="1" si="317"/>
        <v>-4.9608311809644521</v>
      </c>
      <c r="AH664" s="357">
        <f t="shared" ca="1" si="318"/>
        <v>-0.41677455343036041</v>
      </c>
    </row>
    <row r="665" spans="1:34" x14ac:dyDescent="0.25">
      <c r="A665" s="402">
        <f t="shared" ca="1" si="296"/>
        <v>0.1</v>
      </c>
      <c r="B665" s="357">
        <f t="shared" ca="1" si="297"/>
        <v>21.099999999999969</v>
      </c>
      <c r="C665" s="342"/>
      <c r="D665" s="359">
        <f t="shared" ca="1" si="298"/>
        <v>-0.3647923271212013</v>
      </c>
      <c r="E665" s="360">
        <f t="shared" ca="1" si="299"/>
        <v>-9.9913412234338423</v>
      </c>
      <c r="F665" s="357">
        <f t="shared" ca="1" si="300"/>
        <v>9.9979984439394158</v>
      </c>
      <c r="G665" s="359">
        <f t="shared" ca="1" si="301"/>
        <v>38.357697018182975</v>
      </c>
      <c r="H665" s="360">
        <f t="shared" ca="1" si="302"/>
        <v>18.08692217992806</v>
      </c>
      <c r="I665" s="357">
        <f t="shared" ca="1" si="303"/>
        <v>42.408132173929765</v>
      </c>
      <c r="J665" s="359">
        <f t="shared" ca="1" si="304"/>
        <v>934.98618541884673</v>
      </c>
      <c r="K665" s="360">
        <f t="shared" ca="1" si="305"/>
        <v>2683.9540607711888</v>
      </c>
      <c r="L665" s="357">
        <f t="shared" ca="1" si="290"/>
        <v>2842.1485828953842</v>
      </c>
      <c r="M665" s="359">
        <f t="shared" ca="1" si="306"/>
        <v>0.44061582474972033</v>
      </c>
      <c r="N665" s="357">
        <f t="shared" ca="1" si="307"/>
        <v>25.245427144834895</v>
      </c>
      <c r="O665" s="343"/>
      <c r="P665" s="363">
        <f t="shared" ca="1" si="308"/>
        <v>23</v>
      </c>
      <c r="Q665" s="357">
        <f t="shared" ca="1" si="309"/>
        <v>0</v>
      </c>
      <c r="R665" s="359">
        <f t="shared" ca="1" si="310"/>
        <v>0</v>
      </c>
      <c r="S665" s="360">
        <f t="shared" ca="1" si="311"/>
        <v>9.637999999999975</v>
      </c>
      <c r="T665" s="357">
        <f t="shared" ca="1" si="291"/>
        <v>94.548779999999766</v>
      </c>
      <c r="U665" s="364">
        <f t="shared" ca="1" si="292"/>
        <v>0</v>
      </c>
      <c r="V665" s="359">
        <f t="shared" ca="1" si="293"/>
        <v>0.93511722950624521</v>
      </c>
      <c r="W665" s="357">
        <f t="shared" ca="1" si="294"/>
        <v>3.8402941542290998</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-4.7742101435934039</v>
      </c>
      <c r="AH665" s="357">
        <f t="shared" ca="1" si="318"/>
        <v>-0.40737952972993635</v>
      </c>
    </row>
    <row r="666" spans="1:34" x14ac:dyDescent="0.25">
      <c r="A666" s="402">
        <f t="shared" ca="1" si="296"/>
        <v>0.1</v>
      </c>
      <c r="B666" s="357">
        <f t="shared" ca="1" si="297"/>
        <v>21.199999999999971</v>
      </c>
      <c r="C666" s="342"/>
      <c r="D666" s="359">
        <f t="shared" ca="1" si="298"/>
        <v>-0.36039681881652702</v>
      </c>
      <c r="E666" s="360">
        <f t="shared" ca="1" si="299"/>
        <v>-9.9799390141368018</v>
      </c>
      <c r="F666" s="357">
        <f t="shared" ca="1" si="300"/>
        <v>9.9864442417160131</v>
      </c>
      <c r="G666" s="359">
        <f t="shared" ca="1" si="301"/>
        <v>38.321657336301321</v>
      </c>
      <c r="H666" s="360">
        <f t="shared" ca="1" si="302"/>
        <v>17.088928278514381</v>
      </c>
      <c r="I666" s="357">
        <f t="shared" ca="1" si="303"/>
        <v>41.959276575140159</v>
      </c>
      <c r="J666" s="359">
        <f t="shared" ca="1" si="304"/>
        <v>938.82015313657098</v>
      </c>
      <c r="K666" s="360">
        <f t="shared" ca="1" si="305"/>
        <v>2685.712853294111</v>
      </c>
      <c r="L666" s="357">
        <f t="shared" ca="1" si="290"/>
        <v>2845.0723734704129</v>
      </c>
      <c r="M666" s="359">
        <f t="shared" ca="1" si="306"/>
        <v>0.41946746113321948</v>
      </c>
      <c r="N666" s="357">
        <f t="shared" ca="1" si="307"/>
        <v>24.033715166001372</v>
      </c>
      <c r="O666" s="343"/>
      <c r="P666" s="363">
        <f t="shared" ca="1" si="308"/>
        <v>23</v>
      </c>
      <c r="Q666" s="357">
        <f t="shared" ca="1" si="309"/>
        <v>0</v>
      </c>
      <c r="R666" s="359">
        <f t="shared" ca="1" si="310"/>
        <v>0</v>
      </c>
      <c r="S666" s="360">
        <f t="shared" ca="1" si="311"/>
        <v>9.637999999999975</v>
      </c>
      <c r="T666" s="357">
        <f t="shared" ca="1" si="291"/>
        <v>94.548779999999766</v>
      </c>
      <c r="U666" s="364">
        <f t="shared" ca="1" si="292"/>
        <v>0</v>
      </c>
      <c r="V666" s="359">
        <f t="shared" ca="1" si="293"/>
        <v>0.93494975854968077</v>
      </c>
      <c r="W666" s="357">
        <f t="shared" ca="1" si="294"/>
        <v>3.7587583008853125</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-4.5823846118614364</v>
      </c>
      <c r="AH666" s="357">
        <f t="shared" ca="1" si="318"/>
        <v>-0.39845342957347063</v>
      </c>
    </row>
    <row r="667" spans="1:34" x14ac:dyDescent="0.25">
      <c r="A667" s="402">
        <f t="shared" ca="1" si="296"/>
        <v>0.1</v>
      </c>
      <c r="B667" s="357">
        <f t="shared" ca="1" si="297"/>
        <v>21.299999999999972</v>
      </c>
      <c r="C667" s="342"/>
      <c r="D667" s="359">
        <f t="shared" ca="1" si="298"/>
        <v>-0.35618347738928535</v>
      </c>
      <c r="E667" s="360">
        <f t="shared" ca="1" si="299"/>
        <v>-9.9688343073390904</v>
      </c>
      <c r="F667" s="357">
        <f t="shared" ca="1" si="300"/>
        <v>9.9751954425337424</v>
      </c>
      <c r="G667" s="359">
        <f t="shared" ca="1" si="301"/>
        <v>38.286038988562396</v>
      </c>
      <c r="H667" s="360">
        <f t="shared" ca="1" si="302"/>
        <v>16.092044847780471</v>
      </c>
      <c r="I667" s="357">
        <f t="shared" ca="1" si="303"/>
        <v>41.530406798112367</v>
      </c>
      <c r="J667" s="359">
        <f t="shared" ca="1" si="304"/>
        <v>942.65053795281415</v>
      </c>
      <c r="K667" s="360">
        <f t="shared" ca="1" si="305"/>
        <v>2687.3719019504256</v>
      </c>
      <c r="L667" s="357">
        <f t="shared" ca="1" si="290"/>
        <v>2847.9041023347991</v>
      </c>
      <c r="M667" s="359">
        <f t="shared" ca="1" si="306"/>
        <v>0.39789236164518338</v>
      </c>
      <c r="N667" s="357">
        <f t="shared" ca="1" si="307"/>
        <v>22.797553022762042</v>
      </c>
      <c r="O667" s="343"/>
      <c r="P667" s="363">
        <f t="shared" ca="1" si="308"/>
        <v>23</v>
      </c>
      <c r="Q667" s="357">
        <f t="shared" ca="1" si="309"/>
        <v>0</v>
      </c>
      <c r="R667" s="359">
        <f t="shared" ca="1" si="310"/>
        <v>0</v>
      </c>
      <c r="S667" s="360">
        <f t="shared" ca="1" si="311"/>
        <v>9.637999999999975</v>
      </c>
      <c r="T667" s="357">
        <f t="shared" ca="1" si="291"/>
        <v>94.548779999999766</v>
      </c>
      <c r="U667" s="364">
        <f t="shared" ca="1" si="292"/>
        <v>0</v>
      </c>
      <c r="V667" s="359">
        <f t="shared" ca="1" si="293"/>
        <v>0.93479180893083036</v>
      </c>
      <c r="W667" s="357">
        <f t="shared" ca="1" si="294"/>
        <v>3.681691638564025</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-4.3853529108958691</v>
      </c>
      <c r="AH667" s="357">
        <f t="shared" ca="1" si="318"/>
        <v>-0.38999359834875724</v>
      </c>
    </row>
    <row r="668" spans="1:34" x14ac:dyDescent="0.25">
      <c r="A668" s="402">
        <f t="shared" ca="1" si="296"/>
        <v>0.1</v>
      </c>
      <c r="B668" s="357">
        <f t="shared" ca="1" si="297"/>
        <v>21.399999999999974</v>
      </c>
      <c r="C668" s="342"/>
      <c r="D668" s="359">
        <f t="shared" ca="1" si="298"/>
        <v>-0.35215571547944852</v>
      </c>
      <c r="E668" s="360">
        <f t="shared" ca="1" si="299"/>
        <v>-9.9580149348589035</v>
      </c>
      <c r="F668" s="357">
        <f t="shared" ca="1" si="300"/>
        <v>9.9642398149993259</v>
      </c>
      <c r="G668" s="359">
        <f t="shared" ca="1" si="301"/>
        <v>38.250823417014452</v>
      </c>
      <c r="H668" s="360">
        <f t="shared" ca="1" si="302"/>
        <v>15.096243354294581</v>
      </c>
      <c r="I668" s="357">
        <f t="shared" ca="1" si="303"/>
        <v>41.122038561964608</v>
      </c>
      <c r="J668" s="359">
        <f t="shared" ca="1" si="304"/>
        <v>946.47738107309294</v>
      </c>
      <c r="K668" s="360">
        <f t="shared" ca="1" si="305"/>
        <v>2688.9313163605293</v>
      </c>
      <c r="L668" s="357">
        <f t="shared" ca="1" si="290"/>
        <v>2850.64397233105</v>
      </c>
      <c r="M668" s="359">
        <f t="shared" ca="1" si="306"/>
        <v>0.3758983911572002</v>
      </c>
      <c r="N668" s="357">
        <f t="shared" ca="1" si="307"/>
        <v>21.537391339065316</v>
      </c>
      <c r="O668" s="343"/>
      <c r="P668" s="363">
        <f t="shared" ca="1" si="308"/>
        <v>23</v>
      </c>
      <c r="Q668" s="357">
        <f t="shared" ca="1" si="309"/>
        <v>0</v>
      </c>
      <c r="R668" s="359">
        <f t="shared" ca="1" si="310"/>
        <v>0</v>
      </c>
      <c r="S668" s="360">
        <f t="shared" ca="1" si="311"/>
        <v>9.637999999999975</v>
      </c>
      <c r="T668" s="357">
        <f t="shared" ca="1" si="291"/>
        <v>94.548779999999766</v>
      </c>
      <c r="U668" s="364">
        <f t="shared" ca="1" si="292"/>
        <v>0</v>
      </c>
      <c r="V668" s="359">
        <f t="shared" ca="1" si="293"/>
        <v>0.93464336604373666</v>
      </c>
      <c r="W668" s="357">
        <f t="shared" ca="1" si="294"/>
        <v>3.6090703069011139</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-4.1831391448687834</v>
      </c>
      <c r="AH668" s="357">
        <f t="shared" ca="1" si="318"/>
        <v>-0.38199747235567905</v>
      </c>
    </row>
    <row r="669" spans="1:34" x14ac:dyDescent="0.25">
      <c r="A669" s="402">
        <f t="shared" ca="1" si="296"/>
        <v>0.1</v>
      </c>
      <c r="B669" s="357">
        <f t="shared" ca="1" si="297"/>
        <v>21.499999999999975</v>
      </c>
      <c r="C669" s="342"/>
      <c r="D669" s="359">
        <f t="shared" ca="1" si="298"/>
        <v>-0.34831692127674707</v>
      </c>
      <c r="E669" s="360">
        <f t="shared" ca="1" si="299"/>
        <v>-9.9474683350129798</v>
      </c>
      <c r="F669" s="357">
        <f t="shared" ca="1" si="300"/>
        <v>9.9535647359995405</v>
      </c>
      <c r="G669" s="359">
        <f t="shared" ca="1" si="301"/>
        <v>38.215991724886777</v>
      </c>
      <c r="H669" s="360">
        <f t="shared" ca="1" si="302"/>
        <v>14.101496520793283</v>
      </c>
      <c r="I669" s="357">
        <f t="shared" ca="1" si="303"/>
        <v>40.734680895307868</v>
      </c>
      <c r="J669" s="359">
        <f t="shared" ca="1" si="304"/>
        <v>950.30072183018797</v>
      </c>
      <c r="K669" s="360">
        <f t="shared" ca="1" si="305"/>
        <v>2690.3912033542838</v>
      </c>
      <c r="L669" s="357">
        <f t="shared" ca="1" si="290"/>
        <v>2853.2921843016861</v>
      </c>
      <c r="M669" s="359">
        <f t="shared" ca="1" si="306"/>
        <v>0.35349534000361982</v>
      </c>
      <c r="N669" s="357">
        <f t="shared" ca="1" si="307"/>
        <v>20.253791059749471</v>
      </c>
      <c r="O669" s="343"/>
      <c r="P669" s="363">
        <f t="shared" ca="1" si="308"/>
        <v>23</v>
      </c>
      <c r="Q669" s="357">
        <f t="shared" ca="1" si="309"/>
        <v>0</v>
      </c>
      <c r="R669" s="359">
        <f t="shared" ca="1" si="310"/>
        <v>0</v>
      </c>
      <c r="S669" s="360">
        <f t="shared" ca="1" si="311"/>
        <v>9.637999999999975</v>
      </c>
      <c r="T669" s="357">
        <f t="shared" ca="1" si="291"/>
        <v>94.548779999999766</v>
      </c>
      <c r="U669" s="364">
        <f t="shared" ca="1" si="292"/>
        <v>0</v>
      </c>
      <c r="V669" s="359">
        <f t="shared" ca="1" si="293"/>
        <v>0.93450441580559485</v>
      </c>
      <c r="W669" s="357">
        <f t="shared" ca="1" si="294"/>
        <v>3.5408712662035673</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-3.9757954009758496</v>
      </c>
      <c r="AH669" s="357">
        <f t="shared" ca="1" si="318"/>
        <v>-0.37446257593910803</v>
      </c>
    </row>
    <row r="670" spans="1:34" x14ac:dyDescent="0.25">
      <c r="A670" s="402">
        <f t="shared" ca="1" si="296"/>
        <v>0.1</v>
      </c>
      <c r="B670" s="357">
        <f t="shared" ca="1" si="297"/>
        <v>21.599999999999977</v>
      </c>
      <c r="C670" s="342"/>
      <c r="D670" s="359">
        <f t="shared" ca="1" si="298"/>
        <v>-0.3446704342789908</v>
      </c>
      <c r="E670" s="360">
        <f t="shared" ca="1" si="299"/>
        <v>-9.9371815465314839</v>
      </c>
      <c r="F670" s="357">
        <f t="shared" ca="1" si="300"/>
        <v>9.9431571845662745</v>
      </c>
      <c r="G670" s="359">
        <f t="shared" ca="1" si="301"/>
        <v>38.181524681458875</v>
      </c>
      <c r="H670" s="360">
        <f t="shared" ca="1" si="302"/>
        <v>13.107778366140135</v>
      </c>
      <c r="I670" s="357">
        <f t="shared" ca="1" si="303"/>
        <v>40.368833036102302</v>
      </c>
      <c r="J670" s="359">
        <f t="shared" ca="1" si="304"/>
        <v>954.12059765050526</v>
      </c>
      <c r="K670" s="360">
        <f t="shared" ca="1" si="305"/>
        <v>2691.7516670986306</v>
      </c>
      <c r="L670" s="357">
        <f t="shared" ca="1" si="290"/>
        <v>2855.8489372145045</v>
      </c>
      <c r="M670" s="359">
        <f t="shared" ca="1" si="306"/>
        <v>0.33069500348633202</v>
      </c>
      <c r="N670" s="357">
        <f t="shared" ca="1" si="307"/>
        <v>18.947428005830869</v>
      </c>
      <c r="O670" s="343"/>
      <c r="P670" s="363">
        <f t="shared" ca="1" si="308"/>
        <v>23</v>
      </c>
      <c r="Q670" s="357">
        <f t="shared" ca="1" si="309"/>
        <v>0</v>
      </c>
      <c r="R670" s="359">
        <f t="shared" ca="1" si="310"/>
        <v>0</v>
      </c>
      <c r="S670" s="360">
        <f t="shared" ca="1" si="311"/>
        <v>9.637999999999975</v>
      </c>
      <c r="T670" s="357">
        <f t="shared" ca="1" si="291"/>
        <v>94.548779999999766</v>
      </c>
      <c r="U670" s="364">
        <f t="shared" ca="1" si="292"/>
        <v>0</v>
      </c>
      <c r="V670" s="359">
        <f t="shared" ca="1" si="293"/>
        <v>0.93437494464327298</v>
      </c>
      <c r="W670" s="357">
        <f t="shared" ca="1" si="294"/>
        <v>3.477072269245757</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-3.7634038146296716</v>
      </c>
      <c r="AH670" s="357">
        <f t="shared" ca="1" si="318"/>
        <v>-0.36738651859344018</v>
      </c>
    </row>
    <row r="671" spans="1:34" x14ac:dyDescent="0.25">
      <c r="A671" s="402">
        <f t="shared" ca="1" si="296"/>
        <v>0.1</v>
      </c>
      <c r="B671" s="357">
        <f t="shared" ca="1" si="297"/>
        <v>21.699999999999978</v>
      </c>
      <c r="C671" s="342"/>
      <c r="D671" s="359">
        <f t="shared" ca="1" si="298"/>
        <v>-0.34121951948352053</v>
      </c>
      <c r="E671" s="360">
        <f t="shared" ca="1" si="299"/>
        <v>-9.9271412056722497</v>
      </c>
      <c r="F671" s="357">
        <f t="shared" ca="1" si="300"/>
        <v>9.9330037389418333</v>
      </c>
      <c r="G671" s="359">
        <f t="shared" ca="1" si="301"/>
        <v>38.147402729510524</v>
      </c>
      <c r="H671" s="360">
        <f t="shared" ca="1" si="302"/>
        <v>12.11506424557291</v>
      </c>
      <c r="I671" s="357">
        <f t="shared" ca="1" si="303"/>
        <v>40.02498115779477</v>
      </c>
      <c r="J671" s="359">
        <f t="shared" ca="1" si="304"/>
        <v>957.93704402105368</v>
      </c>
      <c r="K671" s="360">
        <f t="shared" ca="1" si="305"/>
        <v>2693.0128092292161</v>
      </c>
      <c r="L671" s="357">
        <f t="shared" ca="1" si="290"/>
        <v>2858.314428291686</v>
      </c>
      <c r="M671" s="359">
        <f t="shared" ca="1" si="306"/>
        <v>0.3075112447753322</v>
      </c>
      <c r="N671" s="357">
        <f t="shared" ca="1" si="307"/>
        <v>17.619096478440923</v>
      </c>
      <c r="O671" s="343"/>
      <c r="P671" s="363">
        <f t="shared" ca="1" si="308"/>
        <v>23</v>
      </c>
      <c r="Q671" s="357">
        <f t="shared" ca="1" si="309"/>
        <v>0</v>
      </c>
      <c r="R671" s="359">
        <f t="shared" ca="1" si="310"/>
        <v>0</v>
      </c>
      <c r="S671" s="360">
        <f t="shared" ca="1" si="311"/>
        <v>9.637999999999975</v>
      </c>
      <c r="T671" s="357">
        <f t="shared" ca="1" si="291"/>
        <v>94.548779999999766</v>
      </c>
      <c r="U671" s="364">
        <f t="shared" ca="1" si="292"/>
        <v>0</v>
      </c>
      <c r="V671" s="359">
        <f t="shared" ca="1" si="293"/>
        <v>0.93425493947951121</v>
      </c>
      <c r="W671" s="357">
        <f t="shared" ca="1" si="294"/>
        <v>3.4176518327499248</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-3.5460784340796527</v>
      </c>
      <c r="AH671" s="357">
        <f t="shared" ca="1" si="318"/>
        <v>-0.36076699203629031</v>
      </c>
    </row>
    <row r="672" spans="1:34" x14ac:dyDescent="0.25">
      <c r="A672" s="402">
        <f t="shared" ca="1" si="296"/>
        <v>0.1</v>
      </c>
      <c r="B672" s="357">
        <f t="shared" ca="1" si="297"/>
        <v>21.799999999999979</v>
      </c>
      <c r="C672" s="342"/>
      <c r="D672" s="359">
        <f t="shared" ca="1" si="298"/>
        <v>-0.33796734021011515</v>
      </c>
      <c r="E672" s="360">
        <f t="shared" ca="1" si="299"/>
        <v>-9.9173335468887238</v>
      </c>
      <c r="F672" s="357">
        <f t="shared" ca="1" si="300"/>
        <v>9.9230905771988791</v>
      </c>
      <c r="G672" s="359">
        <f t="shared" ca="1" si="301"/>
        <v>38.113605995489515</v>
      </c>
      <c r="H672" s="360">
        <f t="shared" ca="1" si="302"/>
        <v>11.123330890884038</v>
      </c>
      <c r="I672" s="357">
        <f t="shared" ca="1" si="303"/>
        <v>39.703594951685538</v>
      </c>
      <c r="J672" s="359">
        <f t="shared" ca="1" si="304"/>
        <v>961.7500944573037</v>
      </c>
      <c r="K672" s="360">
        <f t="shared" ca="1" si="305"/>
        <v>2694.1747289860391</v>
      </c>
      <c r="L672" s="357">
        <f t="shared" ca="1" si="290"/>
        <v>2860.6888531428281</v>
      </c>
      <c r="M672" s="359">
        <f t="shared" ca="1" si="306"/>
        <v>0.28396003817646936</v>
      </c>
      <c r="N672" s="357">
        <f t="shared" ca="1" si="307"/>
        <v>16.269711737885427</v>
      </c>
      <c r="O672" s="343"/>
      <c r="P672" s="363">
        <f t="shared" ca="1" si="308"/>
        <v>23</v>
      </c>
      <c r="Q672" s="357">
        <f t="shared" ca="1" si="309"/>
        <v>0</v>
      </c>
      <c r="R672" s="359">
        <f t="shared" ca="1" si="310"/>
        <v>0</v>
      </c>
      <c r="S672" s="360">
        <f t="shared" ca="1" si="311"/>
        <v>9.637999999999975</v>
      </c>
      <c r="T672" s="357">
        <f t="shared" ca="1" si="291"/>
        <v>94.548779999999766</v>
      </c>
      <c r="U672" s="364">
        <f t="shared" ca="1" si="292"/>
        <v>0</v>
      </c>
      <c r="V672" s="359">
        <f t="shared" ca="1" si="293"/>
        <v>0.93414438771879893</v>
      </c>
      <c r="W672" s="357">
        <f t="shared" ca="1" si="294"/>
        <v>3.3625892085380866</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-3.3239668190534442</v>
      </c>
      <c r="AH672" s="357">
        <f t="shared" ca="1" si="318"/>
        <v>-0.35460176724942244</v>
      </c>
    </row>
    <row r="673" spans="1:34" x14ac:dyDescent="0.25">
      <c r="A673" s="402">
        <f t="shared" ca="1" si="296"/>
        <v>0.1</v>
      </c>
      <c r="B673" s="357">
        <f t="shared" ca="1" si="297"/>
        <v>21.899999999999981</v>
      </c>
      <c r="C673" s="342"/>
      <c r="D673" s="359">
        <f t="shared" ca="1" si="298"/>
        <v>-0.33491692980811744</v>
      </c>
      <c r="E673" s="360">
        <f t="shared" ca="1" si="299"/>
        <v>-9.9077444073818572</v>
      </c>
      <c r="F673" s="357">
        <f t="shared" ca="1" si="300"/>
        <v>9.9134034817452346</v>
      </c>
      <c r="G673" s="359">
        <f t="shared" ca="1" si="301"/>
        <v>38.080114302508704</v>
      </c>
      <c r="H673" s="360">
        <f t="shared" ca="1" si="302"/>
        <v>10.132556450145852</v>
      </c>
      <c r="I673" s="357">
        <f t="shared" ca="1" si="303"/>
        <v>39.405124102171285</v>
      </c>
      <c r="J673" s="359">
        <f t="shared" ca="1" si="304"/>
        <v>965.55978047220367</v>
      </c>
      <c r="K673" s="360">
        <f t="shared" ca="1" si="305"/>
        <v>2695.2375233530906</v>
      </c>
      <c r="L673" s="357">
        <f t="shared" ca="1" si="290"/>
        <v>2862.9724059019554</v>
      </c>
      <c r="M673" s="359">
        <f t="shared" ca="1" si="306"/>
        <v>0.26005948985957228</v>
      </c>
      <c r="N673" s="357">
        <f t="shared" ca="1" si="307"/>
        <v>14.900311191278721</v>
      </c>
      <c r="O673" s="343"/>
      <c r="P673" s="363">
        <f t="shared" ca="1" si="308"/>
        <v>23</v>
      </c>
      <c r="Q673" s="357">
        <f t="shared" ca="1" si="309"/>
        <v>0</v>
      </c>
      <c r="R673" s="359">
        <f t="shared" ca="1" si="310"/>
        <v>0</v>
      </c>
      <c r="S673" s="360">
        <f t="shared" ca="1" si="311"/>
        <v>9.637999999999975</v>
      </c>
      <c r="T673" s="357">
        <f t="shared" ca="1" si="291"/>
        <v>94.548779999999766</v>
      </c>
      <c r="U673" s="364">
        <f t="shared" ca="1" si="292"/>
        <v>0</v>
      </c>
      <c r="V673" s="359">
        <f t="shared" ca="1" si="293"/>
        <v>0.93404327723292901</v>
      </c>
      <c r="W673" s="357">
        <f t="shared" ca="1" si="294"/>
        <v>3.311864354349022</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-3.097251306315759</v>
      </c>
      <c r="AH673" s="357">
        <f t="shared" ca="1" si="318"/>
        <v>-0.34888869148558782</v>
      </c>
    </row>
    <row r="674" spans="1:34" x14ac:dyDescent="0.25">
      <c r="A674" s="402">
        <f t="shared" ca="1" si="296"/>
        <v>0.1</v>
      </c>
      <c r="B674" s="357">
        <f t="shared" ca="1" si="297"/>
        <v>21.999999999999982</v>
      </c>
      <c r="C674" s="342"/>
      <c r="D674" s="359">
        <f t="shared" ca="1" si="298"/>
        <v>-0.33207116255521224</v>
      </c>
      <c r="E674" s="360">
        <f t="shared" ca="1" si="299"/>
        <v>-9.8983592358291475</v>
      </c>
      <c r="F674" s="357">
        <f t="shared" ca="1" si="300"/>
        <v>9.903927848006818</v>
      </c>
      <c r="G674" s="359">
        <f t="shared" ca="1" si="301"/>
        <v>38.046907186253186</v>
      </c>
      <c r="H674" s="360">
        <f t="shared" ca="1" si="302"/>
        <v>9.1427205265629379</v>
      </c>
      <c r="I674" s="357">
        <f t="shared" ca="1" si="303"/>
        <v>39.129994698008836</v>
      </c>
      <c r="J674" s="359">
        <f t="shared" ca="1" si="304"/>
        <v>969.36613154664178</v>
      </c>
      <c r="K674" s="360">
        <f t="shared" ca="1" si="305"/>
        <v>2696.2012872019259</v>
      </c>
      <c r="L674" s="357">
        <f t="shared" ca="1" si="290"/>
        <v>2865.1652793685435</v>
      </c>
      <c r="M674" s="359">
        <f t="shared" ca="1" si="306"/>
        <v>0.23582983338216973</v>
      </c>
      <c r="N674" s="357">
        <f t="shared" ca="1" si="307"/>
        <v>13.512054136071738</v>
      </c>
      <c r="O674" s="343"/>
      <c r="P674" s="363">
        <f t="shared" ca="1" si="308"/>
        <v>23</v>
      </c>
      <c r="Q674" s="357">
        <f t="shared" ca="1" si="309"/>
        <v>0</v>
      </c>
      <c r="R674" s="359">
        <f t="shared" ca="1" si="310"/>
        <v>0</v>
      </c>
      <c r="S674" s="360">
        <f t="shared" ca="1" si="311"/>
        <v>9.637999999999975</v>
      </c>
      <c r="T674" s="357">
        <f t="shared" ca="1" si="291"/>
        <v>94.548779999999766</v>
      </c>
      <c r="U674" s="364">
        <f t="shared" ca="1" si="292"/>
        <v>0</v>
      </c>
      <c r="V674" s="359">
        <f t="shared" ca="1" si="293"/>
        <v>0.93395159634623193</v>
      </c>
      <c r="W674" s="357">
        <f t="shared" ca="1" si="294"/>
        <v>3.2654579043207859</v>
      </c>
      <c r="X674" s="343"/>
      <c r="Y674" s="367" t="str">
        <f t="shared" ca="1" si="312"/>
        <v/>
      </c>
      <c r="Z674" s="368" t="str">
        <f t="shared" ca="1" si="313"/>
        <v/>
      </c>
      <c r="AA674" s="369" t="str">
        <f t="shared" ca="1" si="314"/>
        <v/>
      </c>
      <c r="AB674" s="344"/>
      <c r="AC674" s="363">
        <f t="shared" ca="1" si="315"/>
        <v>21.999999999999982</v>
      </c>
      <c r="AD674" s="376">
        <f t="shared" ca="1" si="316"/>
        <v>969.36613154664178</v>
      </c>
      <c r="AE674" s="377" t="e">
        <f t="shared" ca="1" si="295"/>
        <v>#N/A</v>
      </c>
      <c r="AF674" s="344"/>
      <c r="AG674" s="359">
        <f t="shared" ca="1" si="317"/>
        <v>-2.8661498757037944</v>
      </c>
      <c r="AH674" s="357">
        <f t="shared" ca="1" si="318"/>
        <v>-0.34362568524061327</v>
      </c>
    </row>
    <row r="675" spans="1:34" x14ac:dyDescent="0.25">
      <c r="A675" s="402">
        <f t="shared" ca="1" si="296"/>
        <v>0.1</v>
      </c>
      <c r="B675" s="357">
        <f t="shared" ca="1" si="297"/>
        <v>22.099999999999984</v>
      </c>
      <c r="C675" s="342"/>
      <c r="D675" s="359">
        <f t="shared" ca="1" si="298"/>
        <v>-0.32943272410802599</v>
      </c>
      <c r="E675" s="360">
        <f t="shared" ca="1" si="299"/>
        <v>-9.8891631055339033</v>
      </c>
      <c r="F675" s="357">
        <f t="shared" ca="1" si="300"/>
        <v>9.8946486975317214</v>
      </c>
      <c r="G675" s="359">
        <f t="shared" ca="1" si="301"/>
        <v>38.013963913842382</v>
      </c>
      <c r="H675" s="360">
        <f t="shared" ca="1" si="302"/>
        <v>8.1538042160095472</v>
      </c>
      <c r="I675" s="357">
        <f t="shared" ca="1" si="303"/>
        <v>38.878605628750705</v>
      </c>
      <c r="J675" s="359">
        <f t="shared" ca="1" si="304"/>
        <v>973.1691751016466</v>
      </c>
      <c r="K675" s="360">
        <f t="shared" ca="1" si="305"/>
        <v>2697.0661134390543</v>
      </c>
      <c r="L675" s="357">
        <f t="shared" ca="1" si="290"/>
        <v>2867.2676651525344</v>
      </c>
      <c r="M675" s="359">
        <f t="shared" ca="1" si="306"/>
        <v>0.21129339771423461</v>
      </c>
      <c r="N675" s="357">
        <f t="shared" ca="1" si="307"/>
        <v>12.1062199280048</v>
      </c>
      <c r="O675" s="343"/>
      <c r="P675" s="363">
        <f t="shared" ca="1" si="308"/>
        <v>23</v>
      </c>
      <c r="Q675" s="357">
        <f t="shared" ca="1" si="309"/>
        <v>0</v>
      </c>
      <c r="R675" s="359">
        <f t="shared" ca="1" si="310"/>
        <v>0</v>
      </c>
      <c r="S675" s="360">
        <f t="shared" ca="1" si="311"/>
        <v>9.637999999999975</v>
      </c>
      <c r="T675" s="357">
        <f t="shared" ca="1" si="291"/>
        <v>94.548779999999766</v>
      </c>
      <c r="U675" s="364">
        <f t="shared" ca="1" si="292"/>
        <v>0</v>
      </c>
      <c r="V675" s="359">
        <f t="shared" ca="1" si="293"/>
        <v>0.9338693338204993</v>
      </c>
      <c r="W675" s="357">
        <f t="shared" ca="1" si="294"/>
        <v>3.2233511391465459</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-2.6309165536121304</v>
      </c>
      <c r="AH675" s="357">
        <f t="shared" ca="1" si="318"/>
        <v>-0.33881073919078586</v>
      </c>
    </row>
    <row r="676" spans="1:34" x14ac:dyDescent="0.25">
      <c r="A676" s="402">
        <f t="shared" ca="1" si="296"/>
        <v>0.1</v>
      </c>
      <c r="B676" s="357">
        <f t="shared" ca="1" si="297"/>
        <v>22.199999999999985</v>
      </c>
      <c r="C676" s="342"/>
      <c r="D676" s="359">
        <f t="shared" ca="1" si="298"/>
        <v>-0.32700408191314528</v>
      </c>
      <c r="E676" s="360">
        <f t="shared" ca="1" si="299"/>
        <v>-9.8801407321740751</v>
      </c>
      <c r="F676" s="357">
        <f t="shared" ca="1" si="300"/>
        <v>9.8855506956948602</v>
      </c>
      <c r="G676" s="359">
        <f t="shared" ca="1" si="301"/>
        <v>37.981263505651064</v>
      </c>
      <c r="H676" s="360">
        <f t="shared" ca="1" si="302"/>
        <v>7.1657901427921393</v>
      </c>
      <c r="I676" s="357">
        <f t="shared" ca="1" si="303"/>
        <v>38.651325020705805</v>
      </c>
      <c r="J676" s="359">
        <f t="shared" ca="1" si="304"/>
        <v>976.96893647262129</v>
      </c>
      <c r="K676" s="360">
        <f t="shared" ca="1" si="305"/>
        <v>2697.8320931569942</v>
      </c>
      <c r="L676" s="357">
        <f t="shared" ca="1" si="290"/>
        <v>2869.2797538232994</v>
      </c>
      <c r="M676" s="359">
        <f t="shared" ca="1" si="306"/>
        <v>0.18647454596969873</v>
      </c>
      <c r="N676" s="357">
        <f t="shared" ca="1" si="307"/>
        <v>10.684204470681992</v>
      </c>
      <c r="O676" s="343"/>
      <c r="P676" s="363">
        <f t="shared" ca="1" si="308"/>
        <v>23</v>
      </c>
      <c r="Q676" s="357">
        <f t="shared" ca="1" si="309"/>
        <v>0</v>
      </c>
      <c r="R676" s="359">
        <f t="shared" ca="1" si="310"/>
        <v>0</v>
      </c>
      <c r="S676" s="360">
        <f t="shared" ca="1" si="311"/>
        <v>9.637999999999975</v>
      </c>
      <c r="T676" s="357">
        <f t="shared" ca="1" si="291"/>
        <v>94.548779999999766</v>
      </c>
      <c r="U676" s="364">
        <f t="shared" ca="1" si="292"/>
        <v>0</v>
      </c>
      <c r="V676" s="359">
        <f t="shared" ca="1" si="293"/>
        <v>0.93379647883960948</v>
      </c>
      <c r="W676" s="357">
        <f t="shared" ca="1" si="294"/>
        <v>3.1855259559191365</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-2.3918412973516467</v>
      </c>
      <c r="AH676" s="357">
        <f t="shared" ca="1" si="318"/>
        <v>-0.33444191109634303</v>
      </c>
    </row>
    <row r="677" spans="1:34" x14ac:dyDescent="0.25">
      <c r="A677" s="402">
        <f t="shared" ca="1" si="296"/>
        <v>0.1</v>
      </c>
      <c r="B677" s="357">
        <f t="shared" ca="1" si="297"/>
        <v>22.299999999999986</v>
      </c>
      <c r="C677" s="342"/>
      <c r="D677" s="359">
        <f t="shared" ca="1" si="298"/>
        <v>-0.32478745602868209</v>
      </c>
      <c r="E677" s="360">
        <f t="shared" ca="1" si="299"/>
        <v>-9.8712764962536497</v>
      </c>
      <c r="F677" s="357">
        <f t="shared" ca="1" si="300"/>
        <v>9.8766181741061203</v>
      </c>
      <c r="G677" s="359">
        <f t="shared" ca="1" si="301"/>
        <v>37.948784760048198</v>
      </c>
      <c r="H677" s="360">
        <f t="shared" ca="1" si="302"/>
        <v>6.1786624931667742</v>
      </c>
      <c r="I677" s="357">
        <f t="shared" ca="1" si="303"/>
        <v>38.448486770859162</v>
      </c>
      <c r="J677" s="359">
        <f t="shared" ca="1" si="304"/>
        <v>980.76543888590629</v>
      </c>
      <c r="K677" s="360">
        <f t="shared" ca="1" si="305"/>
        <v>2698.499315788792</v>
      </c>
      <c r="L677" s="357">
        <f t="shared" ca="1" si="290"/>
        <v>2871.2017350624533</v>
      </c>
      <c r="M677" s="359">
        <f t="shared" ca="1" si="306"/>
        <v>0.161399583675472</v>
      </c>
      <c r="N677" s="357">
        <f t="shared" ca="1" si="307"/>
        <v>9.2475149597731239</v>
      </c>
      <c r="O677" s="343"/>
      <c r="P677" s="363">
        <f t="shared" ca="1" si="308"/>
        <v>23</v>
      </c>
      <c r="Q677" s="357">
        <f t="shared" ca="1" si="309"/>
        <v>0</v>
      </c>
      <c r="R677" s="359">
        <f t="shared" ca="1" si="310"/>
        <v>0</v>
      </c>
      <c r="S677" s="360">
        <f t="shared" ca="1" si="311"/>
        <v>9.637999999999975</v>
      </c>
      <c r="T677" s="357">
        <f t="shared" ca="1" si="291"/>
        <v>94.548779999999766</v>
      </c>
      <c r="U677" s="364">
        <f t="shared" ca="1" si="292"/>
        <v>0</v>
      </c>
      <c r="V677" s="359">
        <f t="shared" ca="1" si="293"/>
        <v>0.9337330209938689</v>
      </c>
      <c r="W677" s="357">
        <f t="shared" ca="1" si="294"/>
        <v>3.1519648376875256</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-2.149249313442259</v>
      </c>
      <c r="AH677" s="357">
        <f t="shared" ca="1" si="318"/>
        <v>-0.33051732267266493</v>
      </c>
    </row>
    <row r="678" spans="1:34" x14ac:dyDescent="0.25">
      <c r="A678" s="402">
        <f t="shared" ca="1" si="296"/>
        <v>0.1</v>
      </c>
      <c r="B678" s="357">
        <f t="shared" ca="1" si="297"/>
        <v>22.399999999999988</v>
      </c>
      <c r="C678" s="342"/>
      <c r="D678" s="359">
        <f t="shared" ca="1" si="298"/>
        <v>-0.32278479083855144</v>
      </c>
      <c r="E678" s="360">
        <f t="shared" ca="1" si="299"/>
        <v>-9.862554470271693</v>
      </c>
      <c r="F678" s="357">
        <f t="shared" ca="1" si="300"/>
        <v>9.8678351577371242</v>
      </c>
      <c r="G678" s="359">
        <f t="shared" ca="1" si="301"/>
        <v>37.916506280964342</v>
      </c>
      <c r="H678" s="360">
        <f t="shared" ca="1" si="302"/>
        <v>5.1924070461396052</v>
      </c>
      <c r="I678" s="357">
        <f t="shared" ca="1" si="303"/>
        <v>38.270387239838698</v>
      </c>
      <c r="J678" s="359">
        <f t="shared" ca="1" si="304"/>
        <v>984.55870343795686</v>
      </c>
      <c r="K678" s="360">
        <f t="shared" ca="1" si="305"/>
        <v>2699.0678692657575</v>
      </c>
      <c r="L678" s="357">
        <f t="shared" ca="1" si="290"/>
        <v>2873.0337978203852</v>
      </c>
      <c r="M678" s="359">
        <f t="shared" ca="1" si="306"/>
        <v>0.13609663614474365</v>
      </c>
      <c r="N678" s="357">
        <f t="shared" ca="1" si="307"/>
        <v>7.7977628570214224</v>
      </c>
      <c r="O678" s="343"/>
      <c r="P678" s="363">
        <f t="shared" ca="1" si="308"/>
        <v>23</v>
      </c>
      <c r="Q678" s="357">
        <f t="shared" ca="1" si="309"/>
        <v>0</v>
      </c>
      <c r="R678" s="359">
        <f t="shared" ca="1" si="310"/>
        <v>0</v>
      </c>
      <c r="S678" s="360">
        <f t="shared" ca="1" si="311"/>
        <v>9.637999999999975</v>
      </c>
      <c r="T678" s="357">
        <f t="shared" ca="1" si="291"/>
        <v>94.548779999999766</v>
      </c>
      <c r="U678" s="364">
        <f t="shared" ca="1" si="292"/>
        <v>0</v>
      </c>
      <c r="V678" s="359">
        <f t="shared" ca="1" si="293"/>
        <v>0.93367895026409276</v>
      </c>
      <c r="W678" s="357">
        <f t="shared" ca="1" si="294"/>
        <v>3.1226508227563676</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-1.9034997756817038</v>
      </c>
      <c r="AH678" s="357">
        <f t="shared" ca="1" si="318"/>
        <v>-0.32703515643157643</v>
      </c>
    </row>
    <row r="679" spans="1:34" x14ac:dyDescent="0.25">
      <c r="A679" s="402">
        <f t="shared" ca="1" si="296"/>
        <v>0.1</v>
      </c>
      <c r="B679" s="357">
        <f t="shared" ca="1" si="297"/>
        <v>22.499999999999989</v>
      </c>
      <c r="C679" s="342"/>
      <c r="D679" s="359">
        <f t="shared" ca="1" si="298"/>
        <v>-0.32099772816170374</v>
      </c>
      <c r="E679" s="360">
        <f t="shared" ca="1" si="299"/>
        <v>-9.8539584505268198</v>
      </c>
      <c r="F679" s="357">
        <f t="shared" ca="1" si="300"/>
        <v>9.8591853966843477</v>
      </c>
      <c r="G679" s="359">
        <f t="shared" ca="1" si="301"/>
        <v>37.884406508148174</v>
      </c>
      <c r="H679" s="360">
        <f t="shared" ca="1" si="302"/>
        <v>4.2070112010869227</v>
      </c>
      <c r="I679" s="357">
        <f t="shared" ca="1" si="303"/>
        <v>38.117282165976768</v>
      </c>
      <c r="J679" s="359">
        <f t="shared" ca="1" si="304"/>
        <v>988.34874907741244</v>
      </c>
      <c r="K679" s="360">
        <f t="shared" ca="1" si="305"/>
        <v>2699.537840178119</v>
      </c>
      <c r="L679" s="357">
        <f t="shared" ca="1" si="290"/>
        <v>2874.7761304763244</v>
      </c>
      <c r="M679" s="359">
        <f t="shared" ca="1" si="306"/>
        <v>0.11059549534633317</v>
      </c>
      <c r="N679" s="357">
        <f t="shared" ca="1" si="307"/>
        <v>6.3366551165036276</v>
      </c>
      <c r="O679" s="343"/>
      <c r="P679" s="363">
        <f t="shared" ca="1" si="308"/>
        <v>23</v>
      </c>
      <c r="Q679" s="357">
        <f t="shared" ca="1" si="309"/>
        <v>0</v>
      </c>
      <c r="R679" s="359">
        <f t="shared" ca="1" si="310"/>
        <v>0</v>
      </c>
      <c r="S679" s="360">
        <f t="shared" ca="1" si="311"/>
        <v>9.637999999999975</v>
      </c>
      <c r="T679" s="357">
        <f t="shared" ca="1" si="291"/>
        <v>94.548779999999766</v>
      </c>
      <c r="U679" s="364">
        <f t="shared" ca="1" si="292"/>
        <v>0</v>
      </c>
      <c r="V679" s="359">
        <f t="shared" ca="1" si="293"/>
        <v>0.93363425700545044</v>
      </c>
      <c r="W679" s="357">
        <f t="shared" ca="1" si="294"/>
        <v>3.0975674737675676</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-1.6549839245151015</v>
      </c>
      <c r="AH679" s="357">
        <f t="shared" ca="1" si="318"/>
        <v>-0.32399365249599249</v>
      </c>
    </row>
    <row r="680" spans="1:34" x14ac:dyDescent="0.25">
      <c r="A680" s="402">
        <f t="shared" ca="1" si="296"/>
        <v>0.1</v>
      </c>
      <c r="B680" s="357">
        <f t="shared" ca="1" si="297"/>
        <v>22.599999999999991</v>
      </c>
      <c r="C680" s="342"/>
      <c r="D680" s="359">
        <f t="shared" ca="1" si="298"/>
        <v>-0.31942758226449663</v>
      </c>
      <c r="E680" s="360">
        <f t="shared" ca="1" si="299"/>
        <v>-9.8454719933710422</v>
      </c>
      <c r="F680" s="357">
        <f t="shared" ca="1" si="300"/>
        <v>9.8506524023825399</v>
      </c>
      <c r="G680" s="359">
        <f t="shared" ca="1" si="301"/>
        <v>37.852463749921725</v>
      </c>
      <c r="H680" s="360">
        <f t="shared" ca="1" si="302"/>
        <v>3.2224640017498185</v>
      </c>
      <c r="I680" s="357">
        <f t="shared" ca="1" si="303"/>
        <v>37.989383861569955</v>
      </c>
      <c r="J680" s="359">
        <f t="shared" ca="1" si="304"/>
        <v>992.13559259031592</v>
      </c>
      <c r="K680" s="360">
        <f t="shared" ca="1" si="305"/>
        <v>2699.9093139382608</v>
      </c>
      <c r="L680" s="357">
        <f t="shared" ca="1" si="290"/>
        <v>2876.4289210017178</v>
      </c>
      <c r="M680" s="359">
        <f t="shared" ca="1" si="306"/>
        <v>8.4927437545593801E-2</v>
      </c>
      <c r="N680" s="357">
        <f t="shared" ca="1" si="307"/>
        <v>4.865983736223412</v>
      </c>
      <c r="O680" s="343"/>
      <c r="P680" s="363">
        <f t="shared" ca="1" si="308"/>
        <v>23</v>
      </c>
      <c r="Q680" s="357">
        <f t="shared" ca="1" si="309"/>
        <v>0</v>
      </c>
      <c r="R680" s="359">
        <f t="shared" ca="1" si="310"/>
        <v>0</v>
      </c>
      <c r="S680" s="360">
        <f t="shared" ca="1" si="311"/>
        <v>9.637999999999975</v>
      </c>
      <c r="T680" s="357">
        <f t="shared" ca="1" si="291"/>
        <v>94.548779999999766</v>
      </c>
      <c r="U680" s="364">
        <f t="shared" ca="1" si="292"/>
        <v>0</v>
      </c>
      <c r="V680" s="359">
        <f t="shared" ca="1" si="293"/>
        <v>0.93359893193110188</v>
      </c>
      <c r="W680" s="357">
        <f t="shared" ca="1" si="294"/>
        <v>3.0766988466104443</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-1.4041225473387893</v>
      </c>
      <c r="AH680" s="357">
        <f t="shared" ca="1" si="318"/>
        <v>-0.32139110539194599</v>
      </c>
    </row>
    <row r="681" spans="1:34" x14ac:dyDescent="0.25">
      <c r="A681" s="402">
        <f t="shared" ca="1" si="296"/>
        <v>0.1</v>
      </c>
      <c r="B681" s="357">
        <f t="shared" ca="1" si="297"/>
        <v>22.699999999999992</v>
      </c>
      <c r="C681" s="342"/>
      <c r="D681" s="359">
        <f t="shared" ca="1" si="298"/>
        <v>-0.3180753172745569</v>
      </c>
      <c r="E681" s="360">
        <f t="shared" ca="1" si="299"/>
        <v>-9.8370784556200661</v>
      </c>
      <c r="F681" s="357">
        <f t="shared" ca="1" si="300"/>
        <v>9.8422194879754521</v>
      </c>
      <c r="G681" s="359">
        <f t="shared" ca="1" si="301"/>
        <v>37.820656218194266</v>
      </c>
      <c r="H681" s="360">
        <f t="shared" ca="1" si="302"/>
        <v>2.238756156187812</v>
      </c>
      <c r="I681" s="357">
        <f t="shared" ca="1" si="303"/>
        <v>37.886858749462263</v>
      </c>
      <c r="J681" s="359">
        <f t="shared" ca="1" si="304"/>
        <v>995.91924858872176</v>
      </c>
      <c r="K681" s="360">
        <f t="shared" ca="1" si="305"/>
        <v>2700.1823749461578</v>
      </c>
      <c r="L681" s="357">
        <f t="shared" ca="1" si="290"/>
        <v>2877.9923571266477</v>
      </c>
      <c r="M681" s="359">
        <f t="shared" ca="1" si="306"/>
        <v>5.9125013897722886E-2</v>
      </c>
      <c r="N681" s="357">
        <f t="shared" ca="1" si="307"/>
        <v>3.3876137599918588</v>
      </c>
      <c r="O681" s="343"/>
      <c r="P681" s="363">
        <f t="shared" ca="1" si="308"/>
        <v>23</v>
      </c>
      <c r="Q681" s="357">
        <f t="shared" ca="1" si="309"/>
        <v>0</v>
      </c>
      <c r="R681" s="359">
        <f t="shared" ca="1" si="310"/>
        <v>0</v>
      </c>
      <c r="S681" s="360">
        <f t="shared" ca="1" si="311"/>
        <v>9.637999999999975</v>
      </c>
      <c r="T681" s="357">
        <f t="shared" ca="1" si="291"/>
        <v>94.548779999999766</v>
      </c>
      <c r="U681" s="364">
        <f t="shared" ca="1" si="292"/>
        <v>0</v>
      </c>
      <c r="V681" s="359">
        <f t="shared" ca="1" si="293"/>
        <v>0.9335729660956622</v>
      </c>
      <c r="W681" s="357">
        <f t="shared" ca="1" si="294"/>
        <v>3.0600294592142223</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-1.151362859210552</v>
      </c>
      <c r="AH681" s="357">
        <f t="shared" ca="1" si="318"/>
        <v>-0.31922586082283172</v>
      </c>
    </row>
    <row r="682" spans="1:34" x14ac:dyDescent="0.25">
      <c r="A682" s="402">
        <f t="shared" ca="1" si="296"/>
        <v>0.1</v>
      </c>
      <c r="B682" s="357">
        <f t="shared" ca="1" si="297"/>
        <v>22.799999999999994</v>
      </c>
      <c r="C682" s="342"/>
      <c r="D682" s="359">
        <f t="shared" ca="1" si="298"/>
        <v>-0.31694152746786819</v>
      </c>
      <c r="E682" s="360">
        <f t="shared" ca="1" si="299"/>
        <v>-9.8287610387211881</v>
      </c>
      <c r="F682" s="357">
        <f t="shared" ca="1" si="300"/>
        <v>9.8338698124450108</v>
      </c>
      <c r="G682" s="359">
        <f t="shared" ca="1" si="301"/>
        <v>37.788962065447478</v>
      </c>
      <c r="H682" s="360">
        <f t="shared" ca="1" si="302"/>
        <v>1.255880052315693</v>
      </c>
      <c r="I682" s="357">
        <f t="shared" ca="1" si="303"/>
        <v>37.809825293032404</v>
      </c>
      <c r="J682" s="359">
        <f t="shared" ca="1" si="304"/>
        <v>999.69972950290389</v>
      </c>
      <c r="K682" s="360">
        <f t="shared" ca="1" si="305"/>
        <v>2700.3571067565831</v>
      </c>
      <c r="L682" s="357">
        <f t="shared" ca="1" si="290"/>
        <v>2879.4666265089727</v>
      </c>
      <c r="M682" s="359">
        <f t="shared" ca="1" si="306"/>
        <v>3.32218170592114E-2</v>
      </c>
      <c r="N682" s="357">
        <f t="shared" ca="1" si="307"/>
        <v>1.9034699052485333</v>
      </c>
      <c r="O682" s="343"/>
      <c r="P682" s="363">
        <f t="shared" ca="1" si="308"/>
        <v>23</v>
      </c>
      <c r="Q682" s="357">
        <f t="shared" ca="1" si="309"/>
        <v>0</v>
      </c>
      <c r="R682" s="359">
        <f t="shared" ca="1" si="310"/>
        <v>0</v>
      </c>
      <c r="S682" s="360">
        <f t="shared" ca="1" si="311"/>
        <v>9.637999999999975</v>
      </c>
      <c r="T682" s="357">
        <f t="shared" ca="1" si="291"/>
        <v>94.548779999999766</v>
      </c>
      <c r="U682" s="364">
        <f t="shared" ca="1" si="292"/>
        <v>0</v>
      </c>
      <c r="V682" s="359">
        <f t="shared" ca="1" si="293"/>
        <v>0.93355635087853028</v>
      </c>
      <c r="W682" s="357">
        <f t="shared" ca="1" si="294"/>
        <v>3.0475442602831944</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-0.89717482411365213</v>
      </c>
      <c r="AH682" s="357">
        <f t="shared" ca="1" si="318"/>
        <v>-0.31749631243144122</v>
      </c>
    </row>
    <row r="683" spans="1:34" x14ac:dyDescent="0.25">
      <c r="A683" s="402">
        <f t="shared" ca="1" si="296"/>
        <v>0.1</v>
      </c>
      <c r="B683" s="357">
        <f t="shared" ca="1" si="297"/>
        <v>22.899999999999995</v>
      </c>
      <c r="C683" s="342"/>
      <c r="D683" s="359">
        <f t="shared" ca="1" si="298"/>
        <v>-0.31602642085724986</v>
      </c>
      <c r="E683" s="360">
        <f t="shared" ca="1" si="299"/>
        <v>-9.8205028361793048</v>
      </c>
      <c r="F683" s="357">
        <f t="shared" ca="1" si="300"/>
        <v>9.8255864279993794</v>
      </c>
      <c r="G683" s="359">
        <f t="shared" ca="1" si="301"/>
        <v>37.757359423361756</v>
      </c>
      <c r="H683" s="360">
        <f t="shared" ca="1" si="302"/>
        <v>0.27382976869776243</v>
      </c>
      <c r="I683" s="357">
        <f t="shared" ca="1" si="303"/>
        <v>37.758352365630969</v>
      </c>
      <c r="J683" s="359">
        <f t="shared" ca="1" si="304"/>
        <v>1003.4770455773444</v>
      </c>
      <c r="K683" s="360">
        <f t="shared" ca="1" si="305"/>
        <v>2700.4335922476339</v>
      </c>
      <c r="L683" s="357">
        <f t="shared" ca="1" si="290"/>
        <v>2880.8519169058477</v>
      </c>
      <c r="M683" s="359">
        <f t="shared" ca="1" si="306"/>
        <v>7.2522277031090336E-3</v>
      </c>
      <c r="N683" s="357">
        <f t="shared" ca="1" si="307"/>
        <v>0.41552203945600263</v>
      </c>
      <c r="O683" s="343"/>
      <c r="P683" s="363">
        <f t="shared" ca="1" si="308"/>
        <v>23</v>
      </c>
      <c r="Q683" s="357">
        <f t="shared" ca="1" si="309"/>
        <v>0</v>
      </c>
      <c r="R683" s="359">
        <f t="shared" ca="1" si="310"/>
        <v>0</v>
      </c>
      <c r="S683" s="360">
        <f t="shared" ca="1" si="311"/>
        <v>9.637999999999975</v>
      </c>
      <c r="T683" s="357">
        <f t="shared" ca="1" si="291"/>
        <v>94.548779999999766</v>
      </c>
      <c r="U683" s="364">
        <f t="shared" ca="1" si="292"/>
        <v>0</v>
      </c>
      <c r="V683" s="359">
        <f t="shared" ca="1" si="293"/>
        <v>0.9335490779671215</v>
      </c>
      <c r="W683" s="357">
        <f t="shared" ca="1" si="294"/>
        <v>3.0392285980407205</v>
      </c>
      <c r="X683" s="343"/>
      <c r="Y683" s="367" t="str">
        <f t="shared" ca="1" si="312"/>
        <v>Apogée</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-0.64204697739226413</v>
      </c>
      <c r="AH683" s="357">
        <f t="shared" ca="1" si="318"/>
        <v>-0.31620089855604921</v>
      </c>
    </row>
    <row r="684" spans="1:34" x14ac:dyDescent="0.25">
      <c r="A684" s="402">
        <f t="shared" ca="1" si="296"/>
        <v>0.1</v>
      </c>
      <c r="B684" s="357">
        <f t="shared" ca="1" si="297"/>
        <v>22.999999999999996</v>
      </c>
      <c r="C684" s="342"/>
      <c r="D684" s="359">
        <f t="shared" ca="1" si="298"/>
        <v>-0.31532980645058878</v>
      </c>
      <c r="E684" s="360">
        <f t="shared" ca="1" si="299"/>
        <v>-9.8122868836508328</v>
      </c>
      <c r="F684" s="357">
        <f t="shared" ca="1" si="300"/>
        <v>9.8173523301296637</v>
      </c>
      <c r="G684" s="359">
        <f t="shared" ca="1" si="301"/>
        <v>37.725826442716695</v>
      </c>
      <c r="H684" s="360">
        <f t="shared" ca="1" si="302"/>
        <v>-0.70739891966732094</v>
      </c>
      <c r="I684" s="357">
        <f t="shared" ca="1" si="303"/>
        <v>37.732458096677568</v>
      </c>
      <c r="J684" s="359">
        <f t="shared" ca="1" si="304"/>
        <v>1007.2512048706483</v>
      </c>
      <c r="K684" s="360">
        <f t="shared" ca="1" si="305"/>
        <v>2700.4119137900852</v>
      </c>
      <c r="L684" s="357">
        <f t="shared" ca="1" si="290"/>
        <v>2882.1484163472228</v>
      </c>
      <c r="M684" s="359">
        <f t="shared" ca="1" si="306"/>
        <v>-1.8748854464910623E-2</v>
      </c>
      <c r="N684" s="357">
        <f t="shared" ca="1" si="307"/>
        <v>-1.0742302315443881</v>
      </c>
      <c r="O684" s="343"/>
      <c r="P684" s="363">
        <f t="shared" ca="1" si="308"/>
        <v>23</v>
      </c>
      <c r="Q684" s="357">
        <f t="shared" ca="1" si="309"/>
        <v>0</v>
      </c>
      <c r="R684" s="359">
        <f t="shared" ca="1" si="310"/>
        <v>0</v>
      </c>
      <c r="S684" s="360">
        <f t="shared" ca="1" si="311"/>
        <v>9.637999999999975</v>
      </c>
      <c r="T684" s="357">
        <f t="shared" ca="1" si="291"/>
        <v>94.548779999999766</v>
      </c>
      <c r="U684" s="364">
        <f t="shared" ca="1" si="292"/>
        <v>0</v>
      </c>
      <c r="V684" s="359">
        <f t="shared" ca="1" si="293"/>
        <v>0.93355113934004863</v>
      </c>
      <c r="W684" s="357">
        <f t="shared" ca="1" si="294"/>
        <v>3.035068189053185</v>
      </c>
      <c r="X684" s="343"/>
      <c r="Y684" s="367" t="str">
        <f t="shared" ca="1" si="312"/>
        <v/>
      </c>
      <c r="Z684" s="368" t="str">
        <f t="shared" ca="1" si="313"/>
        <v/>
      </c>
      <c r="AA684" s="369" t="str">
        <f t="shared" ca="1" si="314"/>
        <v/>
      </c>
      <c r="AB684" s="344"/>
      <c r="AC684" s="363">
        <f t="shared" ca="1" si="315"/>
        <v>22.999999999999996</v>
      </c>
      <c r="AD684" s="376">
        <f t="shared" ca="1" si="316"/>
        <v>1007.2512048706483</v>
      </c>
      <c r="AE684" s="377" t="e">
        <f t="shared" ca="1" si="295"/>
        <v>#N/A</v>
      </c>
      <c r="AF684" s="344"/>
      <c r="AG684" s="359">
        <f t="shared" ca="1" si="317"/>
        <v>-0.38648182911930173</v>
      </c>
      <c r="AH684" s="357">
        <f t="shared" ca="1" si="318"/>
        <v>-0.31533809898741733</v>
      </c>
    </row>
    <row r="685" spans="1:34" x14ac:dyDescent="0.25">
      <c r="A685" s="402">
        <f t="shared" ca="1" si="296"/>
        <v>0.1</v>
      </c>
      <c r="B685" s="357">
        <f t="shared" ca="1" si="297"/>
        <v>23.099999999999998</v>
      </c>
      <c r="C685" s="342"/>
      <c r="D685" s="359">
        <f t="shared" ca="1" si="298"/>
        <v>-0.31485108547279339</v>
      </c>
      <c r="E685" s="360">
        <f t="shared" ca="1" si="299"/>
        <v>-9.8040962110384058</v>
      </c>
      <c r="F685" s="357">
        <f t="shared" ca="1" si="300"/>
        <v>9.8091505096680525</v>
      </c>
      <c r="G685" s="359">
        <f t="shared" ca="1" si="301"/>
        <v>37.694341334169415</v>
      </c>
      <c r="H685" s="360">
        <f t="shared" ca="1" si="302"/>
        <v>-1.6878085407711616</v>
      </c>
      <c r="I685" s="357">
        <f t="shared" ca="1" si="303"/>
        <v>37.732109221287551</v>
      </c>
      <c r="J685" s="359">
        <f t="shared" ca="1" si="304"/>
        <v>1011.0222132594926</v>
      </c>
      <c r="K685" s="360">
        <f t="shared" ca="1" si="305"/>
        <v>2700.2921534170632</v>
      </c>
      <c r="L685" s="357">
        <f t="shared" ca="1" si="290"/>
        <v>2883.3563133109101</v>
      </c>
      <c r="M685" s="359">
        <f t="shared" ca="1" si="306"/>
        <v>-4.474629002968851E-2</v>
      </c>
      <c r="N685" s="357">
        <f t="shared" ca="1" si="307"/>
        <v>-2.5637735675694668</v>
      </c>
      <c r="O685" s="343"/>
      <c r="P685" s="363">
        <f t="shared" ca="1" si="308"/>
        <v>23</v>
      </c>
      <c r="Q685" s="357">
        <f t="shared" ca="1" si="309"/>
        <v>0</v>
      </c>
      <c r="R685" s="359">
        <f t="shared" ca="1" si="310"/>
        <v>0</v>
      </c>
      <c r="S685" s="360">
        <f t="shared" ca="1" si="311"/>
        <v>9.637999999999975</v>
      </c>
      <c r="T685" s="357">
        <f t="shared" ca="1" si="291"/>
        <v>94.548779999999766</v>
      </c>
      <c r="U685" s="364">
        <f t="shared" ca="1" si="292"/>
        <v>0</v>
      </c>
      <c r="V685" s="359">
        <f t="shared" ca="1" si="293"/>
        <v>0.93356252725029609</v>
      </c>
      <c r="W685" s="357">
        <f t="shared" ca="1" si="294"/>
        <v>3.035049087208908</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-0.1309909448565644</v>
      </c>
      <c r="AH685" s="357">
        <f t="shared" ca="1" si="318"/>
        <v>-0.31490643173409349</v>
      </c>
    </row>
    <row r="686" spans="1:34" x14ac:dyDescent="0.25">
      <c r="A686" s="402">
        <f t="shared" ca="1" si="296"/>
        <v>0.1</v>
      </c>
      <c r="B686" s="357">
        <f t="shared" ca="1" si="297"/>
        <v>23.2</v>
      </c>
      <c r="C686" s="342"/>
      <c r="D686" s="359">
        <f t="shared" ca="1" si="298"/>
        <v>-0.31458924675899108</v>
      </c>
      <c r="E686" s="360">
        <f t="shared" ca="1" si="299"/>
        <v>-9.7959138958601919</v>
      </c>
      <c r="F686" s="357">
        <f t="shared" ca="1" si="300"/>
        <v>9.8009640061211929</v>
      </c>
      <c r="G686" s="359">
        <f t="shared" ca="1" si="301"/>
        <v>37.66288240949352</v>
      </c>
      <c r="H686" s="360">
        <f t="shared" ca="1" si="302"/>
        <v>-2.6673999303571807</v>
      </c>
      <c r="I686" s="357">
        <f t="shared" ca="1" si="303"/>
        <v>37.757220948843759</v>
      </c>
      <c r="J686" s="359">
        <f t="shared" ca="1" si="304"/>
        <v>1014.7900744466757</v>
      </c>
      <c r="K686" s="360">
        <f t="shared" ca="1" si="305"/>
        <v>2700.074392993507</v>
      </c>
      <c r="L686" s="357">
        <f t="shared" ca="1" si="290"/>
        <v>2884.4757968987615</v>
      </c>
      <c r="M686" s="359">
        <f t="shared" ca="1" si="306"/>
        <v>-7.070498398665602E-2</v>
      </c>
      <c r="N686" s="357">
        <f t="shared" ca="1" si="307"/>
        <v>-4.0510971729754601</v>
      </c>
      <c r="O686" s="343"/>
      <c r="P686" s="363">
        <f t="shared" ca="1" si="308"/>
        <v>23</v>
      </c>
      <c r="Q686" s="357">
        <f t="shared" ca="1" si="309"/>
        <v>0</v>
      </c>
      <c r="R686" s="359">
        <f t="shared" ca="1" si="310"/>
        <v>0</v>
      </c>
      <c r="S686" s="360">
        <f t="shared" ca="1" si="311"/>
        <v>9.637999999999975</v>
      </c>
      <c r="T686" s="357">
        <f t="shared" ca="1" si="291"/>
        <v>94.548779999999766</v>
      </c>
      <c r="U686" s="364">
        <f t="shared" ca="1" si="292"/>
        <v>0</v>
      </c>
      <c r="V686" s="359">
        <f t="shared" ca="1" si="293"/>
        <v>0.93358323420843525</v>
      </c>
      <c r="W686" s="357">
        <f t="shared" ca="1" si="294"/>
        <v>3.0391576529297453</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0.12391018650135077</v>
      </c>
      <c r="AH686" s="357">
        <f t="shared" ca="1" si="318"/>
        <v>-0.31490444980378873</v>
      </c>
    </row>
    <row r="687" spans="1:34" x14ac:dyDescent="0.25">
      <c r="A687" s="402">
        <f t="shared" ca="1" si="296"/>
        <v>0.1</v>
      </c>
      <c r="B687" s="357">
        <f t="shared" ca="1" si="297"/>
        <v>23.3</v>
      </c>
      <c r="C687" s="342"/>
      <c r="D687" s="359">
        <f t="shared" ca="1" si="298"/>
        <v>-0.31454286643126467</v>
      </c>
      <c r="E687" s="360">
        <f t="shared" ca="1" si="299"/>
        <v>-9.7877231171291985</v>
      </c>
      <c r="F687" s="357">
        <f t="shared" ca="1" si="300"/>
        <v>9.792775961514085</v>
      </c>
      <c r="G687" s="359">
        <f t="shared" ca="1" si="301"/>
        <v>37.631428122850394</v>
      </c>
      <c r="H687" s="360">
        <f t="shared" ca="1" si="302"/>
        <v>-3.6461722420701008</v>
      </c>
      <c r="I687" s="357">
        <f t="shared" ca="1" si="303"/>
        <v>37.807657353823153</v>
      </c>
      <c r="J687" s="359">
        <f t="shared" ca="1" si="304"/>
        <v>1018.5547899732929</v>
      </c>
      <c r="K687" s="360">
        <f t="shared" ca="1" si="305"/>
        <v>2699.7587143848855</v>
      </c>
      <c r="L687" s="357">
        <f t="shared" ca="1" si="290"/>
        <v>2885.5070570134926</v>
      </c>
      <c r="M687" s="359">
        <f t="shared" ca="1" si="306"/>
        <v>-9.6590168937574147E-2</v>
      </c>
      <c r="N687" s="357">
        <f t="shared" ca="1" si="307"/>
        <v>-5.5342090225786214</v>
      </c>
      <c r="O687" s="343"/>
      <c r="P687" s="363">
        <f t="shared" ca="1" si="308"/>
        <v>23</v>
      </c>
      <c r="Q687" s="357">
        <f t="shared" ca="1" si="309"/>
        <v>0</v>
      </c>
      <c r="R687" s="359">
        <f t="shared" ca="1" si="310"/>
        <v>0</v>
      </c>
      <c r="S687" s="360">
        <f t="shared" ca="1" si="311"/>
        <v>9.637999999999975</v>
      </c>
      <c r="T687" s="357">
        <f t="shared" ca="1" si="291"/>
        <v>94.548779999999766</v>
      </c>
      <c r="U687" s="364">
        <f t="shared" ca="1" si="292"/>
        <v>0</v>
      </c>
      <c r="V687" s="359">
        <f t="shared" ca="1" si="293"/>
        <v>0.93361325296592657</v>
      </c>
      <c r="W687" s="357">
        <f t="shared" ca="1" si="294"/>
        <v>3.0473805226946213</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0.37770737918349789</v>
      </c>
      <c r="AH687" s="357">
        <f t="shared" ca="1" si="318"/>
        <v>-0.31533073800889738</v>
      </c>
    </row>
    <row r="688" spans="1:34" x14ac:dyDescent="0.25">
      <c r="A688" s="402">
        <f t="shared" ca="1" si="296"/>
        <v>0.1</v>
      </c>
      <c r="B688" s="357">
        <f t="shared" ca="1" si="297"/>
        <v>23.400000000000002</v>
      </c>
      <c r="C688" s="342"/>
      <c r="D688" s="359">
        <f t="shared" ca="1" si="298"/>
        <v>-0.31471011187108661</v>
      </c>
      <c r="E688" s="360">
        <f t="shared" ca="1" si="299"/>
        <v>-9.7795072089622259</v>
      </c>
      <c r="F688" s="357">
        <f t="shared" ca="1" si="300"/>
        <v>9.7845696739641053</v>
      </c>
      <c r="G688" s="359">
        <f t="shared" ca="1" si="301"/>
        <v>37.599957111663286</v>
      </c>
      <c r="H688" s="360">
        <f t="shared" ca="1" si="302"/>
        <v>-4.6241229629663234</v>
      </c>
      <c r="I688" s="357">
        <f t="shared" ca="1" si="303"/>
        <v>37.883232279935555</v>
      </c>
      <c r="J688" s="359">
        <f t="shared" ca="1" si="304"/>
        <v>1022.3163592350186</v>
      </c>
      <c r="K688" s="360">
        <f t="shared" ca="1" si="305"/>
        <v>2699.3451996246336</v>
      </c>
      <c r="L688" s="357">
        <f t="shared" ca="1" si="290"/>
        <v>2886.4502845356778</v>
      </c>
      <c r="M688" s="359">
        <f t="shared" ca="1" si="306"/>
        <v>-0.12236768167559162</v>
      </c>
      <c r="N688" s="357">
        <f t="shared" ca="1" si="307"/>
        <v>-7.0111517088117417</v>
      </c>
      <c r="O688" s="343"/>
      <c r="P688" s="363">
        <f t="shared" ca="1" si="308"/>
        <v>23</v>
      </c>
      <c r="Q688" s="357">
        <f t="shared" ca="1" si="309"/>
        <v>0</v>
      </c>
      <c r="R688" s="359">
        <f t="shared" ca="1" si="310"/>
        <v>0</v>
      </c>
      <c r="S688" s="360">
        <f t="shared" ca="1" si="311"/>
        <v>9.637999999999975</v>
      </c>
      <c r="T688" s="357">
        <f t="shared" ca="1" si="291"/>
        <v>94.548779999999766</v>
      </c>
      <c r="U688" s="364">
        <f t="shared" ca="1" si="292"/>
        <v>0</v>
      </c>
      <c r="V688" s="359">
        <f t="shared" ca="1" si="293"/>
        <v>0.93365257649856292</v>
      </c>
      <c r="W688" s="357">
        <f t="shared" ca="1" si="294"/>
        <v>3.059704578954523</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0.62989294864690493</v>
      </c>
      <c r="AH688" s="357">
        <f t="shared" ca="1" si="318"/>
        <v>-0.31618390980438155</v>
      </c>
    </row>
    <row r="689" spans="1:34" x14ac:dyDescent="0.25">
      <c r="A689" s="402">
        <f t="shared" ca="1" si="296"/>
        <v>0.1</v>
      </c>
      <c r="B689" s="357">
        <f t="shared" ca="1" si="297"/>
        <v>23.500000000000004</v>
      </c>
      <c r="C689" s="342"/>
      <c r="D689" s="359">
        <f t="shared" ca="1" si="298"/>
        <v>-0.31508874989874752</v>
      </c>
      <c r="E689" s="360">
        <f t="shared" ca="1" si="299"/>
        <v>-9.7712497131458917</v>
      </c>
      <c r="F689" s="357">
        <f t="shared" ca="1" si="300"/>
        <v>9.7763286502125339</v>
      </c>
      <c r="G689" s="359">
        <f t="shared" ca="1" si="301"/>
        <v>37.568448236673412</v>
      </c>
      <c r="H689" s="360">
        <f t="shared" ca="1" si="302"/>
        <v>-5.6012479342809129</v>
      </c>
      <c r="I689" s="357">
        <f t="shared" ca="1" si="303"/>
        <v>37.983710736747348</v>
      </c>
      <c r="J689" s="359">
        <f t="shared" ca="1" si="304"/>
        <v>1026.0747795024354</v>
      </c>
      <c r="K689" s="360">
        <f t="shared" ca="1" si="305"/>
        <v>2698.833931079771</v>
      </c>
      <c r="L689" s="357">
        <f t="shared" ca="1" si="290"/>
        <v>2887.305671500415</v>
      </c>
      <c r="M689" s="359">
        <f t="shared" ca="1" si="306"/>
        <v>-0.14800422772005012</v>
      </c>
      <c r="N689" s="357">
        <f t="shared" ca="1" si="307"/>
        <v>-8.4800175984520187</v>
      </c>
      <c r="O689" s="343"/>
      <c r="P689" s="363">
        <f t="shared" ca="1" si="308"/>
        <v>23</v>
      </c>
      <c r="Q689" s="357">
        <f t="shared" ca="1" si="309"/>
        <v>0</v>
      </c>
      <c r="R689" s="359">
        <f t="shared" ca="1" si="310"/>
        <v>0</v>
      </c>
      <c r="S689" s="360">
        <f t="shared" ca="1" si="311"/>
        <v>9.637999999999975</v>
      </c>
      <c r="T689" s="357">
        <f t="shared" ca="1" si="291"/>
        <v>94.548779999999766</v>
      </c>
      <c r="U689" s="364">
        <f t="shared" ca="1" si="292"/>
        <v>0</v>
      </c>
      <c r="V689" s="359">
        <f t="shared" ca="1" si="293"/>
        <v>0.93370119799008977</v>
      </c>
      <c r="W689" s="357">
        <f t="shared" ca="1" si="294"/>
        <v>3.0761169205173644</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0.87997075979526829</v>
      </c>
      <c r="AH689" s="357">
        <f t="shared" ca="1" si="318"/>
        <v>-0.31746260416627214</v>
      </c>
    </row>
    <row r="690" spans="1:34" x14ac:dyDescent="0.25">
      <c r="A690" s="402">
        <f t="shared" ca="1" si="296"/>
        <v>0.1</v>
      </c>
      <c r="B690" s="357">
        <f t="shared" ca="1" si="297"/>
        <v>23.600000000000005</v>
      </c>
      <c r="C690" s="342"/>
      <c r="D690" s="359">
        <f t="shared" ca="1" si="298"/>
        <v>-0.31567615897371398</v>
      </c>
      <c r="E690" s="360">
        <f t="shared" ca="1" si="299"/>
        <v>-9.7629344299180509</v>
      </c>
      <c r="F690" s="357">
        <f t="shared" ca="1" si="300"/>
        <v>9.7680366563718266</v>
      </c>
      <c r="G690" s="359">
        <f t="shared" ca="1" si="301"/>
        <v>37.536880620776039</v>
      </c>
      <c r="H690" s="360">
        <f t="shared" ca="1" si="302"/>
        <v>-6.577541377272718</v>
      </c>
      <c r="I690" s="357">
        <f t="shared" ca="1" si="303"/>
        <v>38.108810756938169</v>
      </c>
      <c r="J690" s="359">
        <f t="shared" ca="1" si="304"/>
        <v>1029.8300459453078</v>
      </c>
      <c r="K690" s="360">
        <f t="shared" ca="1" si="305"/>
        <v>2698.2249916141932</v>
      </c>
      <c r="L690" s="357">
        <f t="shared" ca="1" si="290"/>
        <v>2888.0734112731843</v>
      </c>
      <c r="M690" s="359">
        <f t="shared" ca="1" si="306"/>
        <v>-0.17346762880538655</v>
      </c>
      <c r="N690" s="357">
        <f t="shared" ca="1" si="307"/>
        <v>-9.9389630126906354</v>
      </c>
      <c r="O690" s="343"/>
      <c r="P690" s="363">
        <f t="shared" ca="1" si="308"/>
        <v>23</v>
      </c>
      <c r="Q690" s="357">
        <f t="shared" ca="1" si="309"/>
        <v>0</v>
      </c>
      <c r="R690" s="359">
        <f t="shared" ca="1" si="310"/>
        <v>0</v>
      </c>
      <c r="S690" s="360">
        <f t="shared" ca="1" si="311"/>
        <v>9.637999999999975</v>
      </c>
      <c r="T690" s="357">
        <f t="shared" ca="1" si="291"/>
        <v>94.548779999999766</v>
      </c>
      <c r="U690" s="364">
        <f t="shared" ca="1" si="292"/>
        <v>0</v>
      </c>
      <c r="V690" s="359">
        <f t="shared" ca="1" si="293"/>
        <v>0.93375911081606344</v>
      </c>
      <c r="W690" s="357">
        <f t="shared" ca="1" si="294"/>
        <v>3.0966048334790308</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1.1274610099826667</v>
      </c>
      <c r="AH690" s="357">
        <f t="shared" ca="1" si="318"/>
        <v>-0.31916548251892224</v>
      </c>
    </row>
    <row r="691" spans="1:34" x14ac:dyDescent="0.25">
      <c r="A691" s="402">
        <f t="shared" ca="1" si="296"/>
        <v>0.1</v>
      </c>
      <c r="B691" s="357">
        <f t="shared" ca="1" si="297"/>
        <v>23.700000000000006</v>
      </c>
      <c r="C691" s="342"/>
      <c r="D691" s="359">
        <f t="shared" ca="1" si="298"/>
        <v>-0.31646934514004826</v>
      </c>
      <c r="E691" s="360">
        <f t="shared" ca="1" si="299"/>
        <v>-9.7545454662755073</v>
      </c>
      <c r="F691" s="357">
        <f t="shared" ca="1" si="300"/>
        <v>9.7596777661995286</v>
      </c>
      <c r="G691" s="359">
        <f t="shared" ca="1" si="301"/>
        <v>37.505233686262031</v>
      </c>
      <c r="H691" s="360">
        <f t="shared" ca="1" si="302"/>
        <v>-7.5529959239002693</v>
      </c>
      <c r="I691" s="357">
        <f t="shared" ca="1" si="303"/>
        <v>38.258205672608042</v>
      </c>
      <c r="J691" s="359">
        <f t="shared" ca="1" si="304"/>
        <v>1033.5821516606597</v>
      </c>
      <c r="K691" s="360">
        <f t="shared" ca="1" si="305"/>
        <v>2697.5184647491346</v>
      </c>
      <c r="L691" s="357">
        <f t="shared" ca="1" si="290"/>
        <v>2888.7536987244184</v>
      </c>
      <c r="M691" s="359">
        <f t="shared" ca="1" si="306"/>
        <v>-0.19872704894355114</v>
      </c>
      <c r="N691" s="357">
        <f t="shared" ca="1" si="307"/>
        <v>-11.386221179555225</v>
      </c>
      <c r="O691" s="343"/>
      <c r="P691" s="363">
        <f t="shared" ca="1" si="308"/>
        <v>23</v>
      </c>
      <c r="Q691" s="357">
        <f t="shared" ca="1" si="309"/>
        <v>0</v>
      </c>
      <c r="R691" s="359">
        <f t="shared" ca="1" si="310"/>
        <v>0</v>
      </c>
      <c r="S691" s="360">
        <f t="shared" ca="1" si="311"/>
        <v>9.637999999999975</v>
      </c>
      <c r="T691" s="357">
        <f t="shared" ca="1" si="291"/>
        <v>94.548779999999766</v>
      </c>
      <c r="U691" s="364">
        <f t="shared" ca="1" si="292"/>
        <v>0</v>
      </c>
      <c r="V691" s="359">
        <f t="shared" ca="1" si="293"/>
        <v>0.93382630852797854</v>
      </c>
      <c r="W691" s="357">
        <f t="shared" ca="1" si="294"/>
        <v>3.1211557627733368</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1.3719046423598902</v>
      </c>
      <c r="AH691" s="357">
        <f t="shared" ca="1" si="318"/>
        <v>-0.3212912257189291</v>
      </c>
    </row>
    <row r="692" spans="1:34" x14ac:dyDescent="0.25">
      <c r="A692" s="402">
        <f t="shared" ca="1" si="296"/>
        <v>0.1</v>
      </c>
      <c r="B692" s="357">
        <f t="shared" ca="1" si="297"/>
        <v>23.800000000000008</v>
      </c>
      <c r="C692" s="342"/>
      <c r="D692" s="359">
        <f t="shared" ca="1" si="298"/>
        <v>-0.31746496136226471</v>
      </c>
      <c r="E692" s="360">
        <f t="shared" ca="1" si="299"/>
        <v>-9.7460672811904487</v>
      </c>
      <c r="F692" s="357">
        <f t="shared" ca="1" si="300"/>
        <v>9.7512364062811923</v>
      </c>
      <c r="G692" s="359">
        <f t="shared" ca="1" si="301"/>
        <v>37.473487190125802</v>
      </c>
      <c r="H692" s="360">
        <f t="shared" ca="1" si="302"/>
        <v>-8.5276026520193149</v>
      </c>
      <c r="I692" s="357">
        <f t="shared" ca="1" si="303"/>
        <v>38.431526760971252</v>
      </c>
      <c r="J692" s="359">
        <f t="shared" ca="1" si="304"/>
        <v>1037.3310877044792</v>
      </c>
      <c r="K692" s="360">
        <f t="shared" ca="1" si="305"/>
        <v>2696.7144348203387</v>
      </c>
      <c r="L692" s="357">
        <f t="shared" ca="1" si="290"/>
        <v>2889.3467304023129</v>
      </c>
      <c r="M692" s="359">
        <f t="shared" ca="1" si="306"/>
        <v>-0.22375319543045483</v>
      </c>
      <c r="N692" s="357">
        <f t="shared" ca="1" si="307"/>
        <v>-12.820113750730959</v>
      </c>
      <c r="O692" s="343"/>
      <c r="P692" s="363">
        <f t="shared" ca="1" si="308"/>
        <v>23</v>
      </c>
      <c r="Q692" s="357">
        <f t="shared" ca="1" si="309"/>
        <v>0</v>
      </c>
      <c r="R692" s="359">
        <f t="shared" ca="1" si="310"/>
        <v>0</v>
      </c>
      <c r="S692" s="360">
        <f t="shared" ca="1" si="311"/>
        <v>9.637999999999975</v>
      </c>
      <c r="T692" s="357">
        <f t="shared" ca="1" si="291"/>
        <v>94.548779999999766</v>
      </c>
      <c r="U692" s="364">
        <f t="shared" ca="1" si="292"/>
        <v>0</v>
      </c>
      <c r="V692" s="359">
        <f t="shared" ca="1" si="293"/>
        <v>0.93390278483771527</v>
      </c>
      <c r="W692" s="357">
        <f t="shared" ca="1" si="294"/>
        <v>3.1497572844092954</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1.6128672999940754</v>
      </c>
      <c r="AH692" s="357">
        <f t="shared" ca="1" si="318"/>
        <v>-0.32383853110327299</v>
      </c>
    </row>
    <row r="693" spans="1:34" x14ac:dyDescent="0.25">
      <c r="A693" s="402">
        <f t="shared" ca="1" si="296"/>
        <v>0.1</v>
      </c>
      <c r="B693" s="357">
        <f t="shared" ca="1" si="297"/>
        <v>23.900000000000009</v>
      </c>
      <c r="C693" s="342"/>
      <c r="D693" s="359">
        <f t="shared" ca="1" si="298"/>
        <v>-0.31865932983219086</v>
      </c>
      <c r="E693" s="360">
        <f t="shared" ca="1" si="299"/>
        <v>-9.7374847272051124</v>
      </c>
      <c r="F693" s="357">
        <f t="shared" ca="1" si="300"/>
        <v>9.7426973975917939</v>
      </c>
      <c r="G693" s="359">
        <f t="shared" ca="1" si="301"/>
        <v>37.441621257142586</v>
      </c>
      <c r="H693" s="360">
        <f t="shared" ca="1" si="302"/>
        <v>-9.501351124739827</v>
      </c>
      <c r="I693" s="357">
        <f t="shared" ca="1" si="303"/>
        <v>38.628366203593259</v>
      </c>
      <c r="J693" s="359">
        <f t="shared" ca="1" si="304"/>
        <v>1041.0768431268425</v>
      </c>
      <c r="K693" s="360">
        <f t="shared" ca="1" si="305"/>
        <v>2695.8129871315009</v>
      </c>
      <c r="L693" s="357">
        <f t="shared" ca="1" si="290"/>
        <v>2889.8527047034454</v>
      </c>
      <c r="M693" s="359">
        <f t="shared" ca="1" si="306"/>
        <v>-0.24851849201274401</v>
      </c>
      <c r="N693" s="357">
        <f t="shared" ca="1" si="307"/>
        <v>-14.239060723285892</v>
      </c>
      <c r="O693" s="343"/>
      <c r="P693" s="363">
        <f t="shared" ca="1" si="308"/>
        <v>23</v>
      </c>
      <c r="Q693" s="357">
        <f t="shared" ca="1" si="309"/>
        <v>0</v>
      </c>
      <c r="R693" s="359">
        <f t="shared" ca="1" si="310"/>
        <v>0</v>
      </c>
      <c r="S693" s="360">
        <f t="shared" ca="1" si="311"/>
        <v>9.637999999999975</v>
      </c>
      <c r="T693" s="357">
        <f t="shared" ca="1" si="291"/>
        <v>94.548779999999766</v>
      </c>
      <c r="U693" s="364">
        <f t="shared" ca="1" si="292"/>
        <v>0</v>
      </c>
      <c r="V693" s="359">
        <f t="shared" ca="1" si="293"/>
        <v>0.93398853360234102</v>
      </c>
      <c r="W693" s="357">
        <f t="shared" ca="1" si="294"/>
        <v>3.1823970784586484</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1.8499427491241947</v>
      </c>
      <c r="AH693" s="357">
        <f t="shared" ca="1" si="318"/>
        <v>-0.32680610960876777</v>
      </c>
    </row>
    <row r="694" spans="1:34" x14ac:dyDescent="0.25">
      <c r="A694" s="402">
        <f t="shared" ca="1" si="296"/>
        <v>0.1</v>
      </c>
      <c r="B694" s="357">
        <f t="shared" ca="1" si="297"/>
        <v>24.000000000000011</v>
      </c>
      <c r="C694" s="342"/>
      <c r="D694" s="359">
        <f t="shared" ca="1" si="298"/>
        <v>-0.32004846677849857</v>
      </c>
      <c r="E694" s="360">
        <f t="shared" ca="1" si="299"/>
        <v>-9.7287830879727988</v>
      </c>
      <c r="F694" s="357">
        <f t="shared" ca="1" si="300"/>
        <v>9.7340459930037735</v>
      </c>
      <c r="G694" s="359">
        <f t="shared" ca="1" si="301"/>
        <v>37.409616410464736</v>
      </c>
      <c r="H694" s="360">
        <f t="shared" ca="1" si="302"/>
        <v>-10.474229433537108</v>
      </c>
      <c r="I694" s="357">
        <f t="shared" ca="1" si="303"/>
        <v>38.848280299190691</v>
      </c>
      <c r="J694" s="359">
        <f t="shared" ca="1" si="304"/>
        <v>1044.8194050102229</v>
      </c>
      <c r="K694" s="360">
        <f t="shared" ca="1" si="305"/>
        <v>2694.8142081035871</v>
      </c>
      <c r="L694" s="357">
        <f t="shared" ca="1" si="290"/>
        <v>2890.271822040771</v>
      </c>
      <c r="M694" s="359">
        <f t="shared" ca="1" si="306"/>
        <v>-0.27299722232737267</v>
      </c>
      <c r="N694" s="357">
        <f t="shared" ca="1" si="307"/>
        <v>-15.64158865815306</v>
      </c>
      <c r="O694" s="343"/>
      <c r="P694" s="363">
        <f t="shared" ca="1" si="308"/>
        <v>23</v>
      </c>
      <c r="Q694" s="357">
        <f t="shared" ca="1" si="309"/>
        <v>0</v>
      </c>
      <c r="R694" s="359">
        <f t="shared" ca="1" si="310"/>
        <v>0</v>
      </c>
      <c r="S694" s="360">
        <f t="shared" ca="1" si="311"/>
        <v>9.637999999999975</v>
      </c>
      <c r="T694" s="357">
        <f t="shared" ca="1" si="291"/>
        <v>94.548779999999766</v>
      </c>
      <c r="U694" s="364">
        <f t="shared" ca="1" si="292"/>
        <v>0</v>
      </c>
      <c r="V694" s="359">
        <f t="shared" ca="1" si="293"/>
        <v>0.93408354880929922</v>
      </c>
      <c r="W694" s="357">
        <f t="shared" ca="1" si="294"/>
        <v>3.219062902850478</v>
      </c>
      <c r="X694" s="343"/>
      <c r="Y694" s="367" t="str">
        <f t="shared" ca="1" si="312"/>
        <v/>
      </c>
      <c r="Z694" s="368" t="str">
        <f t="shared" ca="1" si="313"/>
        <v/>
      </c>
      <c r="AA694" s="369" t="str">
        <f t="shared" ca="1" si="314"/>
        <v/>
      </c>
      <c r="AB694" s="344"/>
      <c r="AC694" s="363">
        <f t="shared" ca="1" si="315"/>
        <v>24.000000000000011</v>
      </c>
      <c r="AD694" s="376">
        <f t="shared" ca="1" si="316"/>
        <v>1044.8194050102229</v>
      </c>
      <c r="AE694" s="377" t="e">
        <f t="shared" ca="1" si="295"/>
        <v>#N/A</v>
      </c>
      <c r="AF694" s="344"/>
      <c r="AG694" s="359">
        <f t="shared" ca="1" si="317"/>
        <v>2.082755719829708</v>
      </c>
      <c r="AH694" s="357">
        <f t="shared" ca="1" si="318"/>
        <v>-0.33019268296935639</v>
      </c>
    </row>
    <row r="695" spans="1:34" x14ac:dyDescent="0.25">
      <c r="A695" s="402">
        <f t="shared" ca="1" si="296"/>
        <v>0.1</v>
      </c>
      <c r="B695" s="357">
        <f t="shared" ca="1" si="297"/>
        <v>24.100000000000012</v>
      </c>
      <c r="C695" s="342"/>
      <c r="D695" s="359">
        <f t="shared" ca="1" si="298"/>
        <v>-0.32162810927866947</v>
      </c>
      <c r="E695" s="360">
        <f t="shared" ca="1" si="299"/>
        <v>-9.7199481114188284</v>
      </c>
      <c r="F695" s="357">
        <f t="shared" ca="1" si="300"/>
        <v>9.7252679104152513</v>
      </c>
      <c r="G695" s="359">
        <f t="shared" ca="1" si="301"/>
        <v>37.377453599536871</v>
      </c>
      <c r="H695" s="360">
        <f t="shared" ca="1" si="302"/>
        <v>-11.446224244678991</v>
      </c>
      <c r="I695" s="357">
        <f t="shared" ca="1" si="303"/>
        <v>39.090792867950491</v>
      </c>
      <c r="J695" s="359">
        <f t="shared" ca="1" si="304"/>
        <v>1048.558758510723</v>
      </c>
      <c r="K695" s="360">
        <f t="shared" ca="1" si="305"/>
        <v>2693.7181854196765</v>
      </c>
      <c r="L695" s="357">
        <f t="shared" ca="1" si="290"/>
        <v>2890.6042850086251</v>
      </c>
      <c r="M695" s="359">
        <f t="shared" ca="1" si="306"/>
        <v>-0.2971656426289998</v>
      </c>
      <c r="N695" s="357">
        <f t="shared" ca="1" si="307"/>
        <v>-17.02633713893459</v>
      </c>
      <c r="O695" s="343"/>
      <c r="P695" s="363">
        <f t="shared" ca="1" si="308"/>
        <v>23</v>
      </c>
      <c r="Q695" s="357">
        <f t="shared" ca="1" si="309"/>
        <v>0</v>
      </c>
      <c r="R695" s="359">
        <f t="shared" ca="1" si="310"/>
        <v>0</v>
      </c>
      <c r="S695" s="360">
        <f t="shared" ca="1" si="311"/>
        <v>9.637999999999975</v>
      </c>
      <c r="T695" s="357">
        <f t="shared" ca="1" si="291"/>
        <v>94.548779999999766</v>
      </c>
      <c r="U695" s="364">
        <f t="shared" ca="1" si="292"/>
        <v>0</v>
      </c>
      <c r="V695" s="359">
        <f t="shared" ca="1" si="293"/>
        <v>0.93418782456202631</v>
      </c>
      <c r="W695" s="357">
        <f t="shared" ca="1" si="294"/>
        <v>3.2597425680229941</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2.3109641331538877</v>
      </c>
      <c r="AH695" s="357">
        <f t="shared" ca="1" si="318"/>
        <v>-0.33399698099714531</v>
      </c>
    </row>
    <row r="696" spans="1:34" x14ac:dyDescent="0.25">
      <c r="A696" s="402">
        <f t="shared" ca="1" si="296"/>
        <v>0.1</v>
      </c>
      <c r="B696" s="357">
        <f t="shared" ca="1" si="297"/>
        <v>24.200000000000014</v>
      </c>
      <c r="C696" s="342"/>
      <c r="D696" s="359">
        <f t="shared" ca="1" si="298"/>
        <v>-0.32339374355840528</v>
      </c>
      <c r="E696" s="360">
        <f t="shared" ca="1" si="299"/>
        <v>-9.7109660383033276</v>
      </c>
      <c r="F696" s="357">
        <f t="shared" ca="1" si="300"/>
        <v>9.7163493612803631</v>
      </c>
      <c r="G696" s="359">
        <f t="shared" ca="1" si="301"/>
        <v>37.345114225181028</v>
      </c>
      <c r="H696" s="360">
        <f t="shared" ca="1" si="302"/>
        <v>-12.417320848509323</v>
      </c>
      <c r="I696" s="357">
        <f t="shared" ca="1" si="303"/>
        <v>39.355398785257435</v>
      </c>
      <c r="J696" s="359">
        <f t="shared" ca="1" si="304"/>
        <v>1052.294886901959</v>
      </c>
      <c r="K696" s="360">
        <f t="shared" ca="1" si="305"/>
        <v>2692.525008165017</v>
      </c>
      <c r="L696" s="357">
        <f t="shared" ca="1" si="290"/>
        <v>2890.8502985443629</v>
      </c>
      <c r="M696" s="359">
        <f t="shared" ca="1" si="306"/>
        <v>-0.32100206368845147</v>
      </c>
      <c r="N696" s="357">
        <f t="shared" ca="1" si="307"/>
        <v>-18.392063464337923</v>
      </c>
      <c r="O696" s="343"/>
      <c r="P696" s="363">
        <f t="shared" ca="1" si="308"/>
        <v>23</v>
      </c>
      <c r="Q696" s="357">
        <f t="shared" ca="1" si="309"/>
        <v>0</v>
      </c>
      <c r="R696" s="359">
        <f t="shared" ca="1" si="310"/>
        <v>0</v>
      </c>
      <c r="S696" s="360">
        <f t="shared" ca="1" si="311"/>
        <v>9.637999999999975</v>
      </c>
      <c r="T696" s="357">
        <f t="shared" ca="1" si="291"/>
        <v>94.548779999999766</v>
      </c>
      <c r="U696" s="364">
        <f t="shared" ca="1" si="292"/>
        <v>0</v>
      </c>
      <c r="V696" s="359">
        <f t="shared" ca="1" si="293"/>
        <v>0.93430135506600842</v>
      </c>
      <c r="W696" s="357">
        <f t="shared" ca="1" si="294"/>
        <v>3.3044239124753907</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2.5342607042352636</v>
      </c>
      <c r="AH696" s="357">
        <f t="shared" ca="1" si="318"/>
        <v>-0.33821773895237628</v>
      </c>
    </row>
    <row r="697" spans="1:34" x14ac:dyDescent="0.25">
      <c r="A697" s="402">
        <f t="shared" ca="1" si="296"/>
        <v>0.1</v>
      </c>
      <c r="B697" s="357">
        <f t="shared" ca="1" si="297"/>
        <v>24.300000000000015</v>
      </c>
      <c r="C697" s="342"/>
      <c r="D697" s="359">
        <f t="shared" ca="1" si="298"/>
        <v>-0.32534063426515553</v>
      </c>
      <c r="E697" s="360">
        <f t="shared" ca="1" si="299"/>
        <v>-9.701823626074118</v>
      </c>
      <c r="F697" s="357">
        <f t="shared" ca="1" si="300"/>
        <v>9.707277074429987</v>
      </c>
      <c r="G697" s="359">
        <f t="shared" ca="1" si="301"/>
        <v>37.312580161754511</v>
      </c>
      <c r="H697" s="360">
        <f t="shared" ca="1" si="302"/>
        <v>-13.387503211116735</v>
      </c>
      <c r="I697" s="357">
        <f t="shared" ca="1" si="303"/>
        <v>39.641567584481535</v>
      </c>
      <c r="J697" s="359">
        <f t="shared" ca="1" si="304"/>
        <v>1056.0277716213059</v>
      </c>
      <c r="K697" s="360">
        <f t="shared" ca="1" si="305"/>
        <v>2691.2347669620358</v>
      </c>
      <c r="L697" s="357">
        <f t="shared" ca="1" si="290"/>
        <v>2891.0100700863468</v>
      </c>
      <c r="M697" s="359">
        <f t="shared" ca="1" si="306"/>
        <v>-0.34448690254431702</v>
      </c>
      <c r="N697" s="357">
        <f t="shared" ca="1" si="307"/>
        <v>-19.737645613323867</v>
      </c>
      <c r="O697" s="343"/>
      <c r="P697" s="363">
        <f t="shared" ca="1" si="308"/>
        <v>23</v>
      </c>
      <c r="Q697" s="357">
        <f t="shared" ca="1" si="309"/>
        <v>0</v>
      </c>
      <c r="R697" s="359">
        <f t="shared" ca="1" si="310"/>
        <v>0</v>
      </c>
      <c r="S697" s="360">
        <f t="shared" ca="1" si="311"/>
        <v>9.637999999999975</v>
      </c>
      <c r="T697" s="357">
        <f t="shared" ca="1" si="291"/>
        <v>94.548779999999766</v>
      </c>
      <c r="U697" s="364">
        <f t="shared" ca="1" si="292"/>
        <v>0</v>
      </c>
      <c r="V697" s="359">
        <f t="shared" ca="1" si="293"/>
        <v>0.93442413461531759</v>
      </c>
      <c r="W697" s="357">
        <f t="shared" ca="1" si="294"/>
        <v>3.3530947792553207</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2.7523739302690649</v>
      </c>
      <c r="AH697" s="357">
        <f t="shared" ca="1" si="318"/>
        <v>-0.34285369500678559</v>
      </c>
    </row>
    <row r="698" spans="1:34" x14ac:dyDescent="0.25">
      <c r="A698" s="402">
        <f t="shared" ca="1" si="296"/>
        <v>0.1</v>
      </c>
      <c r="B698" s="357">
        <f t="shared" ca="1" si="297"/>
        <v>24.400000000000016</v>
      </c>
      <c r="C698" s="342"/>
      <c r="D698" s="359">
        <f t="shared" ca="1" si="298"/>
        <v>-0.32746385421907348</v>
      </c>
      <c r="E698" s="360">
        <f t="shared" ca="1" si="299"/>
        <v>-9.6925081679991667</v>
      </c>
      <c r="F698" s="357">
        <f t="shared" ca="1" si="300"/>
        <v>9.6980383151723313</v>
      </c>
      <c r="G698" s="359">
        <f t="shared" ca="1" si="301"/>
        <v>37.279833776332602</v>
      </c>
      <c r="H698" s="360">
        <f t="shared" ca="1" si="302"/>
        <v>-14.356754027916653</v>
      </c>
      <c r="I698" s="357">
        <f t="shared" ca="1" si="303"/>
        <v>39.948747071830553</v>
      </c>
      <c r="J698" s="359">
        <f t="shared" ca="1" si="304"/>
        <v>1059.7573923182101</v>
      </c>
      <c r="K698" s="360">
        <f t="shared" ca="1" si="305"/>
        <v>2689.8475541000839</v>
      </c>
      <c r="L698" s="357">
        <f t="shared" ca="1" si="290"/>
        <v>2891.083809727988</v>
      </c>
      <c r="M698" s="359">
        <f t="shared" ca="1" si="306"/>
        <v>-0.36760270549153939</v>
      </c>
      <c r="N698" s="357">
        <f t="shared" ca="1" si="307"/>
        <v>-21.062083562255779</v>
      </c>
      <c r="O698" s="343"/>
      <c r="P698" s="363">
        <f t="shared" ca="1" si="308"/>
        <v>23</v>
      </c>
      <c r="Q698" s="357">
        <f t="shared" ca="1" si="309"/>
        <v>0</v>
      </c>
      <c r="R698" s="359">
        <f t="shared" ca="1" si="310"/>
        <v>0</v>
      </c>
      <c r="S698" s="360">
        <f t="shared" ca="1" si="311"/>
        <v>9.637999999999975</v>
      </c>
      <c r="T698" s="357">
        <f t="shared" ca="1" si="291"/>
        <v>94.548779999999766</v>
      </c>
      <c r="U698" s="364">
        <f t="shared" ca="1" si="292"/>
        <v>0</v>
      </c>
      <c r="V698" s="359">
        <f t="shared" ca="1" si="293"/>
        <v>0.93455615757963251</v>
      </c>
      <c r="W698" s="357">
        <f t="shared" ca="1" si="294"/>
        <v>3.405742993409981</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2.9650684893261152</v>
      </c>
      <c r="AH698" s="357">
        <f t="shared" ca="1" si="318"/>
        <v>-0.34790358780403918</v>
      </c>
    </row>
    <row r="699" spans="1:34" x14ac:dyDescent="0.25">
      <c r="A699" s="402">
        <f t="shared" ca="1" si="296"/>
        <v>0.1</v>
      </c>
      <c r="B699" s="357">
        <f t="shared" ca="1" si="297"/>
        <v>24.500000000000018</v>
      </c>
      <c r="C699" s="342"/>
      <c r="D699" s="359">
        <f t="shared" ca="1" si="298"/>
        <v>-0.32975831417426776</v>
      </c>
      <c r="E699" s="360">
        <f t="shared" ca="1" si="299"/>
        <v>-9.6830075076604558</v>
      </c>
      <c r="F699" s="357">
        <f t="shared" ca="1" si="300"/>
        <v>9.6886208997553318</v>
      </c>
      <c r="G699" s="359">
        <f t="shared" ca="1" si="301"/>
        <v>37.246857944915178</v>
      </c>
      <c r="H699" s="360">
        <f t="shared" ca="1" si="302"/>
        <v>-15.325054778682698</v>
      </c>
      <c r="I699" s="357">
        <f t="shared" ca="1" si="303"/>
        <v>40.276366900929837</v>
      </c>
      <c r="J699" s="359">
        <f t="shared" ca="1" si="304"/>
        <v>1063.4837269042725</v>
      </c>
      <c r="K699" s="360">
        <f t="shared" ca="1" si="305"/>
        <v>2688.363463659754</v>
      </c>
      <c r="L699" s="357">
        <f t="shared" ca="1" si="290"/>
        <v>2891.0717303676279</v>
      </c>
      <c r="M699" s="359">
        <f t="shared" ca="1" si="306"/>
        <v>-0.39033414427626861</v>
      </c>
      <c r="N699" s="357">
        <f t="shared" ca="1" si="307"/>
        <v>-22.36449906688075</v>
      </c>
      <c r="O699" s="343"/>
      <c r="P699" s="363">
        <f t="shared" ca="1" si="308"/>
        <v>23</v>
      </c>
      <c r="Q699" s="357">
        <f t="shared" ca="1" si="309"/>
        <v>0</v>
      </c>
      <c r="R699" s="359">
        <f t="shared" ca="1" si="310"/>
        <v>0</v>
      </c>
      <c r="S699" s="360">
        <f t="shared" ca="1" si="311"/>
        <v>9.637999999999975</v>
      </c>
      <c r="T699" s="357">
        <f t="shared" ca="1" si="291"/>
        <v>94.548779999999766</v>
      </c>
      <c r="U699" s="364">
        <f t="shared" ca="1" si="292"/>
        <v>0</v>
      </c>
      <c r="V699" s="359">
        <f t="shared" ca="1" si="293"/>
        <v>0.93469741839176468</v>
      </c>
      <c r="W699" s="357">
        <f t="shared" ca="1" si="294"/>
        <v>3.4623563404214677</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3.1721450905910551</v>
      </c>
      <c r="AH699" s="357">
        <f t="shared" ca="1" si="318"/>
        <v>-0.35336615412014838</v>
      </c>
    </row>
    <row r="700" spans="1:34" x14ac:dyDescent="0.25">
      <c r="A700" s="402">
        <f t="shared" ca="1" si="296"/>
        <v>0.1</v>
      </c>
      <c r="B700" s="357">
        <f t="shared" ca="1" si="297"/>
        <v>24.600000000000019</v>
      </c>
      <c r="C700" s="342"/>
      <c r="D700" s="359">
        <f t="shared" ca="1" si="298"/>
        <v>-0.33221879216328715</v>
      </c>
      <c r="E700" s="360">
        <f t="shared" ca="1" si="299"/>
        <v>-9.6733100489727288</v>
      </c>
      <c r="F700" s="357">
        <f t="shared" ca="1" si="300"/>
        <v>9.6790132053543143</v>
      </c>
      <c r="G700" s="359">
        <f t="shared" ca="1" si="301"/>
        <v>37.21363606569885</v>
      </c>
      <c r="H700" s="360">
        <f t="shared" ca="1" si="302"/>
        <v>-16.29238578357997</v>
      </c>
      <c r="I700" s="357">
        <f t="shared" ca="1" si="303"/>
        <v>40.623842060436395</v>
      </c>
      <c r="J700" s="359">
        <f t="shared" ca="1" si="304"/>
        <v>1067.2067516048032</v>
      </c>
      <c r="K700" s="360">
        <f t="shared" ca="1" si="305"/>
        <v>2686.782591631641</v>
      </c>
      <c r="L700" s="357">
        <f t="shared" ca="1" si="290"/>
        <v>2890.9740478540643</v>
      </c>
      <c r="M700" s="359">
        <f t="shared" ca="1" si="306"/>
        <v>-0.41266798792439102</v>
      </c>
      <c r="N700" s="357">
        <f t="shared" ca="1" si="307"/>
        <v>-23.644134048223226</v>
      </c>
      <c r="O700" s="343"/>
      <c r="P700" s="363">
        <f t="shared" ca="1" si="308"/>
        <v>23</v>
      </c>
      <c r="Q700" s="357">
        <f t="shared" ca="1" si="309"/>
        <v>0</v>
      </c>
      <c r="R700" s="359">
        <f t="shared" ca="1" si="310"/>
        <v>0</v>
      </c>
      <c r="S700" s="360">
        <f t="shared" ca="1" si="311"/>
        <v>9.637999999999975</v>
      </c>
      <c r="T700" s="357">
        <f t="shared" ca="1" si="291"/>
        <v>94.548779999999766</v>
      </c>
      <c r="U700" s="364">
        <f t="shared" ca="1" si="292"/>
        <v>0</v>
      </c>
      <c r="V700" s="359">
        <f t="shared" ca="1" si="293"/>
        <v>0.9348479115356968</v>
      </c>
      <c r="W700" s="357">
        <f t="shared" ca="1" si="294"/>
        <v>3.5229225456398305</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3.3734398280649018</v>
      </c>
      <c r="AH700" s="357">
        <f t="shared" ca="1" si="318"/>
        <v>-0.35924012662600918</v>
      </c>
    </row>
    <row r="701" spans="1:34" x14ac:dyDescent="0.25">
      <c r="A701" s="402">
        <f t="shared" ca="1" si="296"/>
        <v>0.1</v>
      </c>
      <c r="B701" s="357">
        <f t="shared" ca="1" si="297"/>
        <v>24.700000000000021</v>
      </c>
      <c r="C701" s="342"/>
      <c r="D701" s="359">
        <f t="shared" ca="1" si="298"/>
        <v>-0.33483996204570887</v>
      </c>
      <c r="E701" s="360">
        <f t="shared" ca="1" si="299"/>
        <v>-9.6634047619593844</v>
      </c>
      <c r="F701" s="357">
        <f t="shared" ca="1" si="300"/>
        <v>9.6692041758172671</v>
      </c>
      <c r="G701" s="359">
        <f t="shared" ca="1" si="301"/>
        <v>37.180152069494277</v>
      </c>
      <c r="H701" s="360">
        <f t="shared" ca="1" si="302"/>
        <v>-17.258726259775909</v>
      </c>
      <c r="I701" s="357">
        <f t="shared" ca="1" si="303"/>
        <v>40.990576234307781</v>
      </c>
      <c r="J701" s="359">
        <f t="shared" ca="1" si="304"/>
        <v>1070.9264410115629</v>
      </c>
      <c r="K701" s="360">
        <f t="shared" ca="1" si="305"/>
        <v>2685.105036029473</v>
      </c>
      <c r="L701" s="357">
        <f t="shared" ca="1" si="290"/>
        <v>2890.7909811275754</v>
      </c>
      <c r="M701" s="359">
        <f t="shared" ca="1" si="306"/>
        <v>-0.43459305295909961</v>
      </c>
      <c r="N701" s="357">
        <f t="shared" ca="1" si="307"/>
        <v>-24.900347740261882</v>
      </c>
      <c r="O701" s="343"/>
      <c r="P701" s="363">
        <f t="shared" ca="1" si="308"/>
        <v>23</v>
      </c>
      <c r="Q701" s="357">
        <f t="shared" ca="1" si="309"/>
        <v>0</v>
      </c>
      <c r="R701" s="359">
        <f t="shared" ca="1" si="310"/>
        <v>0</v>
      </c>
      <c r="S701" s="360">
        <f t="shared" ca="1" si="311"/>
        <v>9.637999999999975</v>
      </c>
      <c r="T701" s="357">
        <f t="shared" ca="1" si="291"/>
        <v>94.548779999999766</v>
      </c>
      <c r="U701" s="364">
        <f t="shared" ca="1" si="292"/>
        <v>0</v>
      </c>
      <c r="V701" s="359">
        <f t="shared" ca="1" si="293"/>
        <v>0.93500763153514466</v>
      </c>
      <c r="W701" s="357">
        <f t="shared" ca="1" si="294"/>
        <v>3.5874292547204587</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3.568823098052071</v>
      </c>
      <c r="AH701" s="357">
        <f t="shared" ca="1" si="318"/>
        <v>-0.36552423175345922</v>
      </c>
    </row>
    <row r="702" spans="1:34" x14ac:dyDescent="0.25">
      <c r="A702" s="402">
        <f t="shared" ca="1" si="296"/>
        <v>0.1</v>
      </c>
      <c r="B702" s="357">
        <f t="shared" ca="1" si="297"/>
        <v>24.800000000000022</v>
      </c>
      <c r="C702" s="342"/>
      <c r="D702" s="359">
        <f t="shared" ca="1" si="298"/>
        <v>-0.33761642093485311</v>
      </c>
      <c r="E702" s="360">
        <f t="shared" ca="1" si="299"/>
        <v>-9.6532811845731885</v>
      </c>
      <c r="F702" s="357">
        <f t="shared" ca="1" si="300"/>
        <v>9.6591833234554354</v>
      </c>
      <c r="G702" s="359">
        <f t="shared" ca="1" si="301"/>
        <v>37.146390427400789</v>
      </c>
      <c r="H702" s="360">
        <f t="shared" ca="1" si="302"/>
        <v>-18.224054378233227</v>
      </c>
      <c r="I702" s="357">
        <f t="shared" ca="1" si="303"/>
        <v>41.375965001020759</v>
      </c>
      <c r="J702" s="359">
        <f t="shared" ca="1" si="304"/>
        <v>1074.6427681364078</v>
      </c>
      <c r="K702" s="360">
        <f t="shared" ca="1" si="305"/>
        <v>2683.3308969975724</v>
      </c>
      <c r="L702" s="357">
        <f t="shared" ca="1" si="290"/>
        <v>2890.5227523563408</v>
      </c>
      <c r="M702" s="359">
        <f t="shared" ca="1" si="306"/>
        <v>-0.45610013496467</v>
      </c>
      <c r="N702" s="357">
        <f t="shared" ca="1" si="307"/>
        <v>-26.13261276882282</v>
      </c>
      <c r="O702" s="343"/>
      <c r="P702" s="363">
        <f t="shared" ca="1" si="308"/>
        <v>23</v>
      </c>
      <c r="Q702" s="357">
        <f t="shared" ca="1" si="309"/>
        <v>0</v>
      </c>
      <c r="R702" s="359">
        <f t="shared" ca="1" si="310"/>
        <v>0</v>
      </c>
      <c r="S702" s="360">
        <f t="shared" ca="1" si="311"/>
        <v>9.637999999999975</v>
      </c>
      <c r="T702" s="357">
        <f t="shared" ca="1" si="291"/>
        <v>94.548779999999766</v>
      </c>
      <c r="U702" s="364">
        <f t="shared" ca="1" si="292"/>
        <v>0</v>
      </c>
      <c r="V702" s="359">
        <f t="shared" ca="1" si="293"/>
        <v>0.93517657294263479</v>
      </c>
      <c r="W702" s="357">
        <f t="shared" ca="1" si="294"/>
        <v>3.6558640150659758</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3.7581981458641298</v>
      </c>
      <c r="AH702" s="357">
        <f t="shared" ca="1" si="318"/>
        <v>-0.37221718766553935</v>
      </c>
    </row>
    <row r="703" spans="1:34" x14ac:dyDescent="0.25">
      <c r="A703" s="402">
        <f t="shared" ca="1" si="296"/>
        <v>0.1</v>
      </c>
      <c r="B703" s="357">
        <f t="shared" ca="1" si="297"/>
        <v>24.900000000000023</v>
      </c>
      <c r="C703" s="342"/>
      <c r="D703" s="359">
        <f t="shared" ca="1" si="298"/>
        <v>-0.3405427152324681</v>
      </c>
      <c r="E703" s="360">
        <f t="shared" ca="1" si="299"/>
        <v>-9.6429294208911944</v>
      </c>
      <c r="F703" s="357">
        <f t="shared" ca="1" si="300"/>
        <v>9.6489407272087071</v>
      </c>
      <c r="G703" s="359">
        <f t="shared" ca="1" si="301"/>
        <v>37.112336155877543</v>
      </c>
      <c r="H703" s="360">
        <f t="shared" ca="1" si="302"/>
        <v>-19.188347320322347</v>
      </c>
      <c r="I703" s="357">
        <f t="shared" ca="1" si="303"/>
        <v>41.779398844791643</v>
      </c>
      <c r="J703" s="359">
        <f t="shared" ca="1" si="304"/>
        <v>1078.3557044655718</v>
      </c>
      <c r="K703" s="360">
        <f t="shared" ca="1" si="305"/>
        <v>2681.4602769126445</v>
      </c>
      <c r="L703" s="357">
        <f t="shared" ca="1" si="290"/>
        <v>2890.1695870681838</v>
      </c>
      <c r="M703" s="359">
        <f t="shared" ca="1" si="306"/>
        <v>-0.47718192453889108</v>
      </c>
      <c r="N703" s="357">
        <f t="shared" ca="1" si="307"/>
        <v>-27.340510336008592</v>
      </c>
      <c r="O703" s="343"/>
      <c r="P703" s="363">
        <f t="shared" ca="1" si="308"/>
        <v>23</v>
      </c>
      <c r="Q703" s="357">
        <f t="shared" ca="1" si="309"/>
        <v>0</v>
      </c>
      <c r="R703" s="359">
        <f t="shared" ca="1" si="310"/>
        <v>0</v>
      </c>
      <c r="S703" s="360">
        <f t="shared" ca="1" si="311"/>
        <v>9.637999999999975</v>
      </c>
      <c r="T703" s="357">
        <f t="shared" ca="1" si="291"/>
        <v>94.548779999999766</v>
      </c>
      <c r="U703" s="364">
        <f t="shared" ca="1" si="292"/>
        <v>0</v>
      </c>
      <c r="V703" s="359">
        <f t="shared" ca="1" si="293"/>
        <v>0.93535473032910865</v>
      </c>
      <c r="W703" s="357">
        <f t="shared" ca="1" si="294"/>
        <v>3.7282142582669739</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3.941499309334064</v>
      </c>
      <c r="AH703" s="357">
        <f t="shared" ca="1" si="318"/>
        <v>-0.37931770233098</v>
      </c>
    </row>
    <row r="704" spans="1:34" x14ac:dyDescent="0.25">
      <c r="A704" s="402">
        <f t="shared" ca="1" si="296"/>
        <v>0.1</v>
      </c>
      <c r="B704" s="357">
        <f t="shared" ca="1" si="297"/>
        <v>25.000000000000025</v>
      </c>
      <c r="C704" s="342"/>
      <c r="D704" s="359">
        <f t="shared" ca="1" si="298"/>
        <v>-0.34361336505745321</v>
      </c>
      <c r="E704" s="360">
        <f t="shared" ca="1" si="299"/>
        <v>-9.6323401360417211</v>
      </c>
      <c r="F704" s="357">
        <f t="shared" ca="1" si="300"/>
        <v>9.6384670275436619</v>
      </c>
      <c r="G704" s="359">
        <f t="shared" ca="1" si="301"/>
        <v>37.077974819371796</v>
      </c>
      <c r="H704" s="360">
        <f t="shared" ca="1" si="302"/>
        <v>-20.151581333926519</v>
      </c>
      <c r="I704" s="357">
        <f t="shared" ca="1" si="303"/>
        <v>42.200265958448945</v>
      </c>
      <c r="J704" s="359">
        <f t="shared" ca="1" si="304"/>
        <v>1082.0652200143343</v>
      </c>
      <c r="K704" s="360">
        <f t="shared" ca="1" si="305"/>
        <v>2679.4932804799323</v>
      </c>
      <c r="L704" s="357">
        <f t="shared" ca="1" si="290"/>
        <v>2889.7317142776037</v>
      </c>
      <c r="M704" s="359">
        <f t="shared" ca="1" si="306"/>
        <v>-0.49783291065910767</v>
      </c>
      <c r="N704" s="357">
        <f t="shared" ca="1" si="307"/>
        <v>-28.523724683480243</v>
      </c>
      <c r="O704" s="343"/>
      <c r="P704" s="363">
        <f t="shared" ca="1" si="308"/>
        <v>23</v>
      </c>
      <c r="Q704" s="357">
        <f t="shared" ca="1" si="309"/>
        <v>0</v>
      </c>
      <c r="R704" s="359">
        <f t="shared" ca="1" si="310"/>
        <v>0</v>
      </c>
      <c r="S704" s="360">
        <f t="shared" ca="1" si="311"/>
        <v>9.637999999999975</v>
      </c>
      <c r="T704" s="357">
        <f t="shared" ca="1" si="291"/>
        <v>94.548779999999766</v>
      </c>
      <c r="U704" s="364">
        <f t="shared" ca="1" si="292"/>
        <v>0</v>
      </c>
      <c r="V704" s="359">
        <f t="shared" ca="1" si="293"/>
        <v>0.93554209827403545</v>
      </c>
      <c r="W704" s="357">
        <f t="shared" ca="1" si="294"/>
        <v>3.8044672835305731</v>
      </c>
      <c r="X704" s="343"/>
      <c r="Y704" s="367" t="str">
        <f t="shared" ca="1" si="312"/>
        <v/>
      </c>
      <c r="Z704" s="368" t="str">
        <f t="shared" ca="1" si="313"/>
        <v/>
      </c>
      <c r="AA704" s="369" t="str">
        <f t="shared" ca="1" si="314"/>
        <v/>
      </c>
      <c r="AB704" s="344"/>
      <c r="AC704" s="363">
        <f t="shared" ca="1" si="315"/>
        <v>25.000000000000025</v>
      </c>
      <c r="AD704" s="376">
        <f t="shared" ca="1" si="316"/>
        <v>1082.0652200143343</v>
      </c>
      <c r="AE704" s="377" t="e">
        <f t="shared" ca="1" si="295"/>
        <v>#N/A</v>
      </c>
      <c r="AF704" s="344"/>
      <c r="AG704" s="359">
        <f t="shared" ca="1" si="317"/>
        <v>4.1186900262840114</v>
      </c>
      <c r="AH704" s="357">
        <f t="shared" ca="1" si="318"/>
        <v>-0.38682447170232243</v>
      </c>
    </row>
    <row r="705" spans="1:34" x14ac:dyDescent="0.25">
      <c r="A705" s="402">
        <f t="shared" ca="1" si="296"/>
        <v>0.1</v>
      </c>
      <c r="B705" s="357">
        <f t="shared" ca="1" si="297"/>
        <v>25.100000000000026</v>
      </c>
      <c r="C705" s="342"/>
      <c r="D705" s="359">
        <f t="shared" ca="1" si="298"/>
        <v>-0.34682288690932334</v>
      </c>
      <c r="E705" s="360">
        <f t="shared" ca="1" si="299"/>
        <v>-9.6215045482373842</v>
      </c>
      <c r="F705" s="357">
        <f t="shared" ca="1" si="300"/>
        <v>9.6277534184583686</v>
      </c>
      <c r="G705" s="359">
        <f t="shared" ca="1" si="301"/>
        <v>37.043292530680866</v>
      </c>
      <c r="H705" s="360">
        <f t="shared" ca="1" si="302"/>
        <v>-21.113731788750258</v>
      </c>
      <c r="I705" s="357">
        <f t="shared" ca="1" si="303"/>
        <v>42.637954823852418</v>
      </c>
      <c r="J705" s="359">
        <f t="shared" ca="1" si="304"/>
        <v>1085.7712833818368</v>
      </c>
      <c r="K705" s="360">
        <f t="shared" ca="1" si="305"/>
        <v>2677.4300148237985</v>
      </c>
      <c r="L705" s="357">
        <f t="shared" ca="1" si="290"/>
        <v>2889.209366608105</v>
      </c>
      <c r="M705" s="359">
        <f t="shared" ca="1" si="306"/>
        <v>-0.51804927438292081</v>
      </c>
      <c r="N705" s="357">
        <f t="shared" ca="1" si="307"/>
        <v>-29.682037001956118</v>
      </c>
      <c r="O705" s="343"/>
      <c r="P705" s="363">
        <f t="shared" ca="1" si="308"/>
        <v>23</v>
      </c>
      <c r="Q705" s="357">
        <f t="shared" ca="1" si="309"/>
        <v>0</v>
      </c>
      <c r="R705" s="359">
        <f t="shared" ca="1" si="310"/>
        <v>0</v>
      </c>
      <c r="S705" s="360">
        <f t="shared" ca="1" si="311"/>
        <v>9.637999999999975</v>
      </c>
      <c r="T705" s="357">
        <f t="shared" ca="1" si="291"/>
        <v>94.548779999999766</v>
      </c>
      <c r="U705" s="364">
        <f t="shared" ca="1" si="292"/>
        <v>0</v>
      </c>
      <c r="V705" s="359">
        <f t="shared" ca="1" si="293"/>
        <v>0.93573867135604183</v>
      </c>
      <c r="W705" s="357">
        <f t="shared" ca="1" si="294"/>
        <v>3.8846102420811044</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4.2897606704466735</v>
      </c>
      <c r="AH705" s="357">
        <f t="shared" ca="1" si="318"/>
        <v>-0.39473617799653277</v>
      </c>
    </row>
    <row r="706" spans="1:34" x14ac:dyDescent="0.25">
      <c r="A706" s="402">
        <f t="shared" ca="1" si="296"/>
        <v>0.1</v>
      </c>
      <c r="B706" s="357">
        <f t="shared" ca="1" si="297"/>
        <v>25.200000000000028</v>
      </c>
      <c r="C706" s="342"/>
      <c r="D706" s="359">
        <f t="shared" ca="1" si="298"/>
        <v>-0.35016581445860012</v>
      </c>
      <c r="E706" s="360">
        <f t="shared" ca="1" si="299"/>
        <v>-9.6104144182932796</v>
      </c>
      <c r="F706" s="357">
        <f t="shared" ca="1" si="300"/>
        <v>9.6167916369730495</v>
      </c>
      <c r="G706" s="359">
        <f t="shared" ca="1" si="301"/>
        <v>37.008275949235006</v>
      </c>
      <c r="H706" s="360">
        <f t="shared" ca="1" si="302"/>
        <v>-22.074773230579584</v>
      </c>
      <c r="I706" s="357">
        <f t="shared" ca="1" si="303"/>
        <v>43.091856561492442</v>
      </c>
      <c r="J706" s="359">
        <f t="shared" ca="1" si="304"/>
        <v>1089.4738618058327</v>
      </c>
      <c r="K706" s="360">
        <f t="shared" ca="1" si="305"/>
        <v>2675.2705895728318</v>
      </c>
      <c r="L706" s="357">
        <f t="shared" ca="1" si="290"/>
        <v>2888.6027804098439</v>
      </c>
      <c r="M706" s="359">
        <f t="shared" ca="1" si="306"/>
        <v>-0.53782877563178144</v>
      </c>
      <c r="N706" s="357">
        <f t="shared" ca="1" si="307"/>
        <v>-30.815318944389574</v>
      </c>
      <c r="O706" s="343"/>
      <c r="P706" s="363">
        <f t="shared" ca="1" si="308"/>
        <v>23</v>
      </c>
      <c r="Q706" s="357">
        <f t="shared" ca="1" si="309"/>
        <v>0</v>
      </c>
      <c r="R706" s="359">
        <f t="shared" ca="1" si="310"/>
        <v>0</v>
      </c>
      <c r="S706" s="360">
        <f t="shared" ca="1" si="311"/>
        <v>9.637999999999975</v>
      </c>
      <c r="T706" s="357">
        <f t="shared" ca="1" si="291"/>
        <v>94.548779999999766</v>
      </c>
      <c r="U706" s="364">
        <f t="shared" ca="1" si="292"/>
        <v>0</v>
      </c>
      <c r="V706" s="359">
        <f t="shared" ca="1" si="293"/>
        <v>0.93594444414403299</v>
      </c>
      <c r="W706" s="357">
        <f t="shared" ca="1" si="294"/>
        <v>3.9686301225130451</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4.4547262759679223</v>
      </c>
      <c r="AH706" s="357">
        <f t="shared" ca="1" si="318"/>
        <v>-0.40305148807648</v>
      </c>
    </row>
    <row r="707" spans="1:34" x14ac:dyDescent="0.25">
      <c r="A707" s="402">
        <f t="shared" ca="1" si="296"/>
        <v>0.1</v>
      </c>
      <c r="B707" s="357">
        <f t="shared" ca="1" si="297"/>
        <v>25.300000000000029</v>
      </c>
      <c r="C707" s="342"/>
      <c r="D707" s="359">
        <f t="shared" ca="1" si="298"/>
        <v>-0.35363671740342212</v>
      </c>
      <c r="E707" s="360">
        <f t="shared" ca="1" si="299"/>
        <v>-9.5990620370050372</v>
      </c>
      <c r="F707" s="357">
        <f t="shared" ca="1" si="300"/>
        <v>9.6055739504814159</v>
      </c>
      <c r="G707" s="359">
        <f t="shared" ca="1" si="301"/>
        <v>36.972912277494665</v>
      </c>
      <c r="H707" s="360">
        <f t="shared" ca="1" si="302"/>
        <v>-23.034679434280086</v>
      </c>
      <c r="I707" s="357">
        <f t="shared" ca="1" si="303"/>
        <v>43.561367046034746</v>
      </c>
      <c r="J707" s="359">
        <f t="shared" ca="1" si="304"/>
        <v>1093.1729212171692</v>
      </c>
      <c r="K707" s="360">
        <f t="shared" ca="1" si="305"/>
        <v>2673.015116939589</v>
      </c>
      <c r="L707" s="357">
        <f t="shared" ca="1" si="290"/>
        <v>2887.9121958726591</v>
      </c>
      <c r="M707" s="359">
        <f t="shared" ca="1" si="306"/>
        <v>-0.55717063558155622</v>
      </c>
      <c r="N707" s="357">
        <f t="shared" ca="1" si="307"/>
        <v>-31.923525887444786</v>
      </c>
      <c r="O707" s="343"/>
      <c r="P707" s="363">
        <f t="shared" ca="1" si="308"/>
        <v>23</v>
      </c>
      <c r="Q707" s="357">
        <f t="shared" ca="1" si="309"/>
        <v>0</v>
      </c>
      <c r="R707" s="359">
        <f t="shared" ca="1" si="310"/>
        <v>0</v>
      </c>
      <c r="S707" s="360">
        <f t="shared" ca="1" si="311"/>
        <v>9.637999999999975</v>
      </c>
      <c r="T707" s="357">
        <f t="shared" ca="1" si="291"/>
        <v>94.548779999999766</v>
      </c>
      <c r="U707" s="364">
        <f t="shared" ca="1" si="292"/>
        <v>0</v>
      </c>
      <c r="V707" s="359">
        <f t="shared" ca="1" si="293"/>
        <v>0.93615941118880341</v>
      </c>
      <c r="W707" s="357">
        <f t="shared" ca="1" si="294"/>
        <v>4.0565137370728825</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4.6136242049817699</v>
      </c>
      <c r="AH707" s="357">
        <f t="shared" ca="1" si="318"/>
        <v>-0.41176905193121555</v>
      </c>
    </row>
    <row r="708" spans="1:34" x14ac:dyDescent="0.25">
      <c r="A708" s="402">
        <f t="shared" ca="1" si="296"/>
        <v>0.1</v>
      </c>
      <c r="B708" s="357">
        <f t="shared" ca="1" si="297"/>
        <v>25.400000000000031</v>
      </c>
      <c r="C708" s="342"/>
      <c r="D708" s="359">
        <f t="shared" ca="1" si="298"/>
        <v>-0.35723021837360119</v>
      </c>
      <c r="E708" s="360">
        <f t="shared" ca="1" si="299"/>
        <v>-9.5874402107490315</v>
      </c>
      <c r="F708" s="357">
        <f t="shared" ca="1" si="300"/>
        <v>9.5940931423249527</v>
      </c>
      <c r="G708" s="359">
        <f t="shared" ca="1" si="301"/>
        <v>36.937189255657302</v>
      </c>
      <c r="H708" s="360">
        <f t="shared" ca="1" si="302"/>
        <v>-23.993423455354989</v>
      </c>
      <c r="I708" s="357">
        <f t="shared" ca="1" si="303"/>
        <v>44.0458887890371</v>
      </c>
      <c r="J708" s="359">
        <f t="shared" ca="1" si="304"/>
        <v>1096.8684262938268</v>
      </c>
      <c r="K708" s="360">
        <f t="shared" ca="1" si="305"/>
        <v>2670.6637117951072</v>
      </c>
      <c r="L708" s="357">
        <f t="shared" ref="L708:L771" ca="1" si="319">SQRT(pos_x^2+pos_z^2)</f>
        <v>2887.1378571345563</v>
      </c>
      <c r="M708" s="359">
        <f t="shared" ca="1" si="306"/>
        <v>-0.57607541692523823</v>
      </c>
      <c r="N708" s="357">
        <f t="shared" ca="1" si="307"/>
        <v>-33.006690071055424</v>
      </c>
      <c r="O708" s="343"/>
      <c r="P708" s="363">
        <f t="shared" ca="1" si="308"/>
        <v>23</v>
      </c>
      <c r="Q708" s="357">
        <f t="shared" ca="1" si="309"/>
        <v>0</v>
      </c>
      <c r="R708" s="359">
        <f t="shared" ca="1" si="310"/>
        <v>0</v>
      </c>
      <c r="S708" s="360">
        <f t="shared" ca="1" si="311"/>
        <v>9.637999999999975</v>
      </c>
      <c r="T708" s="357">
        <f t="shared" ref="T708:T771" ca="1" si="320">m*g</f>
        <v>94.548779999999766</v>
      </c>
      <c r="U708" s="364">
        <f t="shared" ref="U708:U771" ca="1" si="321">IF(pos_xz&lt;L_rampe,Poids*COS(Beta),0)</f>
        <v>0</v>
      </c>
      <c r="V708" s="359">
        <f t="shared" ref="V708:V771" ca="1" si="322">Rho_moyen*(20000-Alt_rampe-pos_z)/(20000+Alt_rampe+pos_z)</f>
        <v>0.93638356701512226</v>
      </c>
      <c r="W708" s="357">
        <f t="shared" ref="W708:W771" ca="1" si="323">1/2*Rho*Sref*Cx*vit_xz^2</f>
        <v>4.148247708843714</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4.7665118062917573</v>
      </c>
      <c r="AH708" s="357">
        <f t="shared" ca="1" si="318"/>
        <v>-0.42088750125263469</v>
      </c>
    </row>
    <row r="709" spans="1:34" x14ac:dyDescent="0.25">
      <c r="A709" s="402">
        <f t="shared" ref="A709:A772" ca="1" si="325">IF(B708+0.01&lt;=T_ini+ROUNDUP(Temps_fin_propu,0), 0.01, IF(K708&gt;0, 0.1, 0.0001))</f>
        <v>0.1</v>
      </c>
      <c r="B709" s="357">
        <f t="shared" ref="B709:B772" ca="1" si="326">B708+pas</f>
        <v>25.500000000000032</v>
      </c>
      <c r="C709" s="342"/>
      <c r="D709" s="359">
        <f t="shared" ref="D709:D772" ca="1" si="327">IF(AND(L708&lt;L_rampe,Poussee&lt;Poids*SIN(M708)),0,(-W708+Poussee)/m*COS(M708)-U708/m*SIN(M708))</f>
        <v>-0.36094100789962885</v>
      </c>
      <c r="E709" s="360">
        <f t="shared" ref="E709:E772" ca="1" si="328">IF(AND(L708&lt;L_rampe,Poussee&lt;Poids*SIN(M708)),0,(-W708+Poussee)/m*SIN(M708)+U708/m*COS(M708)-Poids/m)</f>
        <v>-9.5755422456484833</v>
      </c>
      <c r="F709" s="357">
        <f t="shared" ref="F709:F772" ca="1" si="329">SQRT(acc_x^2+acc_z^2)</f>
        <v>9.582342495933986</v>
      </c>
      <c r="G709" s="359">
        <f t="shared" ref="G709:G772" ca="1" si="330">G708+acc_x*pas</f>
        <v>36.901095154867342</v>
      </c>
      <c r="H709" s="360">
        <f t="shared" ref="H709:H772" ca="1" si="331">H708+acc_z*pas</f>
        <v>-24.950977679919838</v>
      </c>
      <c r="I709" s="357">
        <f t="shared" ref="I709:I772" ca="1" si="332">SQRT(vit_x^2+vit_z^2)</f>
        <v>44.544832593831032</v>
      </c>
      <c r="J709" s="359">
        <f t="shared" ref="J709:J772" ca="1" si="333">J708+0.5*(vit_x+G708)*pas*(K708&gt;=0)</f>
        <v>1100.5603405143531</v>
      </c>
      <c r="K709" s="360">
        <f t="shared" ref="K709:K772" ca="1" si="334">K708+0.5*(vit_z+H708)*pas</f>
        <v>2668.2164917383434</v>
      </c>
      <c r="L709" s="357">
        <f t="shared" ca="1" si="319"/>
        <v>2886.2800123857596</v>
      </c>
      <c r="M709" s="359">
        <f t="shared" ref="M709:M772" ca="1" si="335">IF(AND(L708&gt;L_rampe,G709&gt;0),ATAN2(G709,H709),$M$4)</f>
        <v>-0.59454490399429216</v>
      </c>
      <c r="N709" s="357">
        <f t="shared" ref="N709:N772" ca="1" si="336">DEGREES(Beta)</f>
        <v>-34.064913729883664</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9.637999999999975</v>
      </c>
      <c r="T709" s="357">
        <f t="shared" ca="1" si="320"/>
        <v>94.548779999999766</v>
      </c>
      <c r="U709" s="364">
        <f t="shared" ca="1" si="321"/>
        <v>0</v>
      </c>
      <c r="V709" s="359">
        <f t="shared" ca="1" si="322"/>
        <v>0.93661690611427417</v>
      </c>
      <c r="W709" s="357">
        <f t="shared" ca="1" si="323"/>
        <v>4.2438184598039816</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4.9134641063125608</v>
      </c>
      <c r="AH709" s="357">
        <f t="shared" ref="AH709:AH772" ca="1" si="347">IF(AND(L708&lt;L_rampe,Poussee&lt;Poids*SIN(M708)), g*SIN(M708), (-W708+Poussee)/m)</f>
        <v>-0.4304054481058025</v>
      </c>
    </row>
    <row r="710" spans="1:34" x14ac:dyDescent="0.25">
      <c r="A710" s="402">
        <f t="shared" ca="1" si="325"/>
        <v>0.1</v>
      </c>
      <c r="B710" s="357">
        <f t="shared" ca="1" si="326"/>
        <v>25.600000000000033</v>
      </c>
      <c r="C710" s="342"/>
      <c r="D710" s="359">
        <f t="shared" ca="1" si="327"/>
        <v>-0.36476385749458179</v>
      </c>
      <c r="E710" s="360">
        <f t="shared" ca="1" si="328"/>
        <v>-9.5633619306258364</v>
      </c>
      <c r="F710" s="357">
        <f t="shared" ca="1" si="329"/>
        <v>9.5703157778559138</v>
      </c>
      <c r="G710" s="359">
        <f t="shared" ca="1" si="330"/>
        <v>36.864618769117882</v>
      </c>
      <c r="H710" s="360">
        <f t="shared" ca="1" si="331"/>
        <v>-25.907313872982421</v>
      </c>
      <c r="I710" s="357">
        <f t="shared" ca="1" si="332"/>
        <v>45.057618990639376</v>
      </c>
      <c r="J710" s="359">
        <f t="shared" ca="1" si="333"/>
        <v>1104.2486262105524</v>
      </c>
      <c r="K710" s="360">
        <f t="shared" ca="1" si="334"/>
        <v>2665.6735771606982</v>
      </c>
      <c r="L710" s="357">
        <f t="shared" ca="1" si="319"/>
        <v>2885.3389139684446</v>
      </c>
      <c r="M710" s="359">
        <f t="shared" ca="1" si="335"/>
        <v>-0.61258198443956502</v>
      </c>
      <c r="N710" s="357">
        <f t="shared" ca="1" si="336"/>
        <v>-35.098362314135741</v>
      </c>
      <c r="O710" s="343"/>
      <c r="P710" s="363">
        <f t="shared" ca="1" si="337"/>
        <v>23</v>
      </c>
      <c r="Q710" s="357">
        <f t="shared" ca="1" si="338"/>
        <v>0</v>
      </c>
      <c r="R710" s="359">
        <f t="shared" ca="1" si="339"/>
        <v>0</v>
      </c>
      <c r="S710" s="360">
        <f t="shared" ca="1" si="340"/>
        <v>9.637999999999975</v>
      </c>
      <c r="T710" s="357">
        <f t="shared" ca="1" si="320"/>
        <v>94.548779999999766</v>
      </c>
      <c r="U710" s="364">
        <f t="shared" ca="1" si="321"/>
        <v>0</v>
      </c>
      <c r="V710" s="359">
        <f t="shared" ca="1" si="322"/>
        <v>0.93685942293704261</v>
      </c>
      <c r="W710" s="357">
        <f t="shared" ca="1" si="323"/>
        <v>4.3432121997299795</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5.0545715664617363</v>
      </c>
      <c r="AH710" s="357">
        <f t="shared" ca="1" si="347"/>
        <v>-0.44032148368997642</v>
      </c>
    </row>
    <row r="711" spans="1:34" x14ac:dyDescent="0.25">
      <c r="A711" s="402">
        <f t="shared" ca="1" si="325"/>
        <v>0.1</v>
      </c>
      <c r="B711" s="357">
        <f t="shared" ca="1" si="326"/>
        <v>25.700000000000035</v>
      </c>
      <c r="C711" s="342"/>
      <c r="D711" s="359">
        <f t="shared" ca="1" si="327"/>
        <v>-0.36869363092158774</v>
      </c>
      <c r="E711" s="360">
        <f t="shared" ca="1" si="328"/>
        <v>-9.5508935196352329</v>
      </c>
      <c r="F711" s="357">
        <f t="shared" ca="1" si="329"/>
        <v>9.558007219964443</v>
      </c>
      <c r="G711" s="359">
        <f t="shared" ca="1" si="330"/>
        <v>36.827749406025724</v>
      </c>
      <c r="H711" s="360">
        <f t="shared" ca="1" si="331"/>
        <v>-26.862403224945943</v>
      </c>
      <c r="I711" s="357">
        <f t="shared" ca="1" si="332"/>
        <v>45.583679462419596</v>
      </c>
      <c r="J711" s="359">
        <f t="shared" ca="1" si="333"/>
        <v>1107.9332446193096</v>
      </c>
      <c r="K711" s="360">
        <f t="shared" ca="1" si="334"/>
        <v>2663.0350913058019</v>
      </c>
      <c r="L711" s="357">
        <f t="shared" ca="1" si="319"/>
        <v>2884.3148184722781</v>
      </c>
      <c r="M711" s="359">
        <f t="shared" ca="1" si="335"/>
        <v>-0.63019053389091828</v>
      </c>
      <c r="N711" s="357">
        <f t="shared" ca="1" si="336"/>
        <v>-36.10725788104569</v>
      </c>
      <c r="O711" s="343"/>
      <c r="P711" s="363">
        <f t="shared" ca="1" si="337"/>
        <v>23</v>
      </c>
      <c r="Q711" s="357">
        <f t="shared" ca="1" si="338"/>
        <v>0</v>
      </c>
      <c r="R711" s="359">
        <f t="shared" ca="1" si="339"/>
        <v>0</v>
      </c>
      <c r="S711" s="360">
        <f t="shared" ca="1" si="340"/>
        <v>9.637999999999975</v>
      </c>
      <c r="T711" s="357">
        <f t="shared" ca="1" si="320"/>
        <v>94.548779999999766</v>
      </c>
      <c r="U711" s="364">
        <f t="shared" ca="1" si="321"/>
        <v>0</v>
      </c>
      <c r="V711" s="359">
        <f t="shared" ca="1" si="322"/>
        <v>0.93711111188711982</v>
      </c>
      <c r="W711" s="357">
        <f t="shared" ca="1" si="323"/>
        <v>4.4464149159104904</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5.1899379344185652</v>
      </c>
      <c r="AH711" s="357">
        <f t="shared" ca="1" si="347"/>
        <v>-0.4506341771871748</v>
      </c>
    </row>
    <row r="712" spans="1:34" x14ac:dyDescent="0.25">
      <c r="A712" s="402">
        <f t="shared" ca="1" si="325"/>
        <v>0.1</v>
      </c>
      <c r="B712" s="357">
        <f t="shared" ca="1" si="326"/>
        <v>25.800000000000036</v>
      </c>
      <c r="C712" s="342"/>
      <c r="D712" s="359">
        <f t="shared" ca="1" si="327"/>
        <v>-0.37272529373875968</v>
      </c>
      <c r="E712" s="360">
        <f t="shared" ca="1" si="328"/>
        <v>-9.5381317133403556</v>
      </c>
      <c r="F712" s="357">
        <f t="shared" ca="1" si="329"/>
        <v>9.545411501115165</v>
      </c>
      <c r="G712" s="359">
        <f t="shared" ca="1" si="330"/>
        <v>36.790476876651852</v>
      </c>
      <c r="H712" s="360">
        <f t="shared" ca="1" si="331"/>
        <v>-27.81621639627998</v>
      </c>
      <c r="I712" s="357">
        <f t="shared" ca="1" si="332"/>
        <v>46.122457473731053</v>
      </c>
      <c r="J712" s="359">
        <f t="shared" ca="1" si="333"/>
        <v>1111.6141559334435</v>
      </c>
      <c r="K712" s="360">
        <f t="shared" ca="1" si="334"/>
        <v>2660.3011603247405</v>
      </c>
      <c r="L712" s="357">
        <f t="shared" ca="1" si="319"/>
        <v>2883.2079868259216</v>
      </c>
      <c r="M712" s="359">
        <f t="shared" ca="1" si="335"/>
        <v>-0.64737530474506511</v>
      </c>
      <c r="N712" s="357">
        <f t="shared" ca="1" si="336"/>
        <v>-37.091872722887729</v>
      </c>
      <c r="O712" s="343"/>
      <c r="P712" s="363">
        <f t="shared" ca="1" si="337"/>
        <v>23</v>
      </c>
      <c r="Q712" s="357">
        <f t="shared" ca="1" si="338"/>
        <v>0</v>
      </c>
      <c r="R712" s="359">
        <f t="shared" ca="1" si="339"/>
        <v>0</v>
      </c>
      <c r="S712" s="360">
        <f t="shared" ca="1" si="340"/>
        <v>9.637999999999975</v>
      </c>
      <c r="T712" s="357">
        <f t="shared" ca="1" si="320"/>
        <v>94.548779999999766</v>
      </c>
      <c r="U712" s="364">
        <f t="shared" ca="1" si="321"/>
        <v>0</v>
      </c>
      <c r="V712" s="359">
        <f t="shared" ca="1" si="322"/>
        <v>0.93737196731492134</v>
      </c>
      <c r="W712" s="357">
        <f t="shared" ca="1" si="323"/>
        <v>4.5534123636410007</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5.3196782102947706</v>
      </c>
      <c r="AH712" s="357">
        <f t="shared" ca="1" si="347"/>
        <v>-0.46134207469500954</v>
      </c>
    </row>
    <row r="713" spans="1:34" x14ac:dyDescent="0.25">
      <c r="A713" s="402">
        <f t="shared" ca="1" si="325"/>
        <v>0.1</v>
      </c>
      <c r="B713" s="357">
        <f t="shared" ca="1" si="326"/>
        <v>25.900000000000038</v>
      </c>
      <c r="C713" s="342"/>
      <c r="D713" s="359">
        <f t="shared" ca="1" si="327"/>
        <v>-0.37685392122770167</v>
      </c>
      <c r="E713" s="360">
        <f t="shared" ca="1" si="328"/>
        <v>-9.5250716404736533</v>
      </c>
      <c r="F713" s="357">
        <f t="shared" ca="1" si="329"/>
        <v>9.5325237284834561</v>
      </c>
      <c r="G713" s="359">
        <f t="shared" ca="1" si="330"/>
        <v>36.752791484529084</v>
      </c>
      <c r="H713" s="360">
        <f t="shared" ca="1" si="331"/>
        <v>-28.768723560327345</v>
      </c>
      <c r="I713" s="357">
        <f t="shared" ca="1" si="332"/>
        <v>46.673409316181385</v>
      </c>
      <c r="J713" s="359">
        <f t="shared" ca="1" si="333"/>
        <v>1115.2913193515026</v>
      </c>
      <c r="K713" s="360">
        <f t="shared" ca="1" si="334"/>
        <v>2657.47191332691</v>
      </c>
      <c r="L713" s="357">
        <f t="shared" ca="1" si="319"/>
        <v>2882.0186843846454</v>
      </c>
      <c r="M713" s="359">
        <f t="shared" ca="1" si="335"/>
        <v>-0.66414181997968957</v>
      </c>
      <c r="N713" s="357">
        <f t="shared" ca="1" si="336"/>
        <v>-38.052523282973503</v>
      </c>
      <c r="O713" s="343"/>
      <c r="P713" s="363">
        <f t="shared" ca="1" si="337"/>
        <v>23</v>
      </c>
      <c r="Q713" s="357">
        <f t="shared" ca="1" si="338"/>
        <v>0</v>
      </c>
      <c r="R713" s="359">
        <f t="shared" ca="1" si="339"/>
        <v>0</v>
      </c>
      <c r="S713" s="360">
        <f t="shared" ca="1" si="340"/>
        <v>9.637999999999975</v>
      </c>
      <c r="T713" s="357">
        <f t="shared" ca="1" si="320"/>
        <v>94.548779999999766</v>
      </c>
      <c r="U713" s="364">
        <f t="shared" ca="1" si="321"/>
        <v>0</v>
      </c>
      <c r="V713" s="359">
        <f t="shared" ca="1" si="322"/>
        <v>0.93764198351179096</v>
      </c>
      <c r="W713" s="357">
        <f t="shared" ca="1" si="323"/>
        <v>4.6641900574644524</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5.4439167429378053</v>
      </c>
      <c r="AH713" s="357">
        <f t="shared" ca="1" si="347"/>
        <v>-0.47244369824040389</v>
      </c>
    </row>
    <row r="714" spans="1:34" x14ac:dyDescent="0.25">
      <c r="A714" s="402">
        <f t="shared" ca="1" si="325"/>
        <v>0.1</v>
      </c>
      <c r="B714" s="357">
        <f t="shared" ca="1" si="326"/>
        <v>26.000000000000039</v>
      </c>
      <c r="C714" s="342"/>
      <c r="D714" s="359">
        <f t="shared" ca="1" si="327"/>
        <v>-0.38107470482135886</v>
      </c>
      <c r="E714" s="360">
        <f t="shared" ca="1" si="328"/>
        <v>-9.5117088390835889</v>
      </c>
      <c r="F714" s="357">
        <f t="shared" ca="1" si="329"/>
        <v>9.5193394187913878</v>
      </c>
      <c r="G714" s="359">
        <f t="shared" ca="1" si="330"/>
        <v>36.714684014046945</v>
      </c>
      <c r="H714" s="360">
        <f t="shared" ca="1" si="331"/>
        <v>-29.719894444235702</v>
      </c>
      <c r="I714" s="357">
        <f t="shared" ca="1" si="332"/>
        <v>47.236004784780718</v>
      </c>
      <c r="J714" s="359">
        <f t="shared" ca="1" si="333"/>
        <v>1118.9646931264315</v>
      </c>
      <c r="K714" s="360">
        <f t="shared" ca="1" si="334"/>
        <v>2654.5474824266817</v>
      </c>
      <c r="L714" s="357">
        <f t="shared" ca="1" si="319"/>
        <v>2880.7471810142179</v>
      </c>
      <c r="M714" s="359">
        <f t="shared" ca="1" si="335"/>
        <v>-0.68049627266295909</v>
      </c>
      <c r="N714" s="357">
        <f t="shared" ca="1" si="336"/>
        <v>-38.98956439797125</v>
      </c>
      <c r="O714" s="343"/>
      <c r="P714" s="363">
        <f t="shared" ca="1" si="337"/>
        <v>23</v>
      </c>
      <c r="Q714" s="357">
        <f t="shared" ca="1" si="338"/>
        <v>0</v>
      </c>
      <c r="R714" s="359">
        <f t="shared" ca="1" si="339"/>
        <v>0</v>
      </c>
      <c r="S714" s="360">
        <f t="shared" ca="1" si="340"/>
        <v>9.637999999999975</v>
      </c>
      <c r="T714" s="357">
        <f t="shared" ca="1" si="320"/>
        <v>94.548779999999766</v>
      </c>
      <c r="U714" s="364">
        <f t="shared" ca="1" si="321"/>
        <v>0</v>
      </c>
      <c r="V714" s="359">
        <f t="shared" ca="1" si="322"/>
        <v>0.9379211547045776</v>
      </c>
      <c r="W714" s="357">
        <f t="shared" ca="1" si="323"/>
        <v>4.7787332631254582</v>
      </c>
      <c r="X714" s="343"/>
      <c r="Y714" s="367" t="str">
        <f t="shared" ca="1" si="341"/>
        <v/>
      </c>
      <c r="Z714" s="368" t="str">
        <f t="shared" ca="1" si="342"/>
        <v/>
      </c>
      <c r="AA714" s="369" t="str">
        <f t="shared" ca="1" si="343"/>
        <v/>
      </c>
      <c r="AB714" s="344"/>
      <c r="AC714" s="363">
        <f t="shared" ca="1" si="344"/>
        <v>26.000000000000039</v>
      </c>
      <c r="AD714" s="376">
        <f t="shared" ca="1" si="345"/>
        <v>1118.9646931264315</v>
      </c>
      <c r="AE714" s="377" t="e">
        <f t="shared" ca="1" si="324"/>
        <v>#N/A</v>
      </c>
      <c r="AF714" s="344"/>
      <c r="AG714" s="359">
        <f t="shared" ca="1" si="346"/>
        <v>5.5627854664042395</v>
      </c>
      <c r="AH714" s="357">
        <f t="shared" ca="1" si="347"/>
        <v>-0.48393754487076823</v>
      </c>
    </row>
    <row r="715" spans="1:34" x14ac:dyDescent="0.25">
      <c r="A715" s="402">
        <f t="shared" ca="1" si="325"/>
        <v>0.1</v>
      </c>
      <c r="B715" s="357">
        <f t="shared" ca="1" si="326"/>
        <v>26.100000000000041</v>
      </c>
      <c r="C715" s="342"/>
      <c r="D715" s="359">
        <f t="shared" ca="1" si="327"/>
        <v>-0.38538295715269572</v>
      </c>
      <c r="E715" s="360">
        <f t="shared" ca="1" si="328"/>
        <v>-9.4980392378481753</v>
      </c>
      <c r="F715" s="357">
        <f t="shared" ca="1" si="329"/>
        <v>9.5058544796018882</v>
      </c>
      <c r="G715" s="359">
        <f t="shared" ca="1" si="330"/>
        <v>36.676145718331675</v>
      </c>
      <c r="H715" s="360">
        <f t="shared" ca="1" si="331"/>
        <v>-30.669698368020519</v>
      </c>
      <c r="I715" s="357">
        <f t="shared" ca="1" si="332"/>
        <v>47.809727699890317</v>
      </c>
      <c r="J715" s="359">
        <f t="shared" ca="1" si="333"/>
        <v>1122.6342346130505</v>
      </c>
      <c r="K715" s="360">
        <f t="shared" ca="1" si="334"/>
        <v>2651.528002786069</v>
      </c>
      <c r="L715" s="357">
        <f t="shared" ca="1" si="319"/>
        <v>2879.393751171227</v>
      </c>
      <c r="M715" s="359">
        <f t="shared" ca="1" si="335"/>
        <v>-0.69644543162344119</v>
      </c>
      <c r="N715" s="357">
        <f t="shared" ca="1" si="336"/>
        <v>-39.903383893190139</v>
      </c>
      <c r="O715" s="343"/>
      <c r="P715" s="363">
        <f t="shared" ca="1" si="337"/>
        <v>23</v>
      </c>
      <c r="Q715" s="357">
        <f t="shared" ca="1" si="338"/>
        <v>0</v>
      </c>
      <c r="R715" s="359">
        <f t="shared" ca="1" si="339"/>
        <v>0</v>
      </c>
      <c r="S715" s="360">
        <f t="shared" ca="1" si="340"/>
        <v>9.637999999999975</v>
      </c>
      <c r="T715" s="357">
        <f t="shared" ca="1" si="320"/>
        <v>94.548779999999766</v>
      </c>
      <c r="U715" s="364">
        <f t="shared" ca="1" si="321"/>
        <v>0</v>
      </c>
      <c r="V715" s="359">
        <f t="shared" ca="1" si="322"/>
        <v>0.93820947505056407</v>
      </c>
      <c r="W715" s="357">
        <f t="shared" ca="1" si="323"/>
        <v>4.8970269902049575</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5.6764222821441415</v>
      </c>
      <c r="AH715" s="357">
        <f t="shared" ca="1" si="347"/>
        <v>-0.49582208581920217</v>
      </c>
    </row>
    <row r="716" spans="1:34" x14ac:dyDescent="0.25">
      <c r="A716" s="402">
        <f t="shared" ca="1" si="325"/>
        <v>0.1</v>
      </c>
      <c r="B716" s="357">
        <f t="shared" ca="1" si="326"/>
        <v>26.200000000000042</v>
      </c>
      <c r="C716" s="342"/>
      <c r="D716" s="359">
        <f t="shared" ca="1" si="327"/>
        <v>-0.38977411584800037</v>
      </c>
      <c r="E716" s="360">
        <f t="shared" ca="1" si="328"/>
        <v>-9.4840591376060281</v>
      </c>
      <c r="F716" s="357">
        <f t="shared" ca="1" si="329"/>
        <v>9.4920651908314184</v>
      </c>
      <c r="G716" s="359">
        <f t="shared" ca="1" si="330"/>
        <v>36.637168306746872</v>
      </c>
      <c r="H716" s="360">
        <f t="shared" ca="1" si="331"/>
        <v>-31.618104281781122</v>
      </c>
      <c r="I716" s="357">
        <f t="shared" ca="1" si="332"/>
        <v>48.394076289464223</v>
      </c>
      <c r="J716" s="359">
        <f t="shared" ca="1" si="333"/>
        <v>1126.2999003143043</v>
      </c>
      <c r="K716" s="360">
        <f t="shared" ca="1" si="334"/>
        <v>2648.4136126535791</v>
      </c>
      <c r="L716" s="357">
        <f t="shared" ca="1" si="319"/>
        <v>2877.9586739800129</v>
      </c>
      <c r="M716" s="359">
        <f t="shared" ca="1" si="335"/>
        <v>-0.71199655356725899</v>
      </c>
      <c r="N716" s="357">
        <f t="shared" ca="1" si="336"/>
        <v>-40.794397547264175</v>
      </c>
      <c r="O716" s="343"/>
      <c r="P716" s="363">
        <f t="shared" ca="1" si="337"/>
        <v>23</v>
      </c>
      <c r="Q716" s="357">
        <f t="shared" ca="1" si="338"/>
        <v>0</v>
      </c>
      <c r="R716" s="359">
        <f t="shared" ca="1" si="339"/>
        <v>0</v>
      </c>
      <c r="S716" s="360">
        <f t="shared" ca="1" si="340"/>
        <v>9.637999999999975</v>
      </c>
      <c r="T716" s="357">
        <f t="shared" ca="1" si="320"/>
        <v>94.548779999999766</v>
      </c>
      <c r="U716" s="364">
        <f t="shared" ca="1" si="321"/>
        <v>0</v>
      </c>
      <c r="V716" s="359">
        <f t="shared" ca="1" si="322"/>
        <v>0.93850693863273038</v>
      </c>
      <c r="W716" s="357">
        <f t="shared" ca="1" si="323"/>
        <v>5.0190559854028285</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5.784969588634679</v>
      </c>
      <c r="AH716" s="357">
        <f t="shared" ca="1" si="347"/>
        <v>-0.50809576574029569</v>
      </c>
    </row>
    <row r="717" spans="1:34" x14ac:dyDescent="0.25">
      <c r="A717" s="402">
        <f t="shared" ca="1" si="325"/>
        <v>0.1</v>
      </c>
      <c r="B717" s="357">
        <f t="shared" ca="1" si="326"/>
        <v>26.300000000000043</v>
      </c>
      <c r="C717" s="342"/>
      <c r="D717" s="359">
        <f t="shared" ca="1" si="327"/>
        <v>-0.39424374618814134</v>
      </c>
      <c r="E717" s="360">
        <f t="shared" ca="1" si="328"/>
        <v>-9.4697651932307991</v>
      </c>
      <c r="F717" s="357">
        <f t="shared" ca="1" si="329"/>
        <v>9.4779681866069811</v>
      </c>
      <c r="G717" s="359">
        <f t="shared" ca="1" si="330"/>
        <v>36.597743932128061</v>
      </c>
      <c r="H717" s="360">
        <f t="shared" ca="1" si="331"/>
        <v>-32.565080801104202</v>
      </c>
      <c r="I717" s="357">
        <f t="shared" ca="1" si="332"/>
        <v>48.98856344601321</v>
      </c>
      <c r="J717" s="359">
        <f t="shared" ca="1" si="333"/>
        <v>1129.9616459262481</v>
      </c>
      <c r="K717" s="360">
        <f t="shared" ca="1" si="334"/>
        <v>2645.2044533994349</v>
      </c>
      <c r="L717" s="357">
        <f t="shared" ca="1" si="319"/>
        <v>2876.4422333063735</v>
      </c>
      <c r="M717" s="359">
        <f t="shared" ca="1" si="335"/>
        <v>-0.72715730177690852</v>
      </c>
      <c r="N717" s="357">
        <f t="shared" ca="1" si="336"/>
        <v>-41.663044433937614</v>
      </c>
      <c r="O717" s="343"/>
      <c r="P717" s="363">
        <f t="shared" ca="1" si="337"/>
        <v>23</v>
      </c>
      <c r="Q717" s="357">
        <f t="shared" ca="1" si="338"/>
        <v>0</v>
      </c>
      <c r="R717" s="359">
        <f t="shared" ca="1" si="339"/>
        <v>0</v>
      </c>
      <c r="S717" s="360">
        <f t="shared" ca="1" si="340"/>
        <v>9.637999999999975</v>
      </c>
      <c r="T717" s="357">
        <f t="shared" ca="1" si="320"/>
        <v>94.548779999999766</v>
      </c>
      <c r="U717" s="364">
        <f t="shared" ca="1" si="321"/>
        <v>0</v>
      </c>
      <c r="V717" s="359">
        <f t="shared" ca="1" si="322"/>
        <v>0.93881353945533752</v>
      </c>
      <c r="W717" s="357">
        <f t="shared" ca="1" si="323"/>
        <v>5.1448047264365435</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5.8885729570711103</v>
      </c>
      <c r="AH717" s="357">
        <f t="shared" ca="1" si="347"/>
        <v>-0.52075700201316055</v>
      </c>
    </row>
    <row r="718" spans="1:34" x14ac:dyDescent="0.25">
      <c r="A718" s="402">
        <f t="shared" ca="1" si="325"/>
        <v>0.1</v>
      </c>
      <c r="B718" s="357">
        <f t="shared" ca="1" si="326"/>
        <v>26.400000000000045</v>
      </c>
      <c r="C718" s="342"/>
      <c r="D718" s="359">
        <f t="shared" ca="1" si="327"/>
        <v>-0.39878754275834721</v>
      </c>
      <c r="E718" s="360">
        <f t="shared" ca="1" si="328"/>
        <v>-9.4551543959517446</v>
      </c>
      <c r="F718" s="357">
        <f t="shared" ca="1" si="329"/>
        <v>9.4635604375702513</v>
      </c>
      <c r="G718" s="359">
        <f t="shared" ca="1" si="330"/>
        <v>36.557865177852229</v>
      </c>
      <c r="H718" s="360">
        <f t="shared" ca="1" si="331"/>
        <v>-33.510596240699378</v>
      </c>
      <c r="I718" s="357">
        <f t="shared" ca="1" si="332"/>
        <v>49.592716872230298</v>
      </c>
      <c r="J718" s="359">
        <f t="shared" ca="1" si="333"/>
        <v>1133.6194263817472</v>
      </c>
      <c r="K718" s="360">
        <f t="shared" ca="1" si="334"/>
        <v>2641.9006695473449</v>
      </c>
      <c r="L718" s="357">
        <f t="shared" ca="1" si="319"/>
        <v>2874.8447178282154</v>
      </c>
      <c r="M718" s="359">
        <f t="shared" ca="1" si="335"/>
        <v>-0.74193567139857741</v>
      </c>
      <c r="N718" s="357">
        <f t="shared" ca="1" si="336"/>
        <v>-42.509782641343591</v>
      </c>
      <c r="O718" s="343"/>
      <c r="P718" s="363">
        <f t="shared" ca="1" si="337"/>
        <v>23</v>
      </c>
      <c r="Q718" s="357">
        <f t="shared" ca="1" si="338"/>
        <v>0</v>
      </c>
      <c r="R718" s="359">
        <f t="shared" ca="1" si="339"/>
        <v>0</v>
      </c>
      <c r="S718" s="360">
        <f t="shared" ca="1" si="340"/>
        <v>9.637999999999975</v>
      </c>
      <c r="T718" s="357">
        <f t="shared" ca="1" si="320"/>
        <v>94.548779999999766</v>
      </c>
      <c r="U718" s="364">
        <f t="shared" ca="1" si="321"/>
        <v>0</v>
      </c>
      <c r="V718" s="359">
        <f t="shared" ca="1" si="322"/>
        <v>0.93912927143980829</v>
      </c>
      <c r="W718" s="357">
        <f t="shared" ca="1" si="323"/>
        <v>5.2742574165248133</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5.9873799492228628</v>
      </c>
      <c r="AH718" s="357">
        <f t="shared" ca="1" si="347"/>
        <v>-0.53380418410837904</v>
      </c>
    </row>
    <row r="719" spans="1:34" x14ac:dyDescent="0.25">
      <c r="A719" s="402">
        <f t="shared" ca="1" si="325"/>
        <v>0.1</v>
      </c>
      <c r="B719" s="357">
        <f t="shared" ca="1" si="326"/>
        <v>26.500000000000046</v>
      </c>
      <c r="C719" s="342"/>
      <c r="D719" s="359">
        <f t="shared" ca="1" si="327"/>
        <v>-0.40340133020257385</v>
      </c>
      <c r="E719" s="360">
        <f t="shared" ca="1" si="328"/>
        <v>-9.4402240562020232</v>
      </c>
      <c r="F719" s="357">
        <f t="shared" ca="1" si="329"/>
        <v>9.4488392337103821</v>
      </c>
      <c r="G719" s="359">
        <f t="shared" ca="1" si="330"/>
        <v>36.51752504483197</v>
      </c>
      <c r="H719" s="360">
        <f t="shared" ca="1" si="331"/>
        <v>-34.454618646319581</v>
      </c>
      <c r="I719" s="357">
        <f t="shared" ca="1" si="332"/>
        <v>50.206079128560155</v>
      </c>
      <c r="J719" s="359">
        <f t="shared" ca="1" si="333"/>
        <v>1137.2731958928814</v>
      </c>
      <c r="K719" s="360">
        <f t="shared" ca="1" si="334"/>
        <v>2638.5024088029941</v>
      </c>
      <c r="L719" s="357">
        <f t="shared" ca="1" si="319"/>
        <v>2873.1664211033112</v>
      </c>
      <c r="M719" s="359">
        <f t="shared" ca="1" si="335"/>
        <v>-0.75633992122041005</v>
      </c>
      <c r="N719" s="357">
        <f t="shared" ca="1" si="336"/>
        <v>-43.335085363186671</v>
      </c>
      <c r="O719" s="343"/>
      <c r="P719" s="363">
        <f t="shared" ca="1" si="337"/>
        <v>23</v>
      </c>
      <c r="Q719" s="357">
        <f t="shared" ca="1" si="338"/>
        <v>0</v>
      </c>
      <c r="R719" s="359">
        <f t="shared" ca="1" si="339"/>
        <v>0</v>
      </c>
      <c r="S719" s="360">
        <f t="shared" ca="1" si="340"/>
        <v>9.637999999999975</v>
      </c>
      <c r="T719" s="357">
        <f t="shared" ca="1" si="320"/>
        <v>94.548779999999766</v>
      </c>
      <c r="U719" s="364">
        <f t="shared" ca="1" si="321"/>
        <v>0</v>
      </c>
      <c r="V719" s="359">
        <f t="shared" ca="1" si="322"/>
        <v>0.93945412842089449</v>
      </c>
      <c r="W719" s="357">
        <f t="shared" ca="1" si="323"/>
        <v>5.4073979794260927</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6.0815390716352127</v>
      </c>
      <c r="AH719" s="357">
        <f t="shared" ca="1" si="347"/>
        <v>-0.54723567301564924</v>
      </c>
    </row>
    <row r="720" spans="1:34" x14ac:dyDescent="0.25">
      <c r="A720" s="402">
        <f t="shared" ca="1" si="325"/>
        <v>0.1</v>
      </c>
      <c r="B720" s="357">
        <f t="shared" ca="1" si="326"/>
        <v>26.600000000000048</v>
      </c>
      <c r="C720" s="342"/>
      <c r="D720" s="359">
        <f t="shared" ca="1" si="327"/>
        <v>-0.40808106319269222</v>
      </c>
      <c r="E720" s="360">
        <f t="shared" ca="1" si="328"/>
        <v>-9.4249717870576593</v>
      </c>
      <c r="F720" s="357">
        <f t="shared" ca="1" si="329"/>
        <v>9.4338021677884107</v>
      </c>
      <c r="G720" s="359">
        <f t="shared" ca="1" si="330"/>
        <v>36.476716938512702</v>
      </c>
      <c r="H720" s="360">
        <f t="shared" ca="1" si="331"/>
        <v>-35.397115825025345</v>
      </c>
      <c r="I720" s="357">
        <f t="shared" ca="1" si="332"/>
        <v>50.828207595218615</v>
      </c>
      <c r="J720" s="359">
        <f t="shared" ca="1" si="333"/>
        <v>1140.9229079920487</v>
      </c>
      <c r="K720" s="360">
        <f t="shared" ca="1" si="334"/>
        <v>2635.0098220794266</v>
      </c>
      <c r="L720" s="357">
        <f t="shared" ca="1" si="319"/>
        <v>2871.4076416343405</v>
      </c>
      <c r="M720" s="359">
        <f t="shared" ca="1" si="335"/>
        <v>-0.77037851176100081</v>
      </c>
      <c r="N720" s="357">
        <f t="shared" ca="1" si="336"/>
        <v>-44.139437351474797</v>
      </c>
      <c r="O720" s="343"/>
      <c r="P720" s="363">
        <f t="shared" ca="1" si="337"/>
        <v>23</v>
      </c>
      <c r="Q720" s="357">
        <f t="shared" ca="1" si="338"/>
        <v>0</v>
      </c>
      <c r="R720" s="359">
        <f t="shared" ca="1" si="339"/>
        <v>0</v>
      </c>
      <c r="S720" s="360">
        <f t="shared" ca="1" si="340"/>
        <v>9.637999999999975</v>
      </c>
      <c r="T720" s="357">
        <f t="shared" ca="1" si="320"/>
        <v>94.548779999999766</v>
      </c>
      <c r="U720" s="364">
        <f t="shared" ca="1" si="321"/>
        <v>0</v>
      </c>
      <c r="V720" s="359">
        <f t="shared" ca="1" si="322"/>
        <v>0.9397881041431102</v>
      </c>
      <c r="W720" s="357">
        <f t="shared" ca="1" si="323"/>
        <v>5.5442100550028774</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6.1711988589382125</v>
      </c>
      <c r="AH720" s="357">
        <f t="shared" ca="1" si="347"/>
        <v>-0.56104980072900046</v>
      </c>
    </row>
    <row r="721" spans="1:34" x14ac:dyDescent="0.25">
      <c r="A721" s="402">
        <f t="shared" ca="1" si="325"/>
        <v>0.1</v>
      </c>
      <c r="B721" s="357">
        <f t="shared" ca="1" si="326"/>
        <v>26.700000000000049</v>
      </c>
      <c r="C721" s="342"/>
      <c r="D721" s="359">
        <f t="shared" ca="1" si="327"/>
        <v>-0.4128228257159694</v>
      </c>
      <c r="E721" s="360">
        <f t="shared" ca="1" si="328"/>
        <v>-9.4093954883134217</v>
      </c>
      <c r="F721" s="357">
        <f t="shared" ca="1" si="329"/>
        <v>9.4184471193995183</v>
      </c>
      <c r="G721" s="359">
        <f t="shared" ca="1" si="330"/>
        <v>36.435434655941108</v>
      </c>
      <c r="H721" s="360">
        <f t="shared" ca="1" si="331"/>
        <v>-36.33805537385669</v>
      </c>
      <c r="I721" s="357">
        <f t="shared" ca="1" si="332"/>
        <v>51.458674360313921</v>
      </c>
      <c r="J721" s="359">
        <f t="shared" ca="1" si="333"/>
        <v>1144.5685155717715</v>
      </c>
      <c r="K721" s="360">
        <f t="shared" ca="1" si="334"/>
        <v>2631.4230635194826</v>
      </c>
      <c r="L721" s="357">
        <f t="shared" ca="1" si="319"/>
        <v>2869.5686829313613</v>
      </c>
      <c r="M721" s="359">
        <f t="shared" ca="1" si="335"/>
        <v>-0.78406004942320107</v>
      </c>
      <c r="N721" s="357">
        <f t="shared" ca="1" si="336"/>
        <v>-44.923331716768161</v>
      </c>
      <c r="O721" s="343"/>
      <c r="P721" s="363">
        <f t="shared" ca="1" si="337"/>
        <v>23</v>
      </c>
      <c r="Q721" s="357">
        <f t="shared" ca="1" si="338"/>
        <v>0</v>
      </c>
      <c r="R721" s="359">
        <f t="shared" ca="1" si="339"/>
        <v>0</v>
      </c>
      <c r="S721" s="360">
        <f t="shared" ca="1" si="340"/>
        <v>9.637999999999975</v>
      </c>
      <c r="T721" s="357">
        <f t="shared" ca="1" si="320"/>
        <v>94.548779999999766</v>
      </c>
      <c r="U721" s="364">
        <f t="shared" ca="1" si="321"/>
        <v>0</v>
      </c>
      <c r="V721" s="359">
        <f t="shared" ca="1" si="322"/>
        <v>0.94013119225741959</v>
      </c>
      <c r="W721" s="357">
        <f t="shared" ca="1" si="323"/>
        <v>5.6846769952839145</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6.2565070780465133</v>
      </c>
      <c r="AH721" s="357">
        <f t="shared" ca="1" si="347"/>
        <v>-0.57524486978656275</v>
      </c>
    </row>
    <row r="722" spans="1:34" x14ac:dyDescent="0.25">
      <c r="A722" s="402">
        <f t="shared" ca="1" si="325"/>
        <v>0.1</v>
      </c>
      <c r="B722" s="357">
        <f t="shared" ca="1" si="326"/>
        <v>26.80000000000005</v>
      </c>
      <c r="C722" s="342"/>
      <c r="D722" s="359">
        <f t="shared" ca="1" si="327"/>
        <v>-0.41762282977696863</v>
      </c>
      <c r="E722" s="360">
        <f t="shared" ca="1" si="328"/>
        <v>-9.3934933312275533</v>
      </c>
      <c r="F722" s="357">
        <f t="shared" ca="1" si="329"/>
        <v>9.4027722397050244</v>
      </c>
      <c r="G722" s="359">
        <f t="shared" ca="1" si="330"/>
        <v>36.393672372963408</v>
      </c>
      <c r="H722" s="360">
        <f t="shared" ca="1" si="331"/>
        <v>-37.277404706979446</v>
      </c>
      <c r="I722" s="357">
        <f t="shared" ca="1" si="332"/>
        <v>52.097066044821887</v>
      </c>
      <c r="J722" s="359">
        <f t="shared" ca="1" si="333"/>
        <v>1148.2099709232168</v>
      </c>
      <c r="K722" s="360">
        <f t="shared" ca="1" si="334"/>
        <v>2627.7422905154408</v>
      </c>
      <c r="L722" s="357">
        <f t="shared" ca="1" si="319"/>
        <v>2867.6498535718806</v>
      </c>
      <c r="M722" s="359">
        <f t="shared" ca="1" si="335"/>
        <v>-0.79739323642080595</v>
      </c>
      <c r="N722" s="357">
        <f t="shared" ca="1" si="336"/>
        <v>-45.687267059189622</v>
      </c>
      <c r="O722" s="343"/>
      <c r="P722" s="363">
        <f t="shared" ca="1" si="337"/>
        <v>23</v>
      </c>
      <c r="Q722" s="357">
        <f t="shared" ca="1" si="338"/>
        <v>0</v>
      </c>
      <c r="R722" s="359">
        <f t="shared" ca="1" si="339"/>
        <v>0</v>
      </c>
      <c r="S722" s="360">
        <f t="shared" ca="1" si="340"/>
        <v>9.637999999999975</v>
      </c>
      <c r="T722" s="357">
        <f t="shared" ca="1" si="320"/>
        <v>94.548779999999766</v>
      </c>
      <c r="U722" s="364">
        <f t="shared" ca="1" si="321"/>
        <v>0</v>
      </c>
      <c r="V722" s="359">
        <f t="shared" ca="1" si="322"/>
        <v>0.94048338631815931</v>
      </c>
      <c r="W722" s="357">
        <f t="shared" ca="1" si="323"/>
        <v>5.8287818609975082</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6.3376100444291152</v>
      </c>
      <c r="AH722" s="357">
        <f t="shared" ca="1" si="347"/>
        <v>-0.58981915286199726</v>
      </c>
    </row>
    <row r="723" spans="1:34" x14ac:dyDescent="0.25">
      <c r="A723" s="402">
        <f t="shared" ca="1" si="325"/>
        <v>0.1</v>
      </c>
      <c r="B723" s="357">
        <f t="shared" ca="1" si="326"/>
        <v>26.900000000000052</v>
      </c>
      <c r="C723" s="342"/>
      <c r="D723" s="359">
        <f t="shared" ca="1" si="327"/>
        <v>-0.42247741360231283</v>
      </c>
      <c r="E723" s="360">
        <f t="shared" ca="1" si="328"/>
        <v>-9.3772637439548134</v>
      </c>
      <c r="F723" s="357">
        <f t="shared" ca="1" si="329"/>
        <v>9.3867759368535886</v>
      </c>
      <c r="G723" s="359">
        <f t="shared" ca="1" si="330"/>
        <v>36.35142463160318</v>
      </c>
      <c r="H723" s="360">
        <f t="shared" ca="1" si="331"/>
        <v>-38.215131081374928</v>
      </c>
      <c r="I723" s="357">
        <f t="shared" ca="1" si="332"/>
        <v>52.742983574251795</v>
      </c>
      <c r="J723" s="359">
        <f t="shared" ca="1" si="333"/>
        <v>1151.8472257734452</v>
      </c>
      <c r="K723" s="360">
        <f t="shared" ca="1" si="334"/>
        <v>2623.9676637260231</v>
      </c>
      <c r="L723" s="357">
        <f t="shared" ca="1" si="319"/>
        <v>2865.6514672586732</v>
      </c>
      <c r="M723" s="359">
        <f t="shared" ca="1" si="335"/>
        <v>-0.81038682615253732</v>
      </c>
      <c r="N723" s="357">
        <f t="shared" ca="1" si="336"/>
        <v>-46.431744911542353</v>
      </c>
      <c r="O723" s="343"/>
      <c r="P723" s="363">
        <f t="shared" ca="1" si="337"/>
        <v>23</v>
      </c>
      <c r="Q723" s="357">
        <f t="shared" ca="1" si="338"/>
        <v>0</v>
      </c>
      <c r="R723" s="359">
        <f t="shared" ca="1" si="339"/>
        <v>0</v>
      </c>
      <c r="S723" s="360">
        <f t="shared" ca="1" si="340"/>
        <v>9.637999999999975</v>
      </c>
      <c r="T723" s="357">
        <f t="shared" ca="1" si="320"/>
        <v>94.548779999999766</v>
      </c>
      <c r="U723" s="364">
        <f t="shared" ca="1" si="321"/>
        <v>0</v>
      </c>
      <c r="V723" s="359">
        <f t="shared" ca="1" si="322"/>
        <v>0.94084467978018727</v>
      </c>
      <c r="W723" s="357">
        <f t="shared" ca="1" si="323"/>
        <v>5.9765074185504865</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6.4146520413328565</v>
      </c>
      <c r="AH723" s="357">
        <f t="shared" ca="1" si="347"/>
        <v>-0.6047708924048063</v>
      </c>
    </row>
    <row r="724" spans="1:34" x14ac:dyDescent="0.25">
      <c r="A724" s="402">
        <f t="shared" ca="1" si="325"/>
        <v>0.1</v>
      </c>
      <c r="B724" s="357">
        <f t="shared" ca="1" si="326"/>
        <v>27.000000000000053</v>
      </c>
      <c r="C724" s="342"/>
      <c r="D724" s="359">
        <f t="shared" ca="1" si="327"/>
        <v>-0.42738303942900724</v>
      </c>
      <c r="E724" s="360">
        <f t="shared" ca="1" si="328"/>
        <v>-9.3607053976768544</v>
      </c>
      <c r="F724" s="357">
        <f t="shared" ca="1" si="329"/>
        <v>9.3704568621005979</v>
      </c>
      <c r="G724" s="359">
        <f t="shared" ca="1" si="330"/>
        <v>36.308686327660283</v>
      </c>
      <c r="H724" s="360">
        <f t="shared" ca="1" si="331"/>
        <v>-39.151201621142611</v>
      </c>
      <c r="I724" s="357">
        <f t="shared" ca="1" si="332"/>
        <v>53.39604190592955</v>
      </c>
      <c r="J724" s="359">
        <f t="shared" ca="1" si="333"/>
        <v>1155.4802313214084</v>
      </c>
      <c r="K724" s="360">
        <f t="shared" ca="1" si="334"/>
        <v>2620.0993470908975</v>
      </c>
      <c r="L724" s="357">
        <f t="shared" ca="1" si="319"/>
        <v>2863.5738428754935</v>
      </c>
      <c r="M724" s="359">
        <f t="shared" ca="1" si="335"/>
        <v>-0.82304958367676262</v>
      </c>
      <c r="N724" s="357">
        <f t="shared" ca="1" si="336"/>
        <v>-47.157267474677994</v>
      </c>
      <c r="O724" s="343"/>
      <c r="P724" s="363">
        <f t="shared" ca="1" si="337"/>
        <v>23</v>
      </c>
      <c r="Q724" s="357">
        <f t="shared" ca="1" si="338"/>
        <v>0</v>
      </c>
      <c r="R724" s="359">
        <f t="shared" ca="1" si="339"/>
        <v>0</v>
      </c>
      <c r="S724" s="360">
        <f t="shared" ca="1" si="340"/>
        <v>9.637999999999975</v>
      </c>
      <c r="T724" s="357">
        <f t="shared" ca="1" si="320"/>
        <v>94.548779999999766</v>
      </c>
      <c r="U724" s="364">
        <f t="shared" ca="1" si="321"/>
        <v>0</v>
      </c>
      <c r="V724" s="359">
        <f t="shared" ca="1" si="322"/>
        <v>0.94121506599623939</v>
      </c>
      <c r="W724" s="357">
        <f t="shared" ca="1" si="323"/>
        <v>6.1278361374284875</v>
      </c>
      <c r="X724" s="343"/>
      <c r="Y724" s="367" t="str">
        <f t="shared" ca="1" si="341"/>
        <v/>
      </c>
      <c r="Z724" s="368" t="str">
        <f t="shared" ca="1" si="342"/>
        <v/>
      </c>
      <c r="AA724" s="369" t="str">
        <f t="shared" ca="1" si="343"/>
        <v/>
      </c>
      <c r="AB724" s="344"/>
      <c r="AC724" s="363">
        <f t="shared" ca="1" si="344"/>
        <v>27.000000000000053</v>
      </c>
      <c r="AD724" s="376">
        <f t="shared" ca="1" si="345"/>
        <v>1155.4802313214084</v>
      </c>
      <c r="AE724" s="377" t="e">
        <f t="shared" ca="1" si="324"/>
        <v>#N/A</v>
      </c>
      <c r="AF724" s="344"/>
      <c r="AG724" s="359">
        <f t="shared" ca="1" si="346"/>
        <v>6.4877748327983191</v>
      </c>
      <c r="AH724" s="357">
        <f t="shared" ca="1" si="347"/>
        <v>-0.6200983003268834</v>
      </c>
    </row>
    <row r="725" spans="1:34" x14ac:dyDescent="0.25">
      <c r="A725" s="402">
        <f t="shared" ca="1" si="325"/>
        <v>0.1</v>
      </c>
      <c r="B725" s="357">
        <f t="shared" ca="1" si="326"/>
        <v>27.100000000000055</v>
      </c>
      <c r="C725" s="342"/>
      <c r="D725" s="359">
        <f t="shared" ca="1" si="327"/>
        <v>-0.43233629094932913</v>
      </c>
      <c r="E725" s="360">
        <f t="shared" ca="1" si="328"/>
        <v>-9.3438171934301195</v>
      </c>
      <c r="F725" s="357">
        <f t="shared" ca="1" si="329"/>
        <v>9.353813896625919</v>
      </c>
      <c r="G725" s="359">
        <f t="shared" ca="1" si="330"/>
        <v>36.265452698565348</v>
      </c>
      <c r="H725" s="360">
        <f t="shared" ca="1" si="331"/>
        <v>-40.085583340485627</v>
      </c>
      <c r="I725" s="357">
        <f t="shared" ca="1" si="332"/>
        <v>54.055869719937903</v>
      </c>
      <c r="J725" s="359">
        <f t="shared" ca="1" si="333"/>
        <v>1159.1089382727196</v>
      </c>
      <c r="K725" s="360">
        <f t="shared" ca="1" si="334"/>
        <v>2616.1375078428159</v>
      </c>
      <c r="L725" s="357">
        <f t="shared" ca="1" si="319"/>
        <v>2861.4173045408338</v>
      </c>
      <c r="M725" s="359">
        <f t="shared" ca="1" si="335"/>
        <v>-0.83539025092954045</v>
      </c>
      <c r="N725" s="357">
        <f t="shared" ca="1" si="336"/>
        <v>-47.864335624637462</v>
      </c>
      <c r="O725" s="343"/>
      <c r="P725" s="363">
        <f t="shared" ca="1" si="337"/>
        <v>23</v>
      </c>
      <c r="Q725" s="357">
        <f t="shared" ca="1" si="338"/>
        <v>0</v>
      </c>
      <c r="R725" s="359">
        <f t="shared" ca="1" si="339"/>
        <v>0</v>
      </c>
      <c r="S725" s="360">
        <f t="shared" ca="1" si="340"/>
        <v>9.637999999999975</v>
      </c>
      <c r="T725" s="357">
        <f t="shared" ca="1" si="320"/>
        <v>94.548779999999766</v>
      </c>
      <c r="U725" s="364">
        <f t="shared" ca="1" si="321"/>
        <v>0</v>
      </c>
      <c r="V725" s="359">
        <f t="shared" ca="1" si="322"/>
        <v>0.94159453821448491</v>
      </c>
      <c r="W725" s="357">
        <f t="shared" ca="1" si="323"/>
        <v>6.2827501879945533</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6.5571172614586164</v>
      </c>
      <c r="AH725" s="357">
        <f t="shared" ca="1" si="347"/>
        <v>-0.63579955773277685</v>
      </c>
    </row>
    <row r="726" spans="1:34" x14ac:dyDescent="0.25">
      <c r="A726" s="402">
        <f t="shared" ca="1" si="325"/>
        <v>0.1</v>
      </c>
      <c r="B726" s="357">
        <f t="shared" ca="1" si="326"/>
        <v>27.200000000000056</v>
      </c>
      <c r="C726" s="342"/>
      <c r="D726" s="359">
        <f t="shared" ca="1" si="327"/>
        <v>-0.43733387047785854</v>
      </c>
      <c r="E726" s="360">
        <f t="shared" ca="1" si="328"/>
        <v>-9.3265982496241975</v>
      </c>
      <c r="F726" s="357">
        <f t="shared" ca="1" si="329"/>
        <v>9.3368461390428994</v>
      </c>
      <c r="G726" s="359">
        <f t="shared" ca="1" si="330"/>
        <v>36.22171931151756</v>
      </c>
      <c r="H726" s="360">
        <f t="shared" ca="1" si="331"/>
        <v>-41.018243165448048</v>
      </c>
      <c r="I726" s="357">
        <f t="shared" ca="1" si="332"/>
        <v>54.722109080902477</v>
      </c>
      <c r="J726" s="359">
        <f t="shared" ca="1" si="333"/>
        <v>1162.7332968732237</v>
      </c>
      <c r="K726" s="360">
        <f t="shared" ca="1" si="334"/>
        <v>2612.0823165175193</v>
      </c>
      <c r="L726" s="357">
        <f t="shared" ca="1" si="319"/>
        <v>2859.1821816598545</v>
      </c>
      <c r="M726" s="359">
        <f t="shared" ca="1" si="335"/>
        <v>-0.84741751632599593</v>
      </c>
      <c r="N726" s="357">
        <f t="shared" ca="1" si="336"/>
        <v>-48.553447170938099</v>
      </c>
      <c r="O726" s="343"/>
      <c r="P726" s="363">
        <f t="shared" ca="1" si="337"/>
        <v>23</v>
      </c>
      <c r="Q726" s="357">
        <f t="shared" ca="1" si="338"/>
        <v>0</v>
      </c>
      <c r="R726" s="359">
        <f t="shared" ca="1" si="339"/>
        <v>0</v>
      </c>
      <c r="S726" s="360">
        <f t="shared" ca="1" si="340"/>
        <v>9.637999999999975</v>
      </c>
      <c r="T726" s="357">
        <f t="shared" ca="1" si="320"/>
        <v>94.548779999999766</v>
      </c>
      <c r="U726" s="364">
        <f t="shared" ca="1" si="321"/>
        <v>0</v>
      </c>
      <c r="V726" s="359">
        <f t="shared" ca="1" si="322"/>
        <v>0.94198308957626664</v>
      </c>
      <c r="W726" s="357">
        <f t="shared" ca="1" si="323"/>
        <v>6.4412314396641603</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6.6228149224134647</v>
      </c>
      <c r="AH726" s="357">
        <f t="shared" ca="1" si="347"/>
        <v>-0.65187281469128133</v>
      </c>
    </row>
    <row r="727" spans="1:34" x14ac:dyDescent="0.25">
      <c r="A727" s="402">
        <f t="shared" ca="1" si="325"/>
        <v>0.1</v>
      </c>
      <c r="B727" s="357">
        <f t="shared" ca="1" si="326"/>
        <v>27.300000000000058</v>
      </c>
      <c r="C727" s="342"/>
      <c r="D727" s="359">
        <f t="shared" ca="1" si="327"/>
        <v>-0.44237259589909295</v>
      </c>
      <c r="E727" s="360">
        <f t="shared" ca="1" si="328"/>
        <v>-9.3090478902377853</v>
      </c>
      <c r="F727" s="357">
        <f t="shared" ca="1" si="329"/>
        <v>9.3195528935857794</v>
      </c>
      <c r="G727" s="359">
        <f t="shared" ca="1" si="330"/>
        <v>36.177482051927655</v>
      </c>
      <c r="H727" s="360">
        <f t="shared" ca="1" si="331"/>
        <v>-41.949147954471826</v>
      </c>
      <c r="I727" s="357">
        <f t="shared" ca="1" si="332"/>
        <v>55.394415077006776</v>
      </c>
      <c r="J727" s="359">
        <f t="shared" ca="1" si="333"/>
        <v>1166.353256941396</v>
      </c>
      <c r="K727" s="360">
        <f t="shared" ca="1" si="334"/>
        <v>2607.9339469615234</v>
      </c>
      <c r="L727" s="357">
        <f t="shared" ca="1" si="319"/>
        <v>2856.8688089746283</v>
      </c>
      <c r="M727" s="359">
        <f t="shared" ca="1" si="335"/>
        <v>-0.85913998838904138</v>
      </c>
      <c r="N727" s="357">
        <f t="shared" ca="1" si="336"/>
        <v>-49.225095345610619</v>
      </c>
      <c r="O727" s="343"/>
      <c r="P727" s="363">
        <f t="shared" ca="1" si="337"/>
        <v>23</v>
      </c>
      <c r="Q727" s="357">
        <f t="shared" ca="1" si="338"/>
        <v>0</v>
      </c>
      <c r="R727" s="359">
        <f t="shared" ca="1" si="339"/>
        <v>0</v>
      </c>
      <c r="S727" s="360">
        <f t="shared" ca="1" si="340"/>
        <v>9.637999999999975</v>
      </c>
      <c r="T727" s="357">
        <f t="shared" ca="1" si="320"/>
        <v>94.548779999999766</v>
      </c>
      <c r="U727" s="364">
        <f t="shared" ca="1" si="321"/>
        <v>0</v>
      </c>
      <c r="V727" s="359">
        <f t="shared" ca="1" si="322"/>
        <v>0.9423807131140145</v>
      </c>
      <c r="W727" s="357">
        <f t="shared" ca="1" si="323"/>
        <v>6.6032614594360703</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6.6849999048826358</v>
      </c>
      <c r="AH727" s="357">
        <f t="shared" ca="1" si="347"/>
        <v>-0.668316190046086</v>
      </c>
    </row>
    <row r="728" spans="1:34" x14ac:dyDescent="0.25">
      <c r="A728" s="402">
        <f t="shared" ca="1" si="325"/>
        <v>0.1</v>
      </c>
      <c r="B728" s="357">
        <f t="shared" ca="1" si="326"/>
        <v>27.400000000000059</v>
      </c>
      <c r="C728" s="342"/>
      <c r="D728" s="359">
        <f t="shared" ca="1" si="327"/>
        <v>-0.44744939744737994</v>
      </c>
      <c r="E728" s="360">
        <f t="shared" ca="1" si="328"/>
        <v>-9.2911656336746287</v>
      </c>
      <c r="F728" s="357">
        <f t="shared" ca="1" si="329"/>
        <v>9.3019336589578234</v>
      </c>
      <c r="G728" s="359">
        <f t="shared" ca="1" si="330"/>
        <v>36.132737112182916</v>
      </c>
      <c r="H728" s="360">
        <f t="shared" ca="1" si="331"/>
        <v>-42.878264517839291</v>
      </c>
      <c r="I728" s="357">
        <f t="shared" ca="1" si="332"/>
        <v>56.072455441864825</v>
      </c>
      <c r="J728" s="359">
        <f t="shared" ca="1" si="333"/>
        <v>1169.9687678996015</v>
      </c>
      <c r="K728" s="360">
        <f t="shared" ca="1" si="334"/>
        <v>2603.6925763379077</v>
      </c>
      <c r="L728" s="357">
        <f t="shared" ca="1" si="319"/>
        <v>2854.4775266128199</v>
      </c>
      <c r="M728" s="359">
        <f t="shared" ca="1" si="335"/>
        <v>-0.87056617305860573</v>
      </c>
      <c r="N728" s="357">
        <f t="shared" ca="1" si="336"/>
        <v>-49.87976750311374</v>
      </c>
      <c r="O728" s="343"/>
      <c r="P728" s="363">
        <f t="shared" ca="1" si="337"/>
        <v>23</v>
      </c>
      <c r="Q728" s="357">
        <f t="shared" ca="1" si="338"/>
        <v>0</v>
      </c>
      <c r="R728" s="359">
        <f t="shared" ca="1" si="339"/>
        <v>0</v>
      </c>
      <c r="S728" s="360">
        <f t="shared" ca="1" si="340"/>
        <v>9.637999999999975</v>
      </c>
      <c r="T728" s="357">
        <f t="shared" ca="1" si="320"/>
        <v>94.548779999999766</v>
      </c>
      <c r="U728" s="364">
        <f t="shared" ca="1" si="321"/>
        <v>0</v>
      </c>
      <c r="V728" s="359">
        <f t="shared" ca="1" si="322"/>
        <v>0.94278740174932252</v>
      </c>
      <c r="W728" s="357">
        <f t="shared" ca="1" si="323"/>
        <v>6.768821510759496</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6.7438005938307004</v>
      </c>
      <c r="AH728" s="357">
        <f t="shared" ca="1" si="347"/>
        <v>-0.68512777126334168</v>
      </c>
    </row>
    <row r="729" spans="1:34" x14ac:dyDescent="0.25">
      <c r="A729" s="402">
        <f t="shared" ca="1" si="325"/>
        <v>0.1</v>
      </c>
      <c r="B729" s="357">
        <f t="shared" ca="1" si="326"/>
        <v>27.50000000000006</v>
      </c>
      <c r="C729" s="342"/>
      <c r="D729" s="359">
        <f t="shared" ca="1" si="327"/>
        <v>-0.45256131436462693</v>
      </c>
      <c r="E729" s="360">
        <f t="shared" ca="1" si="328"/>
        <v>-9.272951182258355</v>
      </c>
      <c r="F729" s="357">
        <f t="shared" ca="1" si="329"/>
        <v>9.2839881178190904</v>
      </c>
      <c r="G729" s="359">
        <f t="shared" ca="1" si="330"/>
        <v>36.087480980746456</v>
      </c>
      <c r="H729" s="360">
        <f t="shared" ca="1" si="331"/>
        <v>-43.805559636065126</v>
      </c>
      <c r="I729" s="357">
        <f t="shared" ca="1" si="332"/>
        <v>56.755910164181095</v>
      </c>
      <c r="J729" s="359">
        <f t="shared" ca="1" si="333"/>
        <v>1173.579778804248</v>
      </c>
      <c r="K729" s="360">
        <f t="shared" ca="1" si="334"/>
        <v>2599.3583851302124</v>
      </c>
      <c r="L729" s="357">
        <f t="shared" ca="1" si="319"/>
        <v>2852.008680134928</v>
      </c>
      <c r="M729" s="359">
        <f t="shared" ca="1" si="335"/>
        <v>-0.88170445434756817</v>
      </c>
      <c r="N729" s="357">
        <f t="shared" ca="1" si="336"/>
        <v>-50.517944012000825</v>
      </c>
      <c r="O729" s="343"/>
      <c r="P729" s="363">
        <f t="shared" ca="1" si="337"/>
        <v>23</v>
      </c>
      <c r="Q729" s="357">
        <f t="shared" ca="1" si="338"/>
        <v>0</v>
      </c>
      <c r="R729" s="359">
        <f t="shared" ca="1" si="339"/>
        <v>0</v>
      </c>
      <c r="S729" s="360">
        <f t="shared" ca="1" si="340"/>
        <v>9.637999999999975</v>
      </c>
      <c r="T729" s="357">
        <f t="shared" ca="1" si="320"/>
        <v>94.548779999999766</v>
      </c>
      <c r="U729" s="364">
        <f t="shared" ca="1" si="321"/>
        <v>0</v>
      </c>
      <c r="V729" s="359">
        <f t="shared" ca="1" si="322"/>
        <v>0.94320314829117968</v>
      </c>
      <c r="W729" s="357">
        <f t="shared" ca="1" si="323"/>
        <v>6.9378925527192807</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6.7993415242905542</v>
      </c>
      <c r="AH729" s="357">
        <f t="shared" ca="1" si="347"/>
        <v>-0.70230561431412264</v>
      </c>
    </row>
    <row r="730" spans="1:34" x14ac:dyDescent="0.25">
      <c r="A730" s="402">
        <f t="shared" ca="1" si="325"/>
        <v>0.1</v>
      </c>
      <c r="B730" s="357">
        <f t="shared" ca="1" si="326"/>
        <v>27.600000000000062</v>
      </c>
      <c r="C730" s="342"/>
      <c r="D730" s="359">
        <f t="shared" ca="1" si="327"/>
        <v>-0.4577054914754532</v>
      </c>
      <c r="E730" s="360">
        <f t="shared" ca="1" si="328"/>
        <v>-9.2544044123423408</v>
      </c>
      <c r="F730" s="357">
        <f t="shared" ca="1" si="329"/>
        <v>9.2657161268899326</v>
      </c>
      <c r="G730" s="359">
        <f t="shared" ca="1" si="330"/>
        <v>36.041710431598908</v>
      </c>
      <c r="H730" s="360">
        <f t="shared" ca="1" si="331"/>
        <v>-44.731000077299363</v>
      </c>
      <c r="I730" s="357">
        <f t="shared" ca="1" si="332"/>
        <v>57.444471089484161</v>
      </c>
      <c r="J730" s="359">
        <f t="shared" ca="1" si="333"/>
        <v>1177.1862383748653</v>
      </c>
      <c r="K730" s="360">
        <f t="shared" ca="1" si="334"/>
        <v>2594.9315571445441</v>
      </c>
      <c r="L730" s="357">
        <f t="shared" ca="1" si="319"/>
        <v>2849.4626205801987</v>
      </c>
      <c r="M730" s="359">
        <f t="shared" ca="1" si="335"/>
        <v>-0.89256307802642876</v>
      </c>
      <c r="N730" s="357">
        <f t="shared" ca="1" si="336"/>
        <v>-51.140097320120354</v>
      </c>
      <c r="O730" s="343"/>
      <c r="P730" s="363">
        <f t="shared" ca="1" si="337"/>
        <v>23</v>
      </c>
      <c r="Q730" s="357">
        <f t="shared" ca="1" si="338"/>
        <v>0</v>
      </c>
      <c r="R730" s="359">
        <f t="shared" ca="1" si="339"/>
        <v>0</v>
      </c>
      <c r="S730" s="360">
        <f t="shared" ca="1" si="340"/>
        <v>9.637999999999975</v>
      </c>
      <c r="T730" s="357">
        <f t="shared" ca="1" si="320"/>
        <v>94.548779999999766</v>
      </c>
      <c r="U730" s="364">
        <f t="shared" ca="1" si="321"/>
        <v>0</v>
      </c>
      <c r="V730" s="359">
        <f t="shared" ca="1" si="322"/>
        <v>0.94362794543434425</v>
      </c>
      <c r="W730" s="357">
        <f t="shared" ca="1" si="323"/>
        <v>7.1104552395217357</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6.851743281674036</v>
      </c>
      <c r="AH730" s="357">
        <f t="shared" ca="1" si="347"/>
        <v>-0.71984774358988368</v>
      </c>
    </row>
    <row r="731" spans="1:34" x14ac:dyDescent="0.25">
      <c r="A731" s="402">
        <f t="shared" ca="1" si="325"/>
        <v>0.1</v>
      </c>
      <c r="B731" s="357">
        <f t="shared" ca="1" si="326"/>
        <v>27.700000000000063</v>
      </c>
      <c r="C731" s="342"/>
      <c r="D731" s="359">
        <f t="shared" ca="1" si="327"/>
        <v>-0.46287917571413234</v>
      </c>
      <c r="E731" s="360">
        <f t="shared" ca="1" si="328"/>
        <v>-9.2355253650088613</v>
      </c>
      <c r="F731" s="357">
        <f t="shared" ca="1" si="329"/>
        <v>9.2471177076444668</v>
      </c>
      <c r="G731" s="359">
        <f t="shared" ca="1" si="330"/>
        <v>35.995422514027496</v>
      </c>
      <c r="H731" s="360">
        <f t="shared" ca="1" si="331"/>
        <v>-45.654552613800249</v>
      </c>
      <c r="I731" s="357">
        <f t="shared" ca="1" si="332"/>
        <v>58.137841517634733</v>
      </c>
      <c r="J731" s="359">
        <f t="shared" ca="1" si="333"/>
        <v>1180.7880950221465</v>
      </c>
      <c r="K731" s="360">
        <f t="shared" ca="1" si="334"/>
        <v>2590.4122795099893</v>
      </c>
      <c r="L731" s="357">
        <f t="shared" ca="1" si="319"/>
        <v>2846.839704511332</v>
      </c>
      <c r="M731" s="359">
        <f t="shared" ca="1" si="335"/>
        <v>-0.90315013803650346</v>
      </c>
      <c r="N731" s="357">
        <f t="shared" ca="1" si="336"/>
        <v>-51.746691176149369</v>
      </c>
      <c r="O731" s="343"/>
      <c r="P731" s="363">
        <f t="shared" ca="1" si="337"/>
        <v>23</v>
      </c>
      <c r="Q731" s="357">
        <f t="shared" ca="1" si="338"/>
        <v>0</v>
      </c>
      <c r="R731" s="359">
        <f t="shared" ca="1" si="339"/>
        <v>0</v>
      </c>
      <c r="S731" s="360">
        <f t="shared" ca="1" si="340"/>
        <v>9.637999999999975</v>
      </c>
      <c r="T731" s="357">
        <f t="shared" ca="1" si="320"/>
        <v>94.548779999999766</v>
      </c>
      <c r="U731" s="364">
        <f t="shared" ca="1" si="321"/>
        <v>0</v>
      </c>
      <c r="V731" s="359">
        <f t="shared" ca="1" si="322"/>
        <v>0.94406178575784994</v>
      </c>
      <c r="W731" s="357">
        <f t="shared" ca="1" si="323"/>
        <v>7.2864899202649198</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6.9011224419259518</v>
      </c>
      <c r="AH731" s="357">
        <f t="shared" ca="1" si="347"/>
        <v>-0.73775215184911336</v>
      </c>
    </row>
    <row r="732" spans="1:34" x14ac:dyDescent="0.25">
      <c r="A732" s="402">
        <f t="shared" ca="1" si="325"/>
        <v>0.1</v>
      </c>
      <c r="B732" s="357">
        <f t="shared" ca="1" si="326"/>
        <v>27.800000000000065</v>
      </c>
      <c r="C732" s="342"/>
      <c r="D732" s="359">
        <f t="shared" ca="1" si="327"/>
        <v>-0.46807971263284032</v>
      </c>
      <c r="E732" s="360">
        <f t="shared" ca="1" si="328"/>
        <v>-9.2163142373305789</v>
      </c>
      <c r="F732" s="357">
        <f t="shared" ca="1" si="329"/>
        <v>9.2281930375670385</v>
      </c>
      <c r="G732" s="359">
        <f t="shared" ca="1" si="330"/>
        <v>35.948614542764211</v>
      </c>
      <c r="H732" s="360">
        <f t="shared" ca="1" si="331"/>
        <v>-46.576184037533309</v>
      </c>
      <c r="I732" s="357">
        <f t="shared" ca="1" si="332"/>
        <v>58.835735799277728</v>
      </c>
      <c r="J732" s="359">
        <f t="shared" ca="1" si="333"/>
        <v>1184.3852968749861</v>
      </c>
      <c r="K732" s="360">
        <f t="shared" ca="1" si="334"/>
        <v>2585.8007426774225</v>
      </c>
      <c r="L732" s="357">
        <f t="shared" ca="1" si="319"/>
        <v>2844.1402940580761</v>
      </c>
      <c r="M732" s="359">
        <f t="shared" ca="1" si="335"/>
        <v>-0.91347356535036284</v>
      </c>
      <c r="N732" s="357">
        <f t="shared" ca="1" si="336"/>
        <v>-52.338179991343587</v>
      </c>
      <c r="O732" s="343"/>
      <c r="P732" s="363">
        <f t="shared" ca="1" si="337"/>
        <v>23</v>
      </c>
      <c r="Q732" s="357">
        <f t="shared" ca="1" si="338"/>
        <v>0</v>
      </c>
      <c r="R732" s="359">
        <f t="shared" ca="1" si="339"/>
        <v>0</v>
      </c>
      <c r="S732" s="360">
        <f t="shared" ca="1" si="340"/>
        <v>9.637999999999975</v>
      </c>
      <c r="T732" s="357">
        <f t="shared" ca="1" si="320"/>
        <v>94.548779999999766</v>
      </c>
      <c r="U732" s="364">
        <f t="shared" ca="1" si="321"/>
        <v>0</v>
      </c>
      <c r="V732" s="359">
        <f t="shared" ca="1" si="322"/>
        <v>0.94450466172364356</v>
      </c>
      <c r="W732" s="357">
        <f t="shared" ca="1" si="323"/>
        <v>7.4659766389781774</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6.9475915459390194</v>
      </c>
      <c r="AH732" s="357">
        <f t="shared" ca="1" si="347"/>
        <v>-0.75601680019349848</v>
      </c>
    </row>
    <row r="733" spans="1:34" x14ac:dyDescent="0.25">
      <c r="A733" s="402">
        <f t="shared" ca="1" si="325"/>
        <v>0.1</v>
      </c>
      <c r="B733" s="357">
        <f t="shared" ca="1" si="326"/>
        <v>27.900000000000066</v>
      </c>
      <c r="C733" s="342"/>
      <c r="D733" s="359">
        <f t="shared" ca="1" si="327"/>
        <v>-0.47330454291636892</v>
      </c>
      <c r="E733" s="360">
        <f t="shared" ca="1" si="328"/>
        <v>-9.1967713741666142</v>
      </c>
      <c r="F733" s="357">
        <f t="shared" ca="1" si="329"/>
        <v>9.2089424419439041</v>
      </c>
      <c r="G733" s="359">
        <f t="shared" ca="1" si="330"/>
        <v>35.901284088472572</v>
      </c>
      <c r="H733" s="360">
        <f t="shared" ca="1" si="331"/>
        <v>-47.495861174949972</v>
      </c>
      <c r="I733" s="357">
        <f t="shared" ca="1" si="332"/>
        <v>59.537878933930237</v>
      </c>
      <c r="J733" s="359">
        <f t="shared" ca="1" si="333"/>
        <v>1187.9777918065479</v>
      </c>
      <c r="K733" s="360">
        <f t="shared" ca="1" si="334"/>
        <v>2581.0971404167985</v>
      </c>
      <c r="L733" s="357">
        <f t="shared" ca="1" si="319"/>
        <v>2841.3647569598197</v>
      </c>
      <c r="M733" s="359">
        <f t="shared" ca="1" si="335"/>
        <v>-0.92354111901774194</v>
      </c>
      <c r="N733" s="357">
        <f t="shared" ca="1" si="336"/>
        <v>-52.915008326505863</v>
      </c>
      <c r="O733" s="343"/>
      <c r="P733" s="363">
        <f t="shared" ca="1" si="337"/>
        <v>23</v>
      </c>
      <c r="Q733" s="357">
        <f t="shared" ca="1" si="338"/>
        <v>0</v>
      </c>
      <c r="R733" s="359">
        <f t="shared" ca="1" si="339"/>
        <v>0</v>
      </c>
      <c r="S733" s="360">
        <f t="shared" ca="1" si="340"/>
        <v>9.637999999999975</v>
      </c>
      <c r="T733" s="357">
        <f t="shared" ca="1" si="320"/>
        <v>94.548779999999766</v>
      </c>
      <c r="U733" s="364">
        <f t="shared" ca="1" si="321"/>
        <v>0</v>
      </c>
      <c r="V733" s="359">
        <f t="shared" ca="1" si="322"/>
        <v>0.9449565656753367</v>
      </c>
      <c r="W733" s="357">
        <f t="shared" ca="1" si="323"/>
        <v>7.6488951349164847</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6.9912591031913669</v>
      </c>
      <c r="AH733" s="357">
        <f t="shared" ca="1" si="347"/>
        <v>-0.77463961807202708</v>
      </c>
    </row>
    <row r="734" spans="1:34" x14ac:dyDescent="0.25">
      <c r="A734" s="402">
        <f t="shared" ca="1" si="325"/>
        <v>0.1</v>
      </c>
      <c r="B734" s="357">
        <f t="shared" ca="1" si="326"/>
        <v>28.000000000000068</v>
      </c>
      <c r="C734" s="342"/>
      <c r="D734" s="359">
        <f t="shared" ca="1" si="327"/>
        <v>-0.47855119892452552</v>
      </c>
      <c r="E734" s="360">
        <f t="shared" ca="1" si="328"/>
        <v>-9.1768972604653118</v>
      </c>
      <c r="F734" s="357">
        <f t="shared" ca="1" si="329"/>
        <v>9.1893663861622059</v>
      </c>
      <c r="G734" s="359">
        <f t="shared" ca="1" si="330"/>
        <v>35.853428968580118</v>
      </c>
      <c r="H734" s="360">
        <f t="shared" ca="1" si="331"/>
        <v>-48.413550900996505</v>
      </c>
      <c r="I734" s="357">
        <f t="shared" ca="1" si="332"/>
        <v>60.244006171970334</v>
      </c>
      <c r="J734" s="359">
        <f t="shared" ca="1" si="333"/>
        <v>1191.5655274594005</v>
      </c>
      <c r="K734" s="360">
        <f t="shared" ca="1" si="334"/>
        <v>2576.3016698130014</v>
      </c>
      <c r="L734" s="357">
        <f t="shared" ca="1" si="319"/>
        <v>2838.5134666072763</v>
      </c>
      <c r="M734" s="359">
        <f t="shared" ca="1" si="335"/>
        <v>-0.93336037915476144</v>
      </c>
      <c r="N734" s="357">
        <f t="shared" ca="1" si="336"/>
        <v>-53.477610490298133</v>
      </c>
      <c r="O734" s="343"/>
      <c r="P734" s="363">
        <f t="shared" ca="1" si="337"/>
        <v>23</v>
      </c>
      <c r="Q734" s="357">
        <f t="shared" ca="1" si="338"/>
        <v>0</v>
      </c>
      <c r="R734" s="359">
        <f t="shared" ca="1" si="339"/>
        <v>0</v>
      </c>
      <c r="S734" s="360">
        <f t="shared" ca="1" si="340"/>
        <v>9.637999999999975</v>
      </c>
      <c r="T734" s="357">
        <f t="shared" ca="1" si="320"/>
        <v>94.548779999999766</v>
      </c>
      <c r="U734" s="364">
        <f t="shared" ca="1" si="321"/>
        <v>0</v>
      </c>
      <c r="V734" s="359">
        <f t="shared" ca="1" si="322"/>
        <v>0.94541748983707063</v>
      </c>
      <c r="W734" s="357">
        <f t="shared" ca="1" si="323"/>
        <v>7.8352248430962739</v>
      </c>
      <c r="X734" s="343"/>
      <c r="Y734" s="367" t="str">
        <f t="shared" ca="1" si="341"/>
        <v/>
      </c>
      <c r="Z734" s="368" t="str">
        <f t="shared" ca="1" si="342"/>
        <v/>
      </c>
      <c r="AA734" s="369" t="str">
        <f t="shared" ca="1" si="343"/>
        <v/>
      </c>
      <c r="AB734" s="344"/>
      <c r="AC734" s="363">
        <f t="shared" ca="1" si="344"/>
        <v>28.000000000000068</v>
      </c>
      <c r="AD734" s="376">
        <f t="shared" ca="1" si="345"/>
        <v>1191.5655274594005</v>
      </c>
      <c r="AE734" s="377" t="e">
        <f t="shared" ca="1" si="324"/>
        <v>#N/A</v>
      </c>
      <c r="AF734" s="344"/>
      <c r="AG734" s="359">
        <f t="shared" ca="1" si="346"/>
        <v>7.0322296200875467</v>
      </c>
      <c r="AH734" s="357">
        <f t="shared" ca="1" si="347"/>
        <v>-0.79361850331152772</v>
      </c>
    </row>
    <row r="735" spans="1:34" x14ac:dyDescent="0.25">
      <c r="A735" s="402">
        <f t="shared" ca="1" si="325"/>
        <v>0.1</v>
      </c>
      <c r="B735" s="357">
        <f t="shared" ca="1" si="326"/>
        <v>28.100000000000069</v>
      </c>
      <c r="C735" s="342"/>
      <c r="D735" s="359">
        <f t="shared" ca="1" si="327"/>
        <v>-0.48381730127997102</v>
      </c>
      <c r="E735" s="360">
        <f t="shared" ca="1" si="328"/>
        <v>-9.1566925140457975</v>
      </c>
      <c r="F735" s="357">
        <f t="shared" ca="1" si="329"/>
        <v>9.1694654684883439</v>
      </c>
      <c r="G735" s="359">
        <f t="shared" ca="1" si="330"/>
        <v>35.805047238452119</v>
      </c>
      <c r="H735" s="360">
        <f t="shared" ca="1" si="331"/>
        <v>-49.329220152401085</v>
      </c>
      <c r="I735" s="357">
        <f t="shared" ca="1" si="332"/>
        <v>60.953862622411727</v>
      </c>
      <c r="J735" s="359">
        <f t="shared" ca="1" si="333"/>
        <v>1195.1484512697521</v>
      </c>
      <c r="K735" s="360">
        <f t="shared" ca="1" si="334"/>
        <v>2571.4145312603314</v>
      </c>
      <c r="L735" s="357">
        <f t="shared" ca="1" si="319"/>
        <v>2835.5868020833495</v>
      </c>
      <c r="M735" s="359">
        <f t="shared" ca="1" si="335"/>
        <v>-0.94293874165365177</v>
      </c>
      <c r="N735" s="357">
        <f t="shared" ca="1" si="336"/>
        <v>-54.026410236130928</v>
      </c>
      <c r="O735" s="343"/>
      <c r="P735" s="363">
        <f t="shared" ca="1" si="337"/>
        <v>23</v>
      </c>
      <c r="Q735" s="357">
        <f t="shared" ca="1" si="338"/>
        <v>0</v>
      </c>
      <c r="R735" s="359">
        <f t="shared" ca="1" si="339"/>
        <v>0</v>
      </c>
      <c r="S735" s="360">
        <f t="shared" ca="1" si="340"/>
        <v>9.637999999999975</v>
      </c>
      <c r="T735" s="357">
        <f t="shared" ca="1" si="320"/>
        <v>94.548779999999766</v>
      </c>
      <c r="U735" s="364">
        <f t="shared" ca="1" si="321"/>
        <v>0</v>
      </c>
      <c r="V735" s="359">
        <f t="shared" ca="1" si="322"/>
        <v>0.94588742631248646</v>
      </c>
      <c r="W735" s="357">
        <f t="shared" ca="1" si="323"/>
        <v>8.0249448950601057</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7.0706036489735489</v>
      </c>
      <c r="AH735" s="357">
        <f t="shared" ca="1" si="347"/>
        <v>-0.8129513221722654</v>
      </c>
    </row>
    <row r="736" spans="1:34" x14ac:dyDescent="0.25">
      <c r="A736" s="402">
        <f t="shared" ca="1" si="325"/>
        <v>0.1</v>
      </c>
      <c r="B736" s="357">
        <f t="shared" ca="1" si="326"/>
        <v>28.20000000000007</v>
      </c>
      <c r="C736" s="342"/>
      <c r="D736" s="359">
        <f t="shared" ca="1" si="327"/>
        <v>-0.48910055551612769</v>
      </c>
      <c r="E736" s="360">
        <f t="shared" ca="1" si="328"/>
        <v>-9.1361578788309465</v>
      </c>
      <c r="F736" s="357">
        <f t="shared" ca="1" si="329"/>
        <v>9.1492404132983065</v>
      </c>
      <c r="G736" s="359">
        <f t="shared" ca="1" si="330"/>
        <v>35.756137182900503</v>
      </c>
      <c r="H736" s="360">
        <f t="shared" ca="1" si="331"/>
        <v>-50.242835940284181</v>
      </c>
      <c r="I736" s="357">
        <f t="shared" ca="1" si="332"/>
        <v>61.667202868013334</v>
      </c>
      <c r="J736" s="359">
        <f t="shared" ca="1" si="333"/>
        <v>1198.7265104908197</v>
      </c>
      <c r="K736" s="360">
        <f t="shared" ca="1" si="334"/>
        <v>2566.4359284556972</v>
      </c>
      <c r="L736" s="357">
        <f t="shared" ca="1" si="319"/>
        <v>2832.5851482032722</v>
      </c>
      <c r="M736" s="359">
        <f t="shared" ca="1" si="335"/>
        <v>-0.95228341440896525</v>
      </c>
      <c r="N736" s="357">
        <f t="shared" ca="1" si="336"/>
        <v>-54.561820545941274</v>
      </c>
      <c r="O736" s="343"/>
      <c r="P736" s="363">
        <f t="shared" ca="1" si="337"/>
        <v>23</v>
      </c>
      <c r="Q736" s="357">
        <f t="shared" ca="1" si="338"/>
        <v>0</v>
      </c>
      <c r="R736" s="359">
        <f t="shared" ca="1" si="339"/>
        <v>0</v>
      </c>
      <c r="S736" s="360">
        <f t="shared" ca="1" si="340"/>
        <v>9.637999999999975</v>
      </c>
      <c r="T736" s="357">
        <f t="shared" ca="1" si="320"/>
        <v>94.548779999999766</v>
      </c>
      <c r="U736" s="364">
        <f t="shared" ca="1" si="321"/>
        <v>0</v>
      </c>
      <c r="V736" s="359">
        <f t="shared" ca="1" si="322"/>
        <v>0.94636636708379185</v>
      </c>
      <c r="W736" s="357">
        <f t="shared" ca="1" si="323"/>
        <v>8.2180341198583662</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7.106477854252816</v>
      </c>
      <c r="AH736" s="357">
        <f t="shared" ca="1" si="347"/>
        <v>-0.83263590942728016</v>
      </c>
    </row>
    <row r="737" spans="1:34" x14ac:dyDescent="0.25">
      <c r="A737" s="402">
        <f t="shared" ca="1" si="325"/>
        <v>0.1</v>
      </c>
      <c r="B737" s="357">
        <f t="shared" ca="1" si="326"/>
        <v>28.300000000000072</v>
      </c>
      <c r="C737" s="342"/>
      <c r="D737" s="359">
        <f t="shared" ca="1" si="327"/>
        <v>-0.49439874879706691</v>
      </c>
      <c r="E737" s="360">
        <f t="shared" ca="1" si="328"/>
        <v>-9.1152942185049035</v>
      </c>
      <c r="F737" s="357">
        <f t="shared" ca="1" si="329"/>
        <v>9.128692064733098</v>
      </c>
      <c r="G737" s="359">
        <f t="shared" ca="1" si="330"/>
        <v>35.706697308020793</v>
      </c>
      <c r="H737" s="360">
        <f t="shared" ca="1" si="331"/>
        <v>-51.154365362134669</v>
      </c>
      <c r="I737" s="357">
        <f t="shared" ca="1" si="332"/>
        <v>62.383790588977377</v>
      </c>
      <c r="J737" s="359">
        <f t="shared" ca="1" si="333"/>
        <v>1202.2996522153658</v>
      </c>
      <c r="K737" s="360">
        <f t="shared" ca="1" si="334"/>
        <v>2561.3660683905764</v>
      </c>
      <c r="L737" s="357">
        <f t="shared" ca="1" si="319"/>
        <v>2829.5088955541009</v>
      </c>
      <c r="M737" s="359">
        <f t="shared" ca="1" si="335"/>
        <v>-0.96140141487430664</v>
      </c>
      <c r="N737" s="357">
        <f t="shared" ca="1" si="336"/>
        <v>-55.084243490203654</v>
      </c>
      <c r="O737" s="343"/>
      <c r="P737" s="363">
        <f t="shared" ca="1" si="337"/>
        <v>23</v>
      </c>
      <c r="Q737" s="357">
        <f t="shared" ca="1" si="338"/>
        <v>0</v>
      </c>
      <c r="R737" s="359">
        <f t="shared" ca="1" si="339"/>
        <v>0</v>
      </c>
      <c r="S737" s="360">
        <f t="shared" ca="1" si="340"/>
        <v>9.637999999999975</v>
      </c>
      <c r="T737" s="357">
        <f t="shared" ca="1" si="320"/>
        <v>94.548779999999766</v>
      </c>
      <c r="U737" s="364">
        <f t="shared" ca="1" si="321"/>
        <v>0</v>
      </c>
      <c r="V737" s="359">
        <f t="shared" ca="1" si="322"/>
        <v>0.94685430401091997</v>
      </c>
      <c r="W737" s="357">
        <f t="shared" ca="1" si="323"/>
        <v>8.414471045236958</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7.1399450924521108</v>
      </c>
      <c r="AH737" s="357">
        <f t="shared" ca="1" si="347"/>
        <v>-0.85267006846424442</v>
      </c>
    </row>
    <row r="738" spans="1:34" x14ac:dyDescent="0.25">
      <c r="A738" s="402">
        <f t="shared" ca="1" si="325"/>
        <v>0.1</v>
      </c>
      <c r="B738" s="357">
        <f t="shared" ca="1" si="326"/>
        <v>28.400000000000073</v>
      </c>
      <c r="C738" s="342"/>
      <c r="D738" s="359">
        <f t="shared" ca="1" si="327"/>
        <v>-0.49970974671888879</v>
      </c>
      <c r="E738" s="360">
        <f t="shared" ca="1" si="328"/>
        <v>-9.0941025105691935</v>
      </c>
      <c r="F738" s="357">
        <f t="shared" ca="1" si="329"/>
        <v>9.1078213807532897</v>
      </c>
      <c r="G738" s="359">
        <f t="shared" ca="1" si="330"/>
        <v>35.656726333348907</v>
      </c>
      <c r="H738" s="360">
        <f t="shared" ca="1" si="331"/>
        <v>-52.063775613191588</v>
      </c>
      <c r="I738" s="357">
        <f t="shared" ca="1" si="332"/>
        <v>63.103398196231083</v>
      </c>
      <c r="J738" s="359">
        <f t="shared" ca="1" si="333"/>
        <v>1205.8678233974342</v>
      </c>
      <c r="K738" s="360">
        <f t="shared" ca="1" si="334"/>
        <v>2556.2051613418103</v>
      </c>
      <c r="L738" s="357">
        <f t="shared" ca="1" si="319"/>
        <v>2826.3584405336446</v>
      </c>
      <c r="M738" s="359">
        <f t="shared" ca="1" si="335"/>
        <v>-0.97029956878075951</v>
      </c>
      <c r="N738" s="357">
        <f t="shared" ca="1" si="336"/>
        <v>-55.594070154501253</v>
      </c>
      <c r="O738" s="343"/>
      <c r="P738" s="363">
        <f t="shared" ca="1" si="337"/>
        <v>23</v>
      </c>
      <c r="Q738" s="357">
        <f t="shared" ca="1" si="338"/>
        <v>0</v>
      </c>
      <c r="R738" s="359">
        <f t="shared" ca="1" si="339"/>
        <v>0</v>
      </c>
      <c r="S738" s="360">
        <f t="shared" ca="1" si="340"/>
        <v>9.637999999999975</v>
      </c>
      <c r="T738" s="357">
        <f t="shared" ca="1" si="320"/>
        <v>94.548779999999766</v>
      </c>
      <c r="U738" s="364">
        <f t="shared" ca="1" si="321"/>
        <v>0</v>
      </c>
      <c r="V738" s="359">
        <f t="shared" ca="1" si="322"/>
        <v>0.94735122883077716</v>
      </c>
      <c r="W738" s="357">
        <f t="shared" ca="1" si="323"/>
        <v>8.6142338990205918</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7.1710945034726361</v>
      </c>
      <c r="AH738" s="357">
        <f t="shared" ca="1" si="347"/>
        <v>-0.87305157140869261</v>
      </c>
    </row>
    <row r="739" spans="1:34" x14ac:dyDescent="0.25">
      <c r="A739" s="402">
        <f t="shared" ca="1" si="325"/>
        <v>0.1</v>
      </c>
      <c r="B739" s="357">
        <f t="shared" ca="1" si="326"/>
        <v>28.500000000000075</v>
      </c>
      <c r="C739" s="342"/>
      <c r="D739" s="359">
        <f t="shared" ca="1" si="327"/>
        <v>-0.50503149020001048</v>
      </c>
      <c r="E739" s="360">
        <f t="shared" ca="1" si="328"/>
        <v>-9.0725838407723636</v>
      </c>
      <c r="F739" s="357">
        <f t="shared" ca="1" si="329"/>
        <v>9.0866294275675994</v>
      </c>
      <c r="G739" s="359">
        <f t="shared" ca="1" si="330"/>
        <v>35.606223184328904</v>
      </c>
      <c r="H739" s="360">
        <f t="shared" ca="1" si="331"/>
        <v>-52.971033997268826</v>
      </c>
      <c r="I739" s="357">
        <f t="shared" ca="1" si="332"/>
        <v>63.825806475061881</v>
      </c>
      <c r="J739" s="359">
        <f t="shared" ca="1" si="333"/>
        <v>1209.4309708733181</v>
      </c>
      <c r="K739" s="360">
        <f t="shared" ca="1" si="334"/>
        <v>2550.9534208612872</v>
      </c>
      <c r="L739" s="357">
        <f t="shared" ca="1" si="319"/>
        <v>2823.1341853889057</v>
      </c>
      <c r="M739" s="359">
        <f t="shared" ca="1" si="335"/>
        <v>-0.97898450986433183</v>
      </c>
      <c r="N739" s="357">
        <f t="shared" ca="1" si="336"/>
        <v>-56.091680623909724</v>
      </c>
      <c r="O739" s="343"/>
      <c r="P739" s="363">
        <f t="shared" ca="1" si="337"/>
        <v>23</v>
      </c>
      <c r="Q739" s="357">
        <f t="shared" ca="1" si="338"/>
        <v>0</v>
      </c>
      <c r="R739" s="359">
        <f t="shared" ca="1" si="339"/>
        <v>0</v>
      </c>
      <c r="S739" s="360">
        <f t="shared" ca="1" si="340"/>
        <v>9.637999999999975</v>
      </c>
      <c r="T739" s="357">
        <f t="shared" ca="1" si="320"/>
        <v>94.548779999999766</v>
      </c>
      <c r="U739" s="364">
        <f t="shared" ca="1" si="321"/>
        <v>0</v>
      </c>
      <c r="V739" s="359">
        <f t="shared" ca="1" si="322"/>
        <v>0.94785713315657005</v>
      </c>
      <c r="W739" s="357">
        <f t="shared" ca="1" si="323"/>
        <v>8.8173006106819649</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7.2000116106138838</v>
      </c>
      <c r="AH739" s="357">
        <f t="shared" ca="1" si="347"/>
        <v>-0.89377815926754656</v>
      </c>
    </row>
    <row r="740" spans="1:34" x14ac:dyDescent="0.25">
      <c r="A740" s="402">
        <f t="shared" ca="1" si="325"/>
        <v>0.1</v>
      </c>
      <c r="B740" s="357">
        <f t="shared" ca="1" si="326"/>
        <v>28.600000000000076</v>
      </c>
      <c r="C740" s="342"/>
      <c r="D740" s="359">
        <f t="shared" ca="1" si="327"/>
        <v>-0.51036199246596803</v>
      </c>
      <c r="E740" s="360">
        <f t="shared" ca="1" si="328"/>
        <v>-9.0507393978890995</v>
      </c>
      <c r="F740" s="357">
        <f t="shared" ca="1" si="329"/>
        <v>9.06511737441142</v>
      </c>
      <c r="G740" s="359">
        <f t="shared" ca="1" si="330"/>
        <v>35.555186985082308</v>
      </c>
      <c r="H740" s="360">
        <f t="shared" ca="1" si="331"/>
        <v>-53.876107937057739</v>
      </c>
      <c r="I740" s="357">
        <f t="shared" ca="1" si="332"/>
        <v>64.550804239681341</v>
      </c>
      <c r="J740" s="359">
        <f t="shared" ca="1" si="333"/>
        <v>1212.9890413817886</v>
      </c>
      <c r="K740" s="360">
        <f t="shared" ca="1" si="334"/>
        <v>2545.6110637645711</v>
      </c>
      <c r="L740" s="357">
        <f t="shared" ca="1" si="319"/>
        <v>2819.836538254106</v>
      </c>
      <c r="M740" s="359">
        <f t="shared" ca="1" si="335"/>
        <v>-0.9874626804648462</v>
      </c>
      <c r="N740" s="357">
        <f t="shared" ca="1" si="336"/>
        <v>-56.577444017311088</v>
      </c>
      <c r="O740" s="343"/>
      <c r="P740" s="363">
        <f t="shared" ca="1" si="337"/>
        <v>23</v>
      </c>
      <c r="Q740" s="357">
        <f t="shared" ca="1" si="338"/>
        <v>0</v>
      </c>
      <c r="R740" s="359">
        <f t="shared" ca="1" si="339"/>
        <v>0</v>
      </c>
      <c r="S740" s="360">
        <f t="shared" ca="1" si="340"/>
        <v>9.637999999999975</v>
      </c>
      <c r="T740" s="357">
        <f t="shared" ca="1" si="320"/>
        <v>94.548779999999766</v>
      </c>
      <c r="U740" s="364">
        <f t="shared" ca="1" si="321"/>
        <v>0</v>
      </c>
      <c r="V740" s="359">
        <f t="shared" ca="1" si="322"/>
        <v>0.94837200847720937</v>
      </c>
      <c r="W740" s="357">
        <f t="shared" ca="1" si="323"/>
        <v>9.0236488130877071</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7.2267784272758728</v>
      </c>
      <c r="AH740" s="357">
        <f t="shared" ca="1" si="347"/>
        <v>-0.91484754209192654</v>
      </c>
    </row>
    <row r="741" spans="1:34" x14ac:dyDescent="0.25">
      <c r="A741" s="402">
        <f t="shared" ca="1" si="325"/>
        <v>0.1</v>
      </c>
      <c r="B741" s="357">
        <f t="shared" ca="1" si="326"/>
        <v>28.700000000000077</v>
      </c>
      <c r="C741" s="342"/>
      <c r="D741" s="359">
        <f t="shared" ca="1" si="327"/>
        <v>-0.51569933613277419</v>
      </c>
      <c r="E741" s="360">
        <f t="shared" ca="1" si="328"/>
        <v>-9.028570468825956</v>
      </c>
      <c r="F741" s="357">
        <f t="shared" ca="1" si="329"/>
        <v>9.0432864886524484</v>
      </c>
      <c r="G741" s="359">
        <f t="shared" ca="1" si="330"/>
        <v>35.503617051469028</v>
      </c>
      <c r="H741" s="360">
        <f t="shared" ca="1" si="331"/>
        <v>-54.778964983940334</v>
      </c>
      <c r="I741" s="357">
        <f t="shared" ca="1" si="332"/>
        <v>65.278187999125123</v>
      </c>
      <c r="J741" s="359">
        <f t="shared" ca="1" si="333"/>
        <v>1216.5419815836162</v>
      </c>
      <c r="K741" s="360">
        <f t="shared" ca="1" si="334"/>
        <v>2540.178310118521</v>
      </c>
      <c r="L741" s="357">
        <f t="shared" ca="1" si="319"/>
        <v>2816.4659131883664</v>
      </c>
      <c r="M741" s="359">
        <f t="shared" ca="1" si="335"/>
        <v>-0.99574033287273578</v>
      </c>
      <c r="N741" s="357">
        <f t="shared" ca="1" si="336"/>
        <v>-57.051718564559465</v>
      </c>
      <c r="O741" s="343"/>
      <c r="P741" s="363">
        <f t="shared" ca="1" si="337"/>
        <v>23</v>
      </c>
      <c r="Q741" s="357">
        <f t="shared" ca="1" si="338"/>
        <v>0</v>
      </c>
      <c r="R741" s="359">
        <f t="shared" ca="1" si="339"/>
        <v>0</v>
      </c>
      <c r="S741" s="360">
        <f t="shared" ca="1" si="340"/>
        <v>9.637999999999975</v>
      </c>
      <c r="T741" s="357">
        <f t="shared" ca="1" si="320"/>
        <v>94.548779999999766</v>
      </c>
      <c r="U741" s="364">
        <f t="shared" ca="1" si="321"/>
        <v>0</v>
      </c>
      <c r="V741" s="359">
        <f t="shared" ca="1" si="322"/>
        <v>0.9488958461567889</v>
      </c>
      <c r="W741" s="357">
        <f t="shared" ca="1" si="323"/>
        <v>9.2332558444126018</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7.2514735685317362</v>
      </c>
      <c r="AH741" s="357">
        <f t="shared" ca="1" si="347"/>
        <v>-0.93625739915830364</v>
      </c>
    </row>
    <row r="742" spans="1:34" x14ac:dyDescent="0.25">
      <c r="A742" s="402">
        <f t="shared" ca="1" si="325"/>
        <v>0.1</v>
      </c>
      <c r="B742" s="357">
        <f t="shared" ca="1" si="326"/>
        <v>28.800000000000079</v>
      </c>
      <c r="C742" s="342"/>
      <c r="D742" s="359">
        <f t="shared" ca="1" si="327"/>
        <v>-0.52104167039153071</v>
      </c>
      <c r="E742" s="360">
        <f t="shared" ca="1" si="328"/>
        <v>-9.0060784340318243</v>
      </c>
      <c r="F742" s="357">
        <f t="shared" ca="1" si="329"/>
        <v>9.0211381312014911</v>
      </c>
      <c r="G742" s="359">
        <f t="shared" ca="1" si="330"/>
        <v>35.451512884429874</v>
      </c>
      <c r="H742" s="360">
        <f t="shared" ca="1" si="331"/>
        <v>-55.679572827343513</v>
      </c>
      <c r="I742" s="357">
        <f t="shared" ca="1" si="332"/>
        <v>66.007761634752825</v>
      </c>
      <c r="J742" s="359">
        <f t="shared" ca="1" si="333"/>
        <v>1220.0897380804113</v>
      </c>
      <c r="K742" s="360">
        <f t="shared" ca="1" si="334"/>
        <v>2534.6553832279569</v>
      </c>
      <c r="L742" s="357">
        <f t="shared" ca="1" si="319"/>
        <v>2813.0227302131043</v>
      </c>
      <c r="M742" s="359">
        <f t="shared" ca="1" si="335"/>
        <v>-1.0038235313131627</v>
      </c>
      <c r="N742" s="357">
        <f t="shared" ca="1" si="336"/>
        <v>-57.51485172016266</v>
      </c>
      <c r="O742" s="343"/>
      <c r="P742" s="363">
        <f t="shared" ca="1" si="337"/>
        <v>23</v>
      </c>
      <c r="Q742" s="357">
        <f t="shared" ca="1" si="338"/>
        <v>0</v>
      </c>
      <c r="R742" s="359">
        <f t="shared" ca="1" si="339"/>
        <v>0</v>
      </c>
      <c r="S742" s="360">
        <f t="shared" ca="1" si="340"/>
        <v>9.637999999999975</v>
      </c>
      <c r="T742" s="357">
        <f t="shared" ca="1" si="320"/>
        <v>94.548779999999766</v>
      </c>
      <c r="U742" s="364">
        <f t="shared" ca="1" si="321"/>
        <v>0</v>
      </c>
      <c r="V742" s="359">
        <f t="shared" ca="1" si="322"/>
        <v>0.94942863743412798</v>
      </c>
      <c r="W742" s="357">
        <f t="shared" ca="1" si="323"/>
        <v>9.4460987502139844</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7.2741723660187212</v>
      </c>
      <c r="AH742" s="357">
        <f t="shared" ca="1" si="347"/>
        <v>-0.95800537916711204</v>
      </c>
    </row>
    <row r="743" spans="1:34" x14ac:dyDescent="0.25">
      <c r="A743" s="402">
        <f t="shared" ca="1" si="325"/>
        <v>0.1</v>
      </c>
      <c r="B743" s="357">
        <f t="shared" ca="1" si="326"/>
        <v>28.90000000000008</v>
      </c>
      <c r="C743" s="342"/>
      <c r="D743" s="359">
        <f t="shared" ca="1" si="327"/>
        <v>-0.52638720829584851</v>
      </c>
      <c r="E743" s="360">
        <f t="shared" ca="1" si="328"/>
        <v>-8.9832647631925724</v>
      </c>
      <c r="F743" s="357">
        <f t="shared" ca="1" si="329"/>
        <v>8.9986737522078659</v>
      </c>
      <c r="G743" s="359">
        <f t="shared" ca="1" si="330"/>
        <v>35.39887416360029</v>
      </c>
      <c r="H743" s="360">
        <f t="shared" ca="1" si="331"/>
        <v>-56.577899303662768</v>
      </c>
      <c r="I743" s="357">
        <f t="shared" ca="1" si="332"/>
        <v>66.739336089489328</v>
      </c>
      <c r="J743" s="359">
        <f t="shared" ca="1" si="333"/>
        <v>1223.6322574328128</v>
      </c>
      <c r="K743" s="360">
        <f t="shared" ca="1" si="334"/>
        <v>2529.0425096214067</v>
      </c>
      <c r="L743" s="357">
        <f t="shared" ca="1" si="319"/>
        <v>2809.5074153492219</v>
      </c>
      <c r="M743" s="359">
        <f t="shared" ca="1" si="335"/>
        <v>-1.0117181544688019</v>
      </c>
      <c r="N743" s="357">
        <f t="shared" ca="1" si="336"/>
        <v>-57.967180307827036</v>
      </c>
      <c r="O743" s="343"/>
      <c r="P743" s="363">
        <f t="shared" ca="1" si="337"/>
        <v>23</v>
      </c>
      <c r="Q743" s="357">
        <f t="shared" ca="1" si="338"/>
        <v>0</v>
      </c>
      <c r="R743" s="359">
        <f t="shared" ca="1" si="339"/>
        <v>0</v>
      </c>
      <c r="S743" s="360">
        <f t="shared" ca="1" si="340"/>
        <v>9.637999999999975</v>
      </c>
      <c r="T743" s="357">
        <f t="shared" ca="1" si="320"/>
        <v>94.548779999999766</v>
      </c>
      <c r="U743" s="364">
        <f t="shared" ca="1" si="321"/>
        <v>0</v>
      </c>
      <c r="V743" s="359">
        <f t="shared" ca="1" si="322"/>
        <v>0.94997037342238277</v>
      </c>
      <c r="W743" s="357">
        <f t="shared" ca="1" si="323"/>
        <v>9.6621542856588807</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7.2949469848235289</v>
      </c>
      <c r="AH743" s="357">
        <f t="shared" ca="1" si="347"/>
        <v>-0.9800891004579797</v>
      </c>
    </row>
    <row r="744" spans="1:34" x14ac:dyDescent="0.25">
      <c r="A744" s="402">
        <f t="shared" ca="1" si="325"/>
        <v>0.1</v>
      </c>
      <c r="B744" s="357">
        <f t="shared" ca="1" si="326"/>
        <v>29.000000000000082</v>
      </c>
      <c r="C744" s="342"/>
      <c r="D744" s="359">
        <f t="shared" ca="1" si="327"/>
        <v>-0.53173422415266547</v>
      </c>
      <c r="E744" s="360">
        <f t="shared" ca="1" si="328"/>
        <v>-8.9601310111903008</v>
      </c>
      <c r="F744" s="357">
        <f t="shared" ca="1" si="329"/>
        <v>8.975894887019864</v>
      </c>
      <c r="G744" s="359">
        <f t="shared" ca="1" si="330"/>
        <v>35.34570074118502</v>
      </c>
      <c r="H744" s="360">
        <f t="shared" ca="1" si="331"/>
        <v>-57.4739124047818</v>
      </c>
      <c r="I744" s="357">
        <f t="shared" ca="1" si="332"/>
        <v>67.47272906884632</v>
      </c>
      <c r="J744" s="359">
        <f t="shared" ca="1" si="333"/>
        <v>1227.169486178052</v>
      </c>
      <c r="K744" s="360">
        <f t="shared" ca="1" si="334"/>
        <v>2523.3399190359846</v>
      </c>
      <c r="L744" s="357">
        <f t="shared" ca="1" si="319"/>
        <v>2805.9204006541299</v>
      </c>
      <c r="M744" s="359">
        <f t="shared" ca="1" si="335"/>
        <v>-1.0194298984535348</v>
      </c>
      <c r="N744" s="357">
        <f t="shared" ca="1" si="336"/>
        <v>-58.409030690837632</v>
      </c>
      <c r="O744" s="343"/>
      <c r="P744" s="363">
        <f t="shared" ca="1" si="337"/>
        <v>23</v>
      </c>
      <c r="Q744" s="357">
        <f t="shared" ca="1" si="338"/>
        <v>0</v>
      </c>
      <c r="R744" s="359">
        <f t="shared" ca="1" si="339"/>
        <v>0</v>
      </c>
      <c r="S744" s="360">
        <f t="shared" ca="1" si="340"/>
        <v>9.637999999999975</v>
      </c>
      <c r="T744" s="357">
        <f t="shared" ca="1" si="320"/>
        <v>94.548779999999766</v>
      </c>
      <c r="U744" s="364">
        <f t="shared" ca="1" si="321"/>
        <v>0</v>
      </c>
      <c r="V744" s="359">
        <f t="shared" ca="1" si="322"/>
        <v>0.95052104510871471</v>
      </c>
      <c r="W744" s="357">
        <f t="shared" ca="1" si="323"/>
        <v>9.8813989178967478</v>
      </c>
      <c r="X744" s="343"/>
      <c r="Y744" s="367" t="str">
        <f t="shared" ca="1" si="341"/>
        <v/>
      </c>
      <c r="Z744" s="368" t="str">
        <f t="shared" ca="1" si="342"/>
        <v/>
      </c>
      <c r="AA744" s="369" t="str">
        <f t="shared" ca="1" si="343"/>
        <v/>
      </c>
      <c r="AB744" s="344"/>
      <c r="AC744" s="363">
        <f t="shared" ca="1" si="344"/>
        <v>29.000000000000082</v>
      </c>
      <c r="AD744" s="376">
        <f t="shared" ca="1" si="345"/>
        <v>1227.169486178052</v>
      </c>
      <c r="AE744" s="377" t="e">
        <f t="shared" ca="1" si="324"/>
        <v>#N/A</v>
      </c>
      <c r="AF744" s="344"/>
      <c r="AG744" s="359">
        <f t="shared" ca="1" si="346"/>
        <v>7.313866541240059</v>
      </c>
      <c r="AH744" s="357">
        <f t="shared" ca="1" si="347"/>
        <v>-1.0025061512408078</v>
      </c>
    </row>
    <row r="745" spans="1:34" x14ac:dyDescent="0.25">
      <c r="A745" s="402">
        <f t="shared" ca="1" si="325"/>
        <v>0.1</v>
      </c>
      <c r="B745" s="357">
        <f t="shared" ca="1" si="326"/>
        <v>29.100000000000083</v>
      </c>
      <c r="C745" s="342"/>
      <c r="D745" s="359">
        <f t="shared" ca="1" si="327"/>
        <v>-0.53708105101623715</v>
      </c>
      <c r="E745" s="360">
        <f t="shared" ca="1" si="328"/>
        <v>-8.9366788143088751</v>
      </c>
      <c r="F745" s="357">
        <f t="shared" ca="1" si="329"/>
        <v>8.9528031523918692</v>
      </c>
      <c r="G745" s="359">
        <f t="shared" ca="1" si="330"/>
        <v>35.291992636083393</v>
      </c>
      <c r="H745" s="360">
        <f t="shared" ca="1" si="331"/>
        <v>-58.367580286212686</v>
      </c>
      <c r="I745" s="357">
        <f t="shared" ca="1" si="332"/>
        <v>68.207764753676315</v>
      </c>
      <c r="J745" s="359">
        <f t="shared" ca="1" si="333"/>
        <v>1230.7013708469153</v>
      </c>
      <c r="K745" s="360">
        <f t="shared" ca="1" si="334"/>
        <v>2517.5478444014348</v>
      </c>
      <c r="L745" s="357">
        <f t="shared" ca="1" si="319"/>
        <v>2802.2621242586833</v>
      </c>
      <c r="M745" s="359">
        <f t="shared" ca="1" si="335"/>
        <v>-1.0269642801592449</v>
      </c>
      <c r="N745" s="357">
        <f t="shared" ca="1" si="336"/>
        <v>-58.840718963815398</v>
      </c>
      <c r="O745" s="343"/>
      <c r="P745" s="363">
        <f t="shared" ca="1" si="337"/>
        <v>23</v>
      </c>
      <c r="Q745" s="357">
        <f t="shared" ca="1" si="338"/>
        <v>0</v>
      </c>
      <c r="R745" s="359">
        <f t="shared" ca="1" si="339"/>
        <v>0</v>
      </c>
      <c r="S745" s="360">
        <f t="shared" ca="1" si="340"/>
        <v>9.637999999999975</v>
      </c>
      <c r="T745" s="357">
        <f t="shared" ca="1" si="320"/>
        <v>94.548779999999766</v>
      </c>
      <c r="U745" s="364">
        <f t="shared" ca="1" si="321"/>
        <v>0</v>
      </c>
      <c r="V745" s="359">
        <f t="shared" ca="1" si="322"/>
        <v>0.95108064335402009</v>
      </c>
      <c r="W745" s="357">
        <f t="shared" ca="1" si="323"/>
        <v>10.103808828571294</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7.3309972204557567</v>
      </c>
      <c r="AH745" s="357">
        <f t="shared" ca="1" si="347"/>
        <v>-1.0252540898419562</v>
      </c>
    </row>
    <row r="746" spans="1:34" x14ac:dyDescent="0.25">
      <c r="A746" s="402">
        <f t="shared" ca="1" si="325"/>
        <v>0.1</v>
      </c>
      <c r="B746" s="357">
        <f t="shared" ca="1" si="326"/>
        <v>29.200000000000085</v>
      </c>
      <c r="C746" s="342"/>
      <c r="D746" s="359">
        <f t="shared" ca="1" si="327"/>
        <v>-0.54242607828440437</v>
      </c>
      <c r="E746" s="360">
        <f t="shared" ca="1" si="328"/>
        <v>-8.9129098866684444</v>
      </c>
      <c r="F746" s="357">
        <f t="shared" ca="1" si="329"/>
        <v>8.9294002429208597</v>
      </c>
      <c r="G746" s="359">
        <f t="shared" ca="1" si="330"/>
        <v>35.237750028254951</v>
      </c>
      <c r="H746" s="360">
        <f t="shared" ca="1" si="331"/>
        <v>-59.258871274879532</v>
      </c>
      <c r="I746" s="357">
        <f t="shared" ca="1" si="332"/>
        <v>68.94427352453954</v>
      </c>
      <c r="J746" s="359">
        <f t="shared" ca="1" si="333"/>
        <v>1234.2278579801323</v>
      </c>
      <c r="K746" s="360">
        <f t="shared" ca="1" si="334"/>
        <v>2511.6665218233802</v>
      </c>
      <c r="L746" s="357">
        <f t="shared" ca="1" si="319"/>
        <v>2798.533030404069</v>
      </c>
      <c r="M746" s="359">
        <f t="shared" ca="1" si="335"/>
        <v>-1.0343266409069374</v>
      </c>
      <c r="N746" s="357">
        <f t="shared" ca="1" si="336"/>
        <v>-59.262551161910956</v>
      </c>
      <c r="O746" s="343"/>
      <c r="P746" s="363">
        <f t="shared" ca="1" si="337"/>
        <v>23</v>
      </c>
      <c r="Q746" s="357">
        <f t="shared" ca="1" si="338"/>
        <v>0</v>
      </c>
      <c r="R746" s="359">
        <f t="shared" ca="1" si="339"/>
        <v>0</v>
      </c>
      <c r="S746" s="360">
        <f t="shared" ca="1" si="340"/>
        <v>9.637999999999975</v>
      </c>
      <c r="T746" s="357">
        <f t="shared" ca="1" si="320"/>
        <v>94.548779999999766</v>
      </c>
      <c r="U746" s="364">
        <f t="shared" ca="1" si="321"/>
        <v>0</v>
      </c>
      <c r="V746" s="359">
        <f t="shared" ca="1" si="322"/>
        <v>0.9516491588927084</v>
      </c>
      <c r="W746" s="357">
        <f t="shared" ca="1" si="323"/>
        <v>10.329359916464957</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7.3464023933793978</v>
      </c>
      <c r="AH746" s="357">
        <f t="shared" ca="1" si="347"/>
        <v>-1.0483304449648601</v>
      </c>
    </row>
    <row r="747" spans="1:34" x14ac:dyDescent="0.25">
      <c r="A747" s="402">
        <f t="shared" ca="1" si="325"/>
        <v>0.1</v>
      </c>
      <c r="B747" s="357">
        <f t="shared" ca="1" si="326"/>
        <v>29.300000000000086</v>
      </c>
      <c r="C747" s="342"/>
      <c r="D747" s="359">
        <f t="shared" ca="1" si="327"/>
        <v>-0.54776774939567197</v>
      </c>
      <c r="E747" s="360">
        <f t="shared" ca="1" si="328"/>
        <v>-8.8888260168727893</v>
      </c>
      <c r="F747" s="357">
        <f t="shared" ca="1" si="329"/>
        <v>8.9056879276961283</v>
      </c>
      <c r="G747" s="359">
        <f t="shared" ca="1" si="330"/>
        <v>35.182973253315382</v>
      </c>
      <c r="H747" s="360">
        <f t="shared" ca="1" si="331"/>
        <v>-60.14775387656681</v>
      </c>
      <c r="I747" s="357">
        <f t="shared" ca="1" si="332"/>
        <v>69.682091697505484</v>
      </c>
      <c r="J747" s="359">
        <f t="shared" ca="1" si="333"/>
        <v>1237.7488941442109</v>
      </c>
      <c r="K747" s="360">
        <f t="shared" ca="1" si="334"/>
        <v>2505.6961905658077</v>
      </c>
      <c r="L747" s="357">
        <f t="shared" ca="1" si="319"/>
        <v>2794.7335694787112</v>
      </c>
      <c r="M747" s="359">
        <f t="shared" ca="1" si="335"/>
        <v>-1.0415221503415799</v>
      </c>
      <c r="N747" s="357">
        <f t="shared" ca="1" si="336"/>
        <v>-59.674823483962541</v>
      </c>
      <c r="O747" s="343"/>
      <c r="P747" s="363">
        <f t="shared" ca="1" si="337"/>
        <v>23</v>
      </c>
      <c r="Q747" s="357">
        <f t="shared" ca="1" si="338"/>
        <v>0</v>
      </c>
      <c r="R747" s="359">
        <f t="shared" ca="1" si="339"/>
        <v>0</v>
      </c>
      <c r="S747" s="360">
        <f t="shared" ca="1" si="340"/>
        <v>9.637999999999975</v>
      </c>
      <c r="T747" s="357">
        <f t="shared" ca="1" si="320"/>
        <v>94.548779999999766</v>
      </c>
      <c r="U747" s="364">
        <f t="shared" ca="1" si="321"/>
        <v>0</v>
      </c>
      <c r="V747" s="359">
        <f t="shared" ca="1" si="322"/>
        <v>0.95222658233253765</v>
      </c>
      <c r="W747" s="357">
        <f t="shared" ca="1" si="323"/>
        <v>10.558027800270381</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7.3601427319602664</v>
      </c>
      <c r="AH747" s="357">
        <f t="shared" ca="1" si="347"/>
        <v>-1.0717327159644101</v>
      </c>
    </row>
    <row r="748" spans="1:34" x14ac:dyDescent="0.25">
      <c r="A748" s="402">
        <f t="shared" ca="1" si="325"/>
        <v>0.1</v>
      </c>
      <c r="B748" s="357">
        <f t="shared" ca="1" si="326"/>
        <v>29.400000000000087</v>
      </c>
      <c r="C748" s="342"/>
      <c r="D748" s="359">
        <f t="shared" ca="1" si="327"/>
        <v>-0.55310455962520377</v>
      </c>
      <c r="E748" s="360">
        <f t="shared" ca="1" si="328"/>
        <v>-8.8644290648542992</v>
      </c>
      <c r="F748" s="357">
        <f t="shared" ca="1" si="329"/>
        <v>8.8816680471469915</v>
      </c>
      <c r="G748" s="359">
        <f t="shared" ca="1" si="330"/>
        <v>35.127662797352862</v>
      </c>
      <c r="H748" s="360">
        <f t="shared" ca="1" si="331"/>
        <v>-61.034196783052238</v>
      </c>
      <c r="I748" s="357">
        <f t="shared" ca="1" si="332"/>
        <v>70.421061271162856</v>
      </c>
      <c r="J748" s="359">
        <f t="shared" ca="1" si="333"/>
        <v>1241.2644259467443</v>
      </c>
      <c r="K748" s="360">
        <f t="shared" ca="1" si="334"/>
        <v>2499.6370930328267</v>
      </c>
      <c r="L748" s="357">
        <f t="shared" ca="1" si="319"/>
        <v>2790.864198055237</v>
      </c>
      <c r="M748" s="359">
        <f t="shared" ca="1" si="335"/>
        <v>-1.048555810517442</v>
      </c>
      <c r="N748" s="357">
        <f t="shared" ca="1" si="336"/>
        <v>-60.077822526568681</v>
      </c>
      <c r="O748" s="343"/>
      <c r="P748" s="363">
        <f t="shared" ca="1" si="337"/>
        <v>23</v>
      </c>
      <c r="Q748" s="357">
        <f t="shared" ca="1" si="338"/>
        <v>0</v>
      </c>
      <c r="R748" s="359">
        <f t="shared" ca="1" si="339"/>
        <v>0</v>
      </c>
      <c r="S748" s="360">
        <f t="shared" ca="1" si="340"/>
        <v>9.637999999999975</v>
      </c>
      <c r="T748" s="357">
        <f t="shared" ca="1" si="320"/>
        <v>94.548779999999766</v>
      </c>
      <c r="U748" s="364">
        <f t="shared" ca="1" si="321"/>
        <v>0</v>
      </c>
      <c r="V748" s="359">
        <f t="shared" ca="1" si="322"/>
        <v>0.95281290415449427</v>
      </c>
      <c r="W748" s="357">
        <f t="shared" ca="1" si="323"/>
        <v>10.789787821483174</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7.3722763224679673</v>
      </c>
      <c r="AH748" s="357">
        <f t="shared" ca="1" si="347"/>
        <v>-1.09545837313451</v>
      </c>
    </row>
    <row r="749" spans="1:34" x14ac:dyDescent="0.25">
      <c r="A749" s="402">
        <f t="shared" ca="1" si="325"/>
        <v>0.1</v>
      </c>
      <c r="B749" s="357">
        <f t="shared" ca="1" si="326"/>
        <v>29.500000000000089</v>
      </c>
      <c r="C749" s="342"/>
      <c r="D749" s="359">
        <f t="shared" ca="1" si="327"/>
        <v>-0.55843505397744886</v>
      </c>
      <c r="E749" s="360">
        <f t="shared" ca="1" si="328"/>
        <v>-8.8397209589024399</v>
      </c>
      <c r="F749" s="357">
        <f t="shared" ca="1" si="329"/>
        <v>8.8573425100743322</v>
      </c>
      <c r="G749" s="359">
        <f t="shared" ca="1" si="330"/>
        <v>35.071819291955116</v>
      </c>
      <c r="H749" s="360">
        <f t="shared" ca="1" si="331"/>
        <v>-61.918168878942481</v>
      </c>
      <c r="I749" s="357">
        <f t="shared" ca="1" si="332"/>
        <v>71.161029684573819</v>
      </c>
      <c r="J749" s="359">
        <f t="shared" ca="1" si="333"/>
        <v>1244.7744000512096</v>
      </c>
      <c r="K749" s="360">
        <f t="shared" ca="1" si="334"/>
        <v>2493.4894747497269</v>
      </c>
      <c r="L749" s="357">
        <f t="shared" ca="1" si="319"/>
        <v>2786.9253789275585</v>
      </c>
      <c r="M749" s="359">
        <f t="shared" ca="1" si="335"/>
        <v>-1.055432460127349</v>
      </c>
      <c r="N749" s="357">
        <f t="shared" ca="1" si="336"/>
        <v>-60.47182552640664</v>
      </c>
      <c r="O749" s="343"/>
      <c r="P749" s="363">
        <f t="shared" ca="1" si="337"/>
        <v>23</v>
      </c>
      <c r="Q749" s="357">
        <f t="shared" ca="1" si="338"/>
        <v>0</v>
      </c>
      <c r="R749" s="359">
        <f t="shared" ca="1" si="339"/>
        <v>0</v>
      </c>
      <c r="S749" s="360">
        <f t="shared" ca="1" si="340"/>
        <v>9.637999999999975</v>
      </c>
      <c r="T749" s="357">
        <f t="shared" ca="1" si="320"/>
        <v>94.548779999999766</v>
      </c>
      <c r="U749" s="364">
        <f t="shared" ca="1" si="321"/>
        <v>0</v>
      </c>
      <c r="V749" s="359">
        <f t="shared" ca="1" si="322"/>
        <v>0.95340811471272169</v>
      </c>
      <c r="W749" s="357">
        <f t="shared" ca="1" si="323"/>
        <v>11.024615047410824</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7.382858776305917</v>
      </c>
      <c r="AH749" s="357">
        <f t="shared" ca="1" si="347"/>
        <v>-1.1195048580082176</v>
      </c>
    </row>
    <row r="750" spans="1:34" x14ac:dyDescent="0.25">
      <c r="A750" s="402">
        <f t="shared" ca="1" si="325"/>
        <v>0.1</v>
      </c>
      <c r="B750" s="357">
        <f t="shared" ca="1" si="326"/>
        <v>29.60000000000009</v>
      </c>
      <c r="C750" s="342"/>
      <c r="D750" s="359">
        <f t="shared" ca="1" si="327"/>
        <v>-0.56375782517285011</v>
      </c>
      <c r="E750" s="360">
        <f t="shared" ca="1" si="328"/>
        <v>-8.8147036928624658</v>
      </c>
      <c r="F750" s="357">
        <f t="shared" ca="1" si="329"/>
        <v>8.8327132908527499</v>
      </c>
      <c r="G750" s="359">
        <f t="shared" ca="1" si="330"/>
        <v>35.01544350943783</v>
      </c>
      <c r="H750" s="360">
        <f t="shared" ca="1" si="331"/>
        <v>-62.799639248228729</v>
      </c>
      <c r="I750" s="357">
        <f t="shared" ca="1" si="332"/>
        <v>71.901849585878537</v>
      </c>
      <c r="J750" s="359">
        <f t="shared" ca="1" si="333"/>
        <v>1248.2787631912793</v>
      </c>
      <c r="K750" s="360">
        <f t="shared" ca="1" si="334"/>
        <v>2487.2535843433684</v>
      </c>
      <c r="L750" s="357">
        <f t="shared" ca="1" si="319"/>
        <v>2782.9175811481164</v>
      </c>
      <c r="M750" s="359">
        <f t="shared" ca="1" si="335"/>
        <v>-1.0621567788352255</v>
      </c>
      <c r="N750" s="357">
        <f t="shared" ca="1" si="336"/>
        <v>-60.857100608468826</v>
      </c>
      <c r="O750" s="343"/>
      <c r="P750" s="363">
        <f t="shared" ca="1" si="337"/>
        <v>23</v>
      </c>
      <c r="Q750" s="357">
        <f t="shared" ca="1" si="338"/>
        <v>0</v>
      </c>
      <c r="R750" s="359">
        <f t="shared" ca="1" si="339"/>
        <v>0</v>
      </c>
      <c r="S750" s="360">
        <f t="shared" ca="1" si="340"/>
        <v>9.637999999999975</v>
      </c>
      <c r="T750" s="357">
        <f t="shared" ca="1" si="320"/>
        <v>94.548779999999766</v>
      </c>
      <c r="U750" s="364">
        <f t="shared" ca="1" si="321"/>
        <v>0</v>
      </c>
      <c r="V750" s="359">
        <f t="shared" ca="1" si="322"/>
        <v>0.95401220423449085</v>
      </c>
      <c r="W750" s="357">
        <f t="shared" ca="1" si="323"/>
        <v>11.262484274292866</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7.3919433380211172</v>
      </c>
      <c r="AH750" s="357">
        <f t="shared" ca="1" si="347"/>
        <v>-1.1438695836699371</v>
      </c>
    </row>
    <row r="751" spans="1:34" x14ac:dyDescent="0.25">
      <c r="A751" s="402">
        <f t="shared" ca="1" si="325"/>
        <v>0.1</v>
      </c>
      <c r="B751" s="357">
        <f t="shared" ca="1" si="326"/>
        <v>29.700000000000092</v>
      </c>
      <c r="C751" s="342"/>
      <c r="D751" s="359">
        <f t="shared" ca="1" si="327"/>
        <v>-0.56907151172586135</v>
      </c>
      <c r="E751" s="360">
        <f t="shared" ca="1" si="328"/>
        <v>-8.789379323492053</v>
      </c>
      <c r="F751" s="357">
        <f t="shared" ca="1" si="329"/>
        <v>8.8077824267909559</v>
      </c>
      <c r="G751" s="359">
        <f t="shared" ca="1" si="330"/>
        <v>34.958536358265242</v>
      </c>
      <c r="H751" s="360">
        <f t="shared" ca="1" si="331"/>
        <v>-63.678577180577932</v>
      </c>
      <c r="I751" s="357">
        <f t="shared" ca="1" si="332"/>
        <v>72.643378611233203</v>
      </c>
      <c r="J751" s="359">
        <f t="shared" ca="1" si="333"/>
        <v>1251.7774621846645</v>
      </c>
      <c r="K751" s="360">
        <f t="shared" ca="1" si="334"/>
        <v>2480.9296735219282</v>
      </c>
      <c r="L751" s="357">
        <f t="shared" ca="1" si="319"/>
        <v>2778.8412800653259</v>
      </c>
      <c r="M751" s="359">
        <f t="shared" ca="1" si="335"/>
        <v>-1.0687332916766381</v>
      </c>
      <c r="N751" s="357">
        <f t="shared" ca="1" si="336"/>
        <v>-61.233907038195355</v>
      </c>
      <c r="O751" s="343"/>
      <c r="P751" s="363">
        <f t="shared" ca="1" si="337"/>
        <v>23</v>
      </c>
      <c r="Q751" s="357">
        <f t="shared" ca="1" si="338"/>
        <v>0</v>
      </c>
      <c r="R751" s="359">
        <f t="shared" ca="1" si="339"/>
        <v>0</v>
      </c>
      <c r="S751" s="360">
        <f t="shared" ca="1" si="340"/>
        <v>9.637999999999975</v>
      </c>
      <c r="T751" s="357">
        <f t="shared" ca="1" si="320"/>
        <v>94.548779999999766</v>
      </c>
      <c r="U751" s="364">
        <f t="shared" ca="1" si="321"/>
        <v>0</v>
      </c>
      <c r="V751" s="359">
        <f t="shared" ca="1" si="322"/>
        <v>0.95462516282021337</v>
      </c>
      <c r="W751" s="357">
        <f t="shared" ca="1" si="323"/>
        <v>11.503370030527524</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7.3995809902498975</v>
      </c>
      <c r="AH751" s="357">
        <f t="shared" ca="1" si="347"/>
        <v>-1.1685499350791551</v>
      </c>
    </row>
    <row r="752" spans="1:34" x14ac:dyDescent="0.25">
      <c r="A752" s="402">
        <f t="shared" ca="1" si="325"/>
        <v>0.1</v>
      </c>
      <c r="B752" s="357">
        <f t="shared" ca="1" si="326"/>
        <v>29.800000000000093</v>
      </c>
      <c r="C752" s="342"/>
      <c r="D752" s="359">
        <f t="shared" ca="1" si="327"/>
        <v>-0.57437479611133124</v>
      </c>
      <c r="E752" s="360">
        <f t="shared" ca="1" si="328"/>
        <v>-8.76374996796436</v>
      </c>
      <c r="F752" s="357">
        <f t="shared" ca="1" si="329"/>
        <v>8.7825520156389185</v>
      </c>
      <c r="G752" s="359">
        <f t="shared" ca="1" si="330"/>
        <v>34.901098878654111</v>
      </c>
      <c r="H752" s="360">
        <f t="shared" ca="1" si="331"/>
        <v>-64.554952177374375</v>
      </c>
      <c r="I752" s="357">
        <f t="shared" ca="1" si="332"/>
        <v>73.385479173748564</v>
      </c>
      <c r="J752" s="359">
        <f t="shared" ca="1" si="333"/>
        <v>1255.2704439465106</v>
      </c>
      <c r="K752" s="360">
        <f t="shared" ca="1" si="334"/>
        <v>2474.5179970540307</v>
      </c>
      <c r="L752" s="357">
        <f t="shared" ca="1" si="319"/>
        <v>2774.6969573612832</v>
      </c>
      <c r="M752" s="359">
        <f t="shared" ca="1" si="335"/>
        <v>-1.0751663734968087</v>
      </c>
      <c r="N752" s="357">
        <f t="shared" ca="1" si="336"/>
        <v>-61.602495475753464</v>
      </c>
      <c r="O752" s="343"/>
      <c r="P752" s="363">
        <f t="shared" ca="1" si="337"/>
        <v>23</v>
      </c>
      <c r="Q752" s="357">
        <f t="shared" ca="1" si="338"/>
        <v>0</v>
      </c>
      <c r="R752" s="359">
        <f t="shared" ca="1" si="339"/>
        <v>0</v>
      </c>
      <c r="S752" s="360">
        <f t="shared" ca="1" si="340"/>
        <v>9.637999999999975</v>
      </c>
      <c r="T752" s="357">
        <f t="shared" ca="1" si="320"/>
        <v>94.548779999999766</v>
      </c>
      <c r="U752" s="364">
        <f t="shared" ca="1" si="321"/>
        <v>0</v>
      </c>
      <c r="V752" s="359">
        <f t="shared" ca="1" si="322"/>
        <v>0.95524698044349343</v>
      </c>
      <c r="W752" s="357">
        <f t="shared" ca="1" si="323"/>
        <v>11.747246580000541</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7.4058205554055236</v>
      </c>
      <c r="AH752" s="357">
        <f t="shared" ca="1" si="347"/>
        <v>-1.1935432694052246</v>
      </c>
    </row>
    <row r="753" spans="1:34" x14ac:dyDescent="0.25">
      <c r="A753" s="402">
        <f t="shared" ca="1" si="325"/>
        <v>0.1</v>
      </c>
      <c r="B753" s="357">
        <f t="shared" ca="1" si="326"/>
        <v>29.900000000000095</v>
      </c>
      <c r="C753" s="342"/>
      <c r="D753" s="359">
        <f t="shared" ca="1" si="327"/>
        <v>-0.57966640301621286</v>
      </c>
      <c r="E753" s="360">
        <f t="shared" ca="1" si="328"/>
        <v>-8.7378178015068482</v>
      </c>
      <c r="F753" s="357">
        <f t="shared" ca="1" si="329"/>
        <v>8.757024213231098</v>
      </c>
      <c r="G753" s="359">
        <f t="shared" ca="1" si="330"/>
        <v>34.843132238352489</v>
      </c>
      <c r="H753" s="360">
        <f t="shared" ca="1" si="331"/>
        <v>-65.428733957525054</v>
      </c>
      <c r="I753" s="357">
        <f t="shared" ca="1" si="332"/>
        <v>74.128018262084353</v>
      </c>
      <c r="J753" s="359">
        <f t="shared" ca="1" si="333"/>
        <v>1258.7576555023609</v>
      </c>
      <c r="K753" s="360">
        <f t="shared" ca="1" si="334"/>
        <v>2468.0188127472857</v>
      </c>
      <c r="L753" s="357">
        <f t="shared" ca="1" si="319"/>
        <v>2770.4851010897569</v>
      </c>
      <c r="M753" s="359">
        <f t="shared" ca="1" si="335"/>
        <v>-1.0814602533998181</v>
      </c>
      <c r="N753" s="357">
        <f t="shared" ca="1" si="336"/>
        <v>-61.963108230958113</v>
      </c>
      <c r="O753" s="343"/>
      <c r="P753" s="363">
        <f t="shared" ca="1" si="337"/>
        <v>23</v>
      </c>
      <c r="Q753" s="357">
        <f t="shared" ca="1" si="338"/>
        <v>0</v>
      </c>
      <c r="R753" s="359">
        <f t="shared" ca="1" si="339"/>
        <v>0</v>
      </c>
      <c r="S753" s="360">
        <f t="shared" ca="1" si="340"/>
        <v>9.637999999999975</v>
      </c>
      <c r="T753" s="357">
        <f t="shared" ca="1" si="320"/>
        <v>94.548779999999766</v>
      </c>
      <c r="U753" s="364">
        <f t="shared" ca="1" si="321"/>
        <v>0</v>
      </c>
      <c r="V753" s="359">
        <f t="shared" ca="1" si="322"/>
        <v>0.95587764695121813</v>
      </c>
      <c r="W753" s="357">
        <f t="shared" ca="1" si="323"/>
        <v>11.994087925511966</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7.4107087939697518</v>
      </c>
      <c r="AH753" s="357">
        <f t="shared" ca="1" si="347"/>
        <v>-1.2188469163727507</v>
      </c>
    </row>
    <row r="754" spans="1:34" x14ac:dyDescent="0.25">
      <c r="A754" s="402">
        <f t="shared" ca="1" si="325"/>
        <v>0.1</v>
      </c>
      <c r="B754" s="357">
        <f t="shared" ca="1" si="326"/>
        <v>30.000000000000096</v>
      </c>
      <c r="C754" s="342"/>
      <c r="D754" s="359">
        <f t="shared" ca="1" si="327"/>
        <v>-0.58494509767347802</v>
      </c>
      <c r="E754" s="360">
        <f t="shared" ca="1" si="328"/>
        <v>-8.7115850551659193</v>
      </c>
      <c r="F754" s="357">
        <f t="shared" ca="1" si="329"/>
        <v>8.7312012312557794</v>
      </c>
      <c r="G754" s="359">
        <f t="shared" ca="1" si="330"/>
        <v>34.784637728585139</v>
      </c>
      <c r="H754" s="360">
        <f t="shared" ca="1" si="331"/>
        <v>-66.299892463041644</v>
      </c>
      <c r="I754" s="357">
        <f t="shared" ca="1" si="332"/>
        <v>74.870867248348304</v>
      </c>
      <c r="J754" s="359">
        <f t="shared" ca="1" si="333"/>
        <v>1262.2390440007077</v>
      </c>
      <c r="K754" s="360">
        <f t="shared" ca="1" si="334"/>
        <v>2461.4323814262575</v>
      </c>
      <c r="L754" s="357">
        <f t="shared" ca="1" si="319"/>
        <v>2766.2062057145267</v>
      </c>
      <c r="M754" s="359">
        <f t="shared" ca="1" si="335"/>
        <v>-1.0876190191864838</v>
      </c>
      <c r="N754" s="357">
        <f t="shared" ca="1" si="336"/>
        <v>-62.315979517543632</v>
      </c>
      <c r="O754" s="343"/>
      <c r="P754" s="363">
        <f t="shared" ca="1" si="337"/>
        <v>23</v>
      </c>
      <c r="Q754" s="357">
        <f t="shared" ca="1" si="338"/>
        <v>0</v>
      </c>
      <c r="R754" s="359">
        <f t="shared" ca="1" si="339"/>
        <v>0</v>
      </c>
      <c r="S754" s="360">
        <f t="shared" ca="1" si="340"/>
        <v>9.637999999999975</v>
      </c>
      <c r="T754" s="357">
        <f t="shared" ca="1" si="320"/>
        <v>94.548779999999766</v>
      </c>
      <c r="U754" s="364">
        <f t="shared" ca="1" si="321"/>
        <v>0</v>
      </c>
      <c r="V754" s="359">
        <f t="shared" ca="1" si="322"/>
        <v>0.95651715206368326</v>
      </c>
      <c r="W754" s="357">
        <f t="shared" ca="1" si="323"/>
        <v>12.243867812296914</v>
      </c>
      <c r="X754" s="343"/>
      <c r="Y754" s="367" t="str">
        <f t="shared" ca="1" si="341"/>
        <v/>
      </c>
      <c r="Z754" s="368" t="str">
        <f t="shared" ca="1" si="342"/>
        <v/>
      </c>
      <c r="AA754" s="369" t="str">
        <f t="shared" ca="1" si="343"/>
        <v/>
      </c>
      <c r="AB754" s="344"/>
      <c r="AC754" s="363">
        <f t="shared" ca="1" si="344"/>
        <v>30.000000000000096</v>
      </c>
      <c r="AD754" s="376">
        <f t="shared" ca="1" si="345"/>
        <v>1262.2390440007077</v>
      </c>
      <c r="AE754" s="377" t="e">
        <f t="shared" ca="1" si="324"/>
        <v>#N/A</v>
      </c>
      <c r="AF754" s="344"/>
      <c r="AG754" s="359">
        <f t="shared" ca="1" si="346"/>
        <v>7.4142904992983869</v>
      </c>
      <c r="AH754" s="357">
        <f t="shared" ca="1" si="347"/>
        <v>-1.2444581786171403</v>
      </c>
    </row>
    <row r="755" spans="1:34" x14ac:dyDescent="0.25">
      <c r="A755" s="402">
        <f t="shared" ca="1" si="325"/>
        <v>0.1</v>
      </c>
      <c r="B755" s="357">
        <f t="shared" ca="1" si="326"/>
        <v>30.100000000000097</v>
      </c>
      <c r="C755" s="342"/>
      <c r="D755" s="359">
        <f t="shared" ca="1" si="327"/>
        <v>-0.5902096842750808</v>
      </c>
      <c r="E755" s="360">
        <f t="shared" ca="1" si="328"/>
        <v>-8.6850540136881502</v>
      </c>
      <c r="F755" s="357">
        <f t="shared" ca="1" si="329"/>
        <v>8.7050853351413355</v>
      </c>
      <c r="G755" s="359">
        <f t="shared" ca="1" si="330"/>
        <v>34.725616760157628</v>
      </c>
      <c r="H755" s="360">
        <f t="shared" ca="1" si="331"/>
        <v>-67.168397864410466</v>
      </c>
      <c r="I755" s="357">
        <f t="shared" ca="1" si="332"/>
        <v>75.613901704944979</v>
      </c>
      <c r="J755" s="359">
        <f t="shared" ca="1" si="333"/>
        <v>1265.7145567251448</v>
      </c>
      <c r="K755" s="360">
        <f t="shared" ca="1" si="334"/>
        <v>2454.7589669098847</v>
      </c>
      <c r="L755" s="357">
        <f t="shared" ca="1" si="319"/>
        <v>2761.8607721480848</v>
      </c>
      <c r="M755" s="359">
        <f t="shared" ca="1" si="335"/>
        <v>-1.0936466217617509</v>
      </c>
      <c r="N755" s="357">
        <f t="shared" ca="1" si="336"/>
        <v>-62.661335705688614</v>
      </c>
      <c r="O755" s="343"/>
      <c r="P755" s="363">
        <f t="shared" ca="1" si="337"/>
        <v>23</v>
      </c>
      <c r="Q755" s="357">
        <f t="shared" ca="1" si="338"/>
        <v>0</v>
      </c>
      <c r="R755" s="359">
        <f t="shared" ca="1" si="339"/>
        <v>0</v>
      </c>
      <c r="S755" s="360">
        <f t="shared" ca="1" si="340"/>
        <v>9.637999999999975</v>
      </c>
      <c r="T755" s="357">
        <f t="shared" ca="1" si="320"/>
        <v>94.548779999999766</v>
      </c>
      <c r="U755" s="364">
        <f t="shared" ca="1" si="321"/>
        <v>0</v>
      </c>
      <c r="V755" s="359">
        <f t="shared" ca="1" si="322"/>
        <v>0.95716548537475321</v>
      </c>
      <c r="W755" s="357">
        <f t="shared" ca="1" si="323"/>
        <v>12.496559731636586</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7.4166085888910445</v>
      </c>
      <c r="AH755" s="357">
        <f t="shared" ca="1" si="347"/>
        <v>-1.270374332049901</v>
      </c>
    </row>
    <row r="756" spans="1:34" x14ac:dyDescent="0.25">
      <c r="A756" s="402">
        <f t="shared" ca="1" si="325"/>
        <v>0.1</v>
      </c>
      <c r="B756" s="357">
        <f t="shared" ca="1" si="326"/>
        <v>30.200000000000099</v>
      </c>
      <c r="C756" s="342"/>
      <c r="D756" s="359">
        <f t="shared" ca="1" si="327"/>
        <v>-0.59545900446081079</v>
      </c>
      <c r="E756" s="360">
        <f t="shared" ca="1" si="328"/>
        <v>-8.6582270135095527</v>
      </c>
      <c r="F756" s="357">
        <f t="shared" ca="1" si="329"/>
        <v>8.6786788420507879</v>
      </c>
      <c r="G756" s="359">
        <f t="shared" ca="1" si="330"/>
        <v>34.666070859711546</v>
      </c>
      <c r="H756" s="360">
        <f t="shared" ca="1" si="331"/>
        <v>-68.034220565761416</v>
      </c>
      <c r="I756" s="357">
        <f t="shared" ca="1" si="332"/>
        <v>76.357001230019605</v>
      </c>
      <c r="J756" s="359">
        <f t="shared" ca="1" si="333"/>
        <v>1269.1841411061382</v>
      </c>
      <c r="K756" s="360">
        <f t="shared" ca="1" si="334"/>
        <v>2447.998835988376</v>
      </c>
      <c r="L756" s="357">
        <f t="shared" ca="1" si="319"/>
        <v>2757.449307790765</v>
      </c>
      <c r="M756" s="359">
        <f t="shared" ca="1" si="335"/>
        <v>-1.0995468794953813</v>
      </c>
      <c r="N756" s="357">
        <f t="shared" ca="1" si="336"/>
        <v>-62.999395571865065</v>
      </c>
      <c r="O756" s="343"/>
      <c r="P756" s="363">
        <f t="shared" ca="1" si="337"/>
        <v>23</v>
      </c>
      <c r="Q756" s="357">
        <f t="shared" ca="1" si="338"/>
        <v>0</v>
      </c>
      <c r="R756" s="359">
        <f t="shared" ca="1" si="339"/>
        <v>0</v>
      </c>
      <c r="S756" s="360">
        <f t="shared" ca="1" si="340"/>
        <v>9.637999999999975</v>
      </c>
      <c r="T756" s="357">
        <f t="shared" ca="1" si="320"/>
        <v>94.548779999999766</v>
      </c>
      <c r="U756" s="364">
        <f t="shared" ca="1" si="321"/>
        <v>0</v>
      </c>
      <c r="V756" s="359">
        <f t="shared" ca="1" si="322"/>
        <v>0.95782263635205478</v>
      </c>
      <c r="W756" s="357">
        <f t="shared" ca="1" si="323"/>
        <v>12.752136924555865</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7.4177041921092215</v>
      </c>
      <c r="AH756" s="357">
        <f t="shared" ca="1" si="347"/>
        <v>-1.2965926262333076</v>
      </c>
    </row>
    <row r="757" spans="1:34" x14ac:dyDescent="0.25">
      <c r="A757" s="402">
        <f t="shared" ca="1" si="325"/>
        <v>0.1</v>
      </c>
      <c r="B757" s="357">
        <f t="shared" ca="1" si="326"/>
        <v>30.3000000000001</v>
      </c>
      <c r="C757" s="342"/>
      <c r="D757" s="359">
        <f t="shared" ca="1" si="327"/>
        <v>-0.60069193587989</v>
      </c>
      <c r="E757" s="360">
        <f t="shared" ca="1" si="328"/>
        <v>-8.6311064408449454</v>
      </c>
      <c r="F757" s="357">
        <f t="shared" ca="1" si="329"/>
        <v>8.6519841189767686</v>
      </c>
      <c r="G757" s="359">
        <f t="shared" ca="1" si="330"/>
        <v>34.606001666123554</v>
      </c>
      <c r="H757" s="360">
        <f t="shared" ca="1" si="331"/>
        <v>-68.897331209845916</v>
      </c>
      <c r="I757" s="357">
        <f t="shared" ca="1" si="332"/>
        <v>77.100049281144791</v>
      </c>
      <c r="J757" s="359">
        <f t="shared" ca="1" si="333"/>
        <v>1272.6477447324301</v>
      </c>
      <c r="K757" s="360">
        <f t="shared" ca="1" si="334"/>
        <v>2441.1522583995957</v>
      </c>
      <c r="L757" s="357">
        <f t="shared" ca="1" si="319"/>
        <v>2752.9723265703174</v>
      </c>
      <c r="M757" s="359">
        <f t="shared" ca="1" si="335"/>
        <v>-1.1053234825223588</v>
      </c>
      <c r="N757" s="357">
        <f t="shared" ca="1" si="336"/>
        <v>-63.330370545233372</v>
      </c>
      <c r="O757" s="343"/>
      <c r="P757" s="363">
        <f t="shared" ca="1" si="337"/>
        <v>23</v>
      </c>
      <c r="Q757" s="357">
        <f t="shared" ca="1" si="338"/>
        <v>0</v>
      </c>
      <c r="R757" s="359">
        <f t="shared" ca="1" si="339"/>
        <v>0</v>
      </c>
      <c r="S757" s="360">
        <f t="shared" ca="1" si="340"/>
        <v>9.637999999999975</v>
      </c>
      <c r="T757" s="357">
        <f t="shared" ca="1" si="320"/>
        <v>94.548779999999766</v>
      </c>
      <c r="U757" s="364">
        <f t="shared" ca="1" si="321"/>
        <v>0</v>
      </c>
      <c r="V757" s="359">
        <f t="shared" ca="1" si="322"/>
        <v>0.95848859433719924</v>
      </c>
      <c r="W757" s="357">
        <f t="shared" ca="1" si="323"/>
        <v>13.010572385604204</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7.4176167343547483</v>
      </c>
      <c r="AH757" s="357">
        <f t="shared" ca="1" si="347"/>
        <v>-1.3231102847640483</v>
      </c>
    </row>
    <row r="758" spans="1:34" x14ac:dyDescent="0.25">
      <c r="A758" s="402">
        <f t="shared" ca="1" si="325"/>
        <v>0.1</v>
      </c>
      <c r="B758" s="357">
        <f t="shared" ca="1" si="326"/>
        <v>30.400000000000102</v>
      </c>
      <c r="C758" s="342"/>
      <c r="D758" s="359">
        <f t="shared" ca="1" si="327"/>
        <v>-0.60590739082220457</v>
      </c>
      <c r="E758" s="360">
        <f t="shared" ca="1" si="328"/>
        <v>-8.6036947298700408</v>
      </c>
      <c r="F758" s="357">
        <f t="shared" ca="1" si="329"/>
        <v>8.6250035809294872</v>
      </c>
      <c r="G758" s="359">
        <f t="shared" ca="1" si="330"/>
        <v>34.545410927041331</v>
      </c>
      <c r="H758" s="360">
        <f t="shared" ca="1" si="331"/>
        <v>-69.757700682832919</v>
      </c>
      <c r="I758" s="357">
        <f t="shared" ca="1" si="332"/>
        <v>77.842933016901767</v>
      </c>
      <c r="J758" s="359">
        <f t="shared" ca="1" si="333"/>
        <v>1276.1053153620883</v>
      </c>
      <c r="K758" s="360">
        <f t="shared" ca="1" si="334"/>
        <v>2434.2195068049618</v>
      </c>
      <c r="L758" s="357">
        <f t="shared" ca="1" si="319"/>
        <v>2748.4303489819722</v>
      </c>
      <c r="M758" s="359">
        <f t="shared" ca="1" si="335"/>
        <v>-1.1109799969717045</v>
      </c>
      <c r="N758" s="357">
        <f t="shared" ca="1" si="336"/>
        <v>-63.654464949935644</v>
      </c>
      <c r="O758" s="343"/>
      <c r="P758" s="363">
        <f t="shared" ca="1" si="337"/>
        <v>23</v>
      </c>
      <c r="Q758" s="357">
        <f t="shared" ca="1" si="338"/>
        <v>0</v>
      </c>
      <c r="R758" s="359">
        <f t="shared" ca="1" si="339"/>
        <v>0</v>
      </c>
      <c r="S758" s="360">
        <f t="shared" ca="1" si="340"/>
        <v>9.637999999999975</v>
      </c>
      <c r="T758" s="357">
        <f t="shared" ca="1" si="320"/>
        <v>94.548779999999766</v>
      </c>
      <c r="U758" s="364">
        <f t="shared" ca="1" si="321"/>
        <v>0</v>
      </c>
      <c r="V758" s="359">
        <f t="shared" ca="1" si="322"/>
        <v>0.95916334854603946</v>
      </c>
      <c r="W758" s="357">
        <f t="shared" ca="1" si="323"/>
        <v>13.271838866716383</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7.4163840177439395</v>
      </c>
      <c r="AH758" s="357">
        <f t="shared" ca="1" si="347"/>
        <v>-1.3499245056655154</v>
      </c>
    </row>
    <row r="759" spans="1:34" x14ac:dyDescent="0.25">
      <c r="A759" s="402">
        <f t="shared" ca="1" si="325"/>
        <v>0.1</v>
      </c>
      <c r="B759" s="357">
        <f t="shared" ca="1" si="326"/>
        <v>30.500000000000103</v>
      </c>
      <c r="C759" s="342"/>
      <c r="D759" s="359">
        <f t="shared" ca="1" si="327"/>
        <v>-0.61110431491611727</v>
      </c>
      <c r="E759" s="360">
        <f t="shared" ca="1" si="328"/>
        <v>-8.5759943609894354</v>
      </c>
      <c r="F759" s="357">
        <f t="shared" ca="1" si="329"/>
        <v>8.5977396892108615</v>
      </c>
      <c r="G759" s="359">
        <f t="shared" ca="1" si="330"/>
        <v>34.484300495549718</v>
      </c>
      <c r="H759" s="360">
        <f t="shared" ca="1" si="331"/>
        <v>-70.615300118931856</v>
      </c>
      <c r="I759" s="357">
        <f t="shared" ca="1" si="332"/>
        <v>78.585543146015013</v>
      </c>
      <c r="J759" s="359">
        <f t="shared" ca="1" si="333"/>
        <v>1279.5568009332178</v>
      </c>
      <c r="K759" s="360">
        <f t="shared" ca="1" si="334"/>
        <v>2427.2008567648736</v>
      </c>
      <c r="L759" s="357">
        <f t="shared" ca="1" si="319"/>
        <v>2743.8239021290319</v>
      </c>
      <c r="M759" s="359">
        <f t="shared" ca="1" si="335"/>
        <v>-1.1165198691144438</v>
      </c>
      <c r="N759" s="357">
        <f t="shared" ca="1" si="336"/>
        <v>-63.971876242756707</v>
      </c>
      <c r="O759" s="343"/>
      <c r="P759" s="363">
        <f t="shared" ca="1" si="337"/>
        <v>23</v>
      </c>
      <c r="Q759" s="357">
        <f t="shared" ca="1" si="338"/>
        <v>0</v>
      </c>
      <c r="R759" s="359">
        <f t="shared" ca="1" si="339"/>
        <v>0</v>
      </c>
      <c r="S759" s="360">
        <f t="shared" ca="1" si="340"/>
        <v>9.637999999999975</v>
      </c>
      <c r="T759" s="357">
        <f t="shared" ca="1" si="320"/>
        <v>94.548779999999766</v>
      </c>
      <c r="U759" s="364">
        <f t="shared" ca="1" si="321"/>
        <v>0</v>
      </c>
      <c r="V759" s="359">
        <f t="shared" ca="1" si="322"/>
        <v>0.95984688806894902</v>
      </c>
      <c r="W759" s="357">
        <f t="shared" ca="1" si="323"/>
        <v>13.535908881150146</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7.4140422983315428</v>
      </c>
      <c r="AH759" s="357">
        <f t="shared" ca="1" si="347"/>
        <v>-1.3770324617883811</v>
      </c>
    </row>
    <row r="760" spans="1:34" x14ac:dyDescent="0.25">
      <c r="A760" s="402">
        <f t="shared" ca="1" si="325"/>
        <v>0.1</v>
      </c>
      <c r="B760" s="357">
        <f t="shared" ca="1" si="326"/>
        <v>30.600000000000104</v>
      </c>
      <c r="C760" s="342"/>
      <c r="D760" s="359">
        <f t="shared" ca="1" si="327"/>
        <v>-0.61628168588986831</v>
      </c>
      <c r="E760" s="360">
        <f t="shared" ca="1" si="328"/>
        <v>-8.5480078591841941</v>
      </c>
      <c r="F760" s="357">
        <f t="shared" ca="1" si="329"/>
        <v>8.5701949497685295</v>
      </c>
      <c r="G760" s="359">
        <f t="shared" ca="1" si="330"/>
        <v>34.422672326960729</v>
      </c>
      <c r="H760" s="360">
        <f t="shared" ca="1" si="331"/>
        <v>-71.47010090485027</v>
      </c>
      <c r="I760" s="357">
        <f t="shared" ca="1" si="332"/>
        <v>79.327773783705709</v>
      </c>
      <c r="J760" s="359">
        <f t="shared" ca="1" si="333"/>
        <v>1283.0021495743433</v>
      </c>
      <c r="K760" s="360">
        <f t="shared" ca="1" si="334"/>
        <v>2420.0965867136847</v>
      </c>
      <c r="L760" s="357">
        <f t="shared" ca="1" si="319"/>
        <v>2739.1535197640187</v>
      </c>
      <c r="M760" s="359">
        <f t="shared" ca="1" si="335"/>
        <v>-1.1219464294232186</v>
      </c>
      <c r="N760" s="357">
        <f t="shared" ca="1" si="336"/>
        <v>-64.28279524572271</v>
      </c>
      <c r="O760" s="343"/>
      <c r="P760" s="363">
        <f t="shared" ca="1" si="337"/>
        <v>23</v>
      </c>
      <c r="Q760" s="357">
        <f t="shared" ca="1" si="338"/>
        <v>0</v>
      </c>
      <c r="R760" s="359">
        <f t="shared" ca="1" si="339"/>
        <v>0</v>
      </c>
      <c r="S760" s="360">
        <f t="shared" ca="1" si="340"/>
        <v>9.637999999999975</v>
      </c>
      <c r="T760" s="357">
        <f t="shared" ca="1" si="320"/>
        <v>94.548779999999766</v>
      </c>
      <c r="U760" s="364">
        <f t="shared" ca="1" si="321"/>
        <v>0</v>
      </c>
      <c r="V760" s="359">
        <f t="shared" ca="1" si="322"/>
        <v>0.96053920187113584</v>
      </c>
      <c r="W760" s="357">
        <f t="shared" ca="1" si="323"/>
        <v>13.802754707497654</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7.4106263599538558</v>
      </c>
      <c r="AH760" s="357">
        <f t="shared" ca="1" si="347"/>
        <v>-1.4044313012191514</v>
      </c>
    </row>
    <row r="761" spans="1:34" x14ac:dyDescent="0.25">
      <c r="A761" s="402">
        <f t="shared" ca="1" si="325"/>
        <v>0.1</v>
      </c>
      <c r="B761" s="357">
        <f t="shared" ca="1" si="326"/>
        <v>30.700000000000106</v>
      </c>
      <c r="C761" s="342"/>
      <c r="D761" s="359">
        <f t="shared" ca="1" si="327"/>
        <v>-0.62143851239365366</v>
      </c>
      <c r="E761" s="360">
        <f t="shared" ca="1" si="328"/>
        <v>-8.5197377924331565</v>
      </c>
      <c r="F761" s="357">
        <f t="shared" ca="1" si="329"/>
        <v>8.5423719116238335</v>
      </c>
      <c r="G761" s="359">
        <f t="shared" ca="1" si="330"/>
        <v>34.360528475721367</v>
      </c>
      <c r="H761" s="360">
        <f t="shared" ca="1" si="331"/>
        <v>-72.322074684093579</v>
      </c>
      <c r="I761" s="357">
        <f t="shared" ca="1" si="332"/>
        <v>80.069522314938709</v>
      </c>
      <c r="J761" s="359">
        <f t="shared" ca="1" si="333"/>
        <v>1286.4413096144774</v>
      </c>
      <c r="K761" s="360">
        <f t="shared" ca="1" si="334"/>
        <v>2412.9069779342376</v>
      </c>
      <c r="L761" s="357">
        <f t="shared" ca="1" si="319"/>
        <v>2734.4197423304176</v>
      </c>
      <c r="M761" s="359">
        <f t="shared" ca="1" si="335"/>
        <v>-1.1272628965375988</v>
      </c>
      <c r="N761" s="357">
        <f t="shared" ca="1" si="336"/>
        <v>-64.587406373296787</v>
      </c>
      <c r="O761" s="343"/>
      <c r="P761" s="363">
        <f t="shared" ca="1" si="337"/>
        <v>23</v>
      </c>
      <c r="Q761" s="357">
        <f t="shared" ca="1" si="338"/>
        <v>0</v>
      </c>
      <c r="R761" s="359">
        <f t="shared" ca="1" si="339"/>
        <v>0</v>
      </c>
      <c r="S761" s="360">
        <f t="shared" ca="1" si="340"/>
        <v>9.637999999999975</v>
      </c>
      <c r="T761" s="357">
        <f t="shared" ca="1" si="320"/>
        <v>94.548779999999766</v>
      </c>
      <c r="U761" s="364">
        <f t="shared" ca="1" si="321"/>
        <v>0</v>
      </c>
      <c r="V761" s="359">
        <f t="shared" ca="1" si="322"/>
        <v>0.96124027879297669</v>
      </c>
      <c r="W761" s="357">
        <f t="shared" ca="1" si="323"/>
        <v>14.072348393767859</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7.4061695847723579</v>
      </c>
      <c r="AH761" s="357">
        <f t="shared" ca="1" si="347"/>
        <v>-1.4321181476963778</v>
      </c>
    </row>
    <row r="762" spans="1:34" x14ac:dyDescent="0.25">
      <c r="A762" s="402">
        <f t="shared" ca="1" si="325"/>
        <v>0.1</v>
      </c>
      <c r="B762" s="357">
        <f t="shared" ca="1" si="326"/>
        <v>30.800000000000107</v>
      </c>
      <c r="C762" s="342"/>
      <c r="D762" s="359">
        <f t="shared" ca="1" si="327"/>
        <v>-0.62657383287954627</v>
      </c>
      <c r="E762" s="360">
        <f t="shared" ca="1" si="328"/>
        <v>-8.4911867702025514</v>
      </c>
      <c r="F762" s="357">
        <f t="shared" ca="1" si="329"/>
        <v>8.5142731653683867</v>
      </c>
      <c r="G762" s="359">
        <f t="shared" ca="1" si="330"/>
        <v>34.297871092433411</v>
      </c>
      <c r="H762" s="360">
        <f t="shared" ca="1" si="331"/>
        <v>-73.171193361113836</v>
      </c>
      <c r="I762" s="357">
        <f t="shared" ca="1" si="332"/>
        <v>80.810689264247017</v>
      </c>
      <c r="J762" s="359">
        <f t="shared" ca="1" si="333"/>
        <v>1289.8742295928851</v>
      </c>
      <c r="K762" s="360">
        <f t="shared" ca="1" si="334"/>
        <v>2405.632314531977</v>
      </c>
      <c r="L762" s="357">
        <f t="shared" ca="1" si="319"/>
        <v>2729.623117005041</v>
      </c>
      <c r="M762" s="359">
        <f t="shared" ca="1" si="335"/>
        <v>-1.132472381130496</v>
      </c>
      <c r="N762" s="357">
        <f t="shared" ca="1" si="336"/>
        <v>-64.88588785390823</v>
      </c>
      <c r="O762" s="343"/>
      <c r="P762" s="363">
        <f t="shared" ca="1" si="337"/>
        <v>23</v>
      </c>
      <c r="Q762" s="357">
        <f t="shared" ca="1" si="338"/>
        <v>0</v>
      </c>
      <c r="R762" s="359">
        <f t="shared" ca="1" si="339"/>
        <v>0</v>
      </c>
      <c r="S762" s="360">
        <f t="shared" ca="1" si="340"/>
        <v>9.637999999999975</v>
      </c>
      <c r="T762" s="357">
        <f t="shared" ca="1" si="320"/>
        <v>94.548779999999766</v>
      </c>
      <c r="U762" s="364">
        <f t="shared" ca="1" si="321"/>
        <v>0</v>
      </c>
      <c r="V762" s="359">
        <f t="shared" ca="1" si="322"/>
        <v>0.96195010755038113</v>
      </c>
      <c r="W762" s="357">
        <f t="shared" ca="1" si="323"/>
        <v>14.344661761537141</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7.4007040206085986</v>
      </c>
      <c r="AH762" s="357">
        <f t="shared" ca="1" si="347"/>
        <v>-1.4600901010342286</v>
      </c>
    </row>
    <row r="763" spans="1:34" x14ac:dyDescent="0.25">
      <c r="A763" s="402">
        <f t="shared" ca="1" si="325"/>
        <v>0.1</v>
      </c>
      <c r="B763" s="357">
        <f t="shared" ca="1" si="326"/>
        <v>30.900000000000109</v>
      </c>
      <c r="C763" s="342"/>
      <c r="D763" s="359">
        <f t="shared" ca="1" si="327"/>
        <v>-0.63168671453651903</v>
      </c>
      <c r="E763" s="360">
        <f t="shared" ca="1" si="328"/>
        <v>-8.4623574419989183</v>
      </c>
      <c r="F763" s="357">
        <f t="shared" ca="1" si="329"/>
        <v>8.4859013417241904</v>
      </c>
      <c r="G763" s="359">
        <f t="shared" ca="1" si="330"/>
        <v>34.234702420979758</v>
      </c>
      <c r="H763" s="360">
        <f t="shared" ca="1" si="331"/>
        <v>-74.017429105313724</v>
      </c>
      <c r="I763" s="357">
        <f t="shared" ca="1" si="332"/>
        <v>81.551178171827658</v>
      </c>
      <c r="J763" s="359">
        <f t="shared" ca="1" si="333"/>
        <v>1293.3008582685557</v>
      </c>
      <c r="K763" s="360">
        <f t="shared" ca="1" si="334"/>
        <v>2398.2728834086556</v>
      </c>
      <c r="L763" s="357">
        <f t="shared" ca="1" si="319"/>
        <v>2724.764197741054</v>
      </c>
      <c r="M763" s="359">
        <f t="shared" ca="1" si="335"/>
        <v>-1.1375778896722502</v>
      </c>
      <c r="N763" s="357">
        <f t="shared" ca="1" si="336"/>
        <v>-65.178411945618734</v>
      </c>
      <c r="O763" s="343"/>
      <c r="P763" s="363">
        <f t="shared" ca="1" si="337"/>
        <v>23</v>
      </c>
      <c r="Q763" s="357">
        <f t="shared" ca="1" si="338"/>
        <v>0</v>
      </c>
      <c r="R763" s="359">
        <f t="shared" ca="1" si="339"/>
        <v>0</v>
      </c>
      <c r="S763" s="360">
        <f t="shared" ca="1" si="340"/>
        <v>9.637999999999975</v>
      </c>
      <c r="T763" s="357">
        <f t="shared" ca="1" si="320"/>
        <v>94.548779999999766</v>
      </c>
      <c r="U763" s="364">
        <f t="shared" ca="1" si="321"/>
        <v>0</v>
      </c>
      <c r="V763" s="359">
        <f t="shared" ca="1" si="322"/>
        <v>0.96266867673517664</v>
      </c>
      <c r="W763" s="357">
        <f t="shared" ca="1" si="323"/>
        <v>14.619666410165408</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7.3942604451680385</v>
      </c>
      <c r="AH763" s="357">
        <f t="shared" ca="1" si="347"/>
        <v>-1.4883442375531415</v>
      </c>
    </row>
    <row r="764" spans="1:34" x14ac:dyDescent="0.25">
      <c r="A764" s="402">
        <f t="shared" ca="1" si="325"/>
        <v>0.1</v>
      </c>
      <c r="B764" s="357">
        <f t="shared" ca="1" si="326"/>
        <v>31.00000000000011</v>
      </c>
      <c r="C764" s="342"/>
      <c r="D764" s="359">
        <f t="shared" ca="1" si="327"/>
        <v>-0.63677625227792278</v>
      </c>
      <c r="E764" s="360">
        <f t="shared" ca="1" si="328"/>
        <v>-8.4332524959806676</v>
      </c>
      <c r="F764" s="357">
        <f t="shared" ca="1" si="329"/>
        <v>8.4572591101626582</v>
      </c>
      <c r="G764" s="359">
        <f t="shared" ca="1" si="330"/>
        <v>34.171024795751968</v>
      </c>
      <c r="H764" s="360">
        <f t="shared" ca="1" si="331"/>
        <v>-74.860754354911791</v>
      </c>
      <c r="I764" s="357">
        <f t="shared" ca="1" si="332"/>
        <v>82.290895475613468</v>
      </c>
      <c r="J764" s="359">
        <f t="shared" ca="1" si="333"/>
        <v>1296.7211446293923</v>
      </c>
      <c r="K764" s="360">
        <f t="shared" ca="1" si="334"/>
        <v>2390.8289742356442</v>
      </c>
      <c r="L764" s="357">
        <f t="shared" ca="1" si="319"/>
        <v>2719.8435453116826</v>
      </c>
      <c r="M764" s="359">
        <f t="shared" ca="1" si="335"/>
        <v>-1.1425823280899843</v>
      </c>
      <c r="N764" s="357">
        <f t="shared" ca="1" si="336"/>
        <v>-65.465145145788028</v>
      </c>
      <c r="O764" s="343"/>
      <c r="P764" s="363">
        <f t="shared" ca="1" si="337"/>
        <v>23</v>
      </c>
      <c r="Q764" s="357">
        <f t="shared" ca="1" si="338"/>
        <v>0</v>
      </c>
      <c r="R764" s="359">
        <f t="shared" ca="1" si="339"/>
        <v>0</v>
      </c>
      <c r="S764" s="360">
        <f t="shared" ca="1" si="340"/>
        <v>9.637999999999975</v>
      </c>
      <c r="T764" s="357">
        <f t="shared" ca="1" si="320"/>
        <v>94.548779999999766</v>
      </c>
      <c r="U764" s="364">
        <f t="shared" ca="1" si="321"/>
        <v>0</v>
      </c>
      <c r="V764" s="359">
        <f t="shared" ca="1" si="322"/>
        <v>0.9633959748155202</v>
      </c>
      <c r="W764" s="357">
        <f t="shared" ca="1" si="323"/>
        <v>14.897333721075244</v>
      </c>
      <c r="X764" s="343"/>
      <c r="Y764" s="367" t="str">
        <f t="shared" ca="1" si="341"/>
        <v/>
      </c>
      <c r="Z764" s="368" t="str">
        <f t="shared" ca="1" si="342"/>
        <v/>
      </c>
      <c r="AA764" s="369" t="str">
        <f t="shared" ca="1" si="343"/>
        <v/>
      </c>
      <c r="AB764" s="344"/>
      <c r="AC764" s="363">
        <f t="shared" ca="1" si="344"/>
        <v>31.00000000000011</v>
      </c>
      <c r="AD764" s="376">
        <f t="shared" ca="1" si="345"/>
        <v>1296.7211446293923</v>
      </c>
      <c r="AE764" s="377" t="e">
        <f t="shared" ca="1" si="324"/>
        <v>#N/A</v>
      </c>
      <c r="AF764" s="344"/>
      <c r="AG764" s="359">
        <f t="shared" ca="1" si="346"/>
        <v>7.3868684272556955</v>
      </c>
      <c r="AH764" s="357">
        <f t="shared" ca="1" si="347"/>
        <v>-1.5168776105172697</v>
      </c>
    </row>
    <row r="765" spans="1:34" x14ac:dyDescent="0.25">
      <c r="A765" s="402">
        <f t="shared" ca="1" si="325"/>
        <v>0.1</v>
      </c>
      <c r="B765" s="357">
        <f t="shared" ca="1" si="326"/>
        <v>31.100000000000112</v>
      </c>
      <c r="C765" s="342"/>
      <c r="D765" s="359">
        <f t="shared" ca="1" si="327"/>
        <v>-0.64184156777886614</v>
      </c>
      <c r="E765" s="360">
        <f t="shared" ca="1" si="328"/>
        <v>-8.4038746576240104</v>
      </c>
      <c r="F765" s="357">
        <f t="shared" ca="1" si="329"/>
        <v>8.4283491775782462</v>
      </c>
      <c r="G765" s="359">
        <f t="shared" ca="1" si="330"/>
        <v>34.106840638974084</v>
      </c>
      <c r="H765" s="360">
        <f t="shared" ca="1" si="331"/>
        <v>-75.701141820674195</v>
      </c>
      <c r="I765" s="357">
        <f t="shared" ca="1" si="332"/>
        <v>83.029750399035905</v>
      </c>
      <c r="J765" s="359">
        <f t="shared" ca="1" si="333"/>
        <v>1300.1350379011285</v>
      </c>
      <c r="K765" s="360">
        <f t="shared" ca="1" si="334"/>
        <v>2383.3008794268649</v>
      </c>
      <c r="L765" s="357">
        <f t="shared" ca="1" si="319"/>
        <v>2714.8617273546429</v>
      </c>
      <c r="M765" s="359">
        <f t="shared" ca="1" si="335"/>
        <v>-1.1474885053206942</v>
      </c>
      <c r="N765" s="357">
        <f t="shared" ca="1" si="336"/>
        <v>-65.746248394650891</v>
      </c>
      <c r="O765" s="343"/>
      <c r="P765" s="363">
        <f t="shared" ca="1" si="337"/>
        <v>23</v>
      </c>
      <c r="Q765" s="357">
        <f t="shared" ca="1" si="338"/>
        <v>0</v>
      </c>
      <c r="R765" s="359">
        <f t="shared" ca="1" si="339"/>
        <v>0</v>
      </c>
      <c r="S765" s="360">
        <f t="shared" ca="1" si="340"/>
        <v>9.637999999999975</v>
      </c>
      <c r="T765" s="357">
        <f t="shared" ca="1" si="320"/>
        <v>94.548779999999766</v>
      </c>
      <c r="U765" s="364">
        <f t="shared" ca="1" si="321"/>
        <v>0</v>
      </c>
      <c r="V765" s="359">
        <f t="shared" ca="1" si="322"/>
        <v>0.96413199013633022</v>
      </c>
      <c r="W765" s="357">
        <f t="shared" ca="1" si="323"/>
        <v>15.177634862091491</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7.378556385089782</v>
      </c>
      <c r="AH765" s="357">
        <f t="shared" ca="1" si="347"/>
        <v>-1.5456872505784689</v>
      </c>
    </row>
    <row r="766" spans="1:34" x14ac:dyDescent="0.25">
      <c r="A766" s="402">
        <f t="shared" ca="1" si="325"/>
        <v>0.1</v>
      </c>
      <c r="B766" s="357">
        <f t="shared" ca="1" si="326"/>
        <v>31.200000000000113</v>
      </c>
      <c r="C766" s="342"/>
      <c r="D766" s="359">
        <f t="shared" ca="1" si="327"/>
        <v>-0.64688180856103683</v>
      </c>
      <c r="E766" s="360">
        <f t="shared" ca="1" si="328"/>
        <v>-8.3742266884392897</v>
      </c>
      <c r="F766" s="357">
        <f t="shared" ca="1" si="329"/>
        <v>8.3991742870127464</v>
      </c>
      <c r="G766" s="359">
        <f t="shared" ca="1" si="330"/>
        <v>34.042152458117982</v>
      </c>
      <c r="H766" s="360">
        <f t="shared" ca="1" si="331"/>
        <v>-76.538564489518123</v>
      </c>
      <c r="I766" s="357">
        <f t="shared" ca="1" si="332"/>
        <v>83.767654844205069</v>
      </c>
      <c r="J766" s="359">
        <f t="shared" ca="1" si="333"/>
        <v>1303.5424875559831</v>
      </c>
      <c r="K766" s="360">
        <f t="shared" ca="1" si="334"/>
        <v>2375.6888941113552</v>
      </c>
      <c r="L766" s="357">
        <f t="shared" ca="1" si="319"/>
        <v>2709.8193184173138</v>
      </c>
      <c r="M766" s="359">
        <f t="shared" ca="1" si="335"/>
        <v>-1.1522991367572955</v>
      </c>
      <c r="N766" s="357">
        <f t="shared" ca="1" si="336"/>
        <v>-66.021877272761088</v>
      </c>
      <c r="O766" s="343"/>
      <c r="P766" s="363">
        <f t="shared" ca="1" si="337"/>
        <v>23</v>
      </c>
      <c r="Q766" s="357">
        <f t="shared" ca="1" si="338"/>
        <v>0</v>
      </c>
      <c r="R766" s="359">
        <f t="shared" ca="1" si="339"/>
        <v>0</v>
      </c>
      <c r="S766" s="360">
        <f t="shared" ca="1" si="340"/>
        <v>9.637999999999975</v>
      </c>
      <c r="T766" s="357">
        <f t="shared" ca="1" si="320"/>
        <v>94.548779999999766</v>
      </c>
      <c r="U766" s="364">
        <f t="shared" ca="1" si="321"/>
        <v>0</v>
      </c>
      <c r="V766" s="359">
        <f t="shared" ca="1" si="322"/>
        <v>0.96487671091974347</v>
      </c>
      <c r="W766" s="357">
        <f t="shared" ca="1" si="323"/>
        <v>15.46054079183898</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7.3693516418216261</v>
      </c>
      <c r="AH766" s="357">
        <f t="shared" ca="1" si="347"/>
        <v>-1.5747701662265543</v>
      </c>
    </row>
    <row r="767" spans="1:34" x14ac:dyDescent="0.25">
      <c r="A767" s="402">
        <f t="shared" ca="1" si="325"/>
        <v>0.1</v>
      </c>
      <c r="B767" s="357">
        <f t="shared" ca="1" si="326"/>
        <v>31.300000000000114</v>
      </c>
      <c r="C767" s="342"/>
      <c r="D767" s="359">
        <f t="shared" ca="1" si="327"/>
        <v>-0.65189614712261723</v>
      </c>
      <c r="E767" s="360">
        <f t="shared" ca="1" si="328"/>
        <v>-8.3443113847340058</v>
      </c>
      <c r="F767" s="357">
        <f t="shared" ca="1" si="329"/>
        <v>8.3697372164265023</v>
      </c>
      <c r="G767" s="359">
        <f t="shared" ca="1" si="330"/>
        <v>33.976962843405722</v>
      </c>
      <c r="H767" s="360">
        <f t="shared" ca="1" si="331"/>
        <v>-77.372995627991529</v>
      </c>
      <c r="I767" s="357">
        <f t="shared" ca="1" si="332"/>
        <v>84.504523290243867</v>
      </c>
      <c r="J767" s="359">
        <f t="shared" ca="1" si="333"/>
        <v>1306.9434433210592</v>
      </c>
      <c r="K767" s="360">
        <f t="shared" ca="1" si="334"/>
        <v>2367.9933161054796</v>
      </c>
      <c r="L767" s="357">
        <f t="shared" ca="1" si="319"/>
        <v>2704.7169000026847</v>
      </c>
      <c r="M767" s="359">
        <f t="shared" ca="1" si="335"/>
        <v>-1.1570168475874951</v>
      </c>
      <c r="N767" s="357">
        <f t="shared" ca="1" si="336"/>
        <v>-66.292182192294689</v>
      </c>
      <c r="O767" s="343"/>
      <c r="P767" s="363">
        <f t="shared" ca="1" si="337"/>
        <v>23</v>
      </c>
      <c r="Q767" s="357">
        <f t="shared" ca="1" si="338"/>
        <v>0</v>
      </c>
      <c r="R767" s="359">
        <f t="shared" ca="1" si="339"/>
        <v>0</v>
      </c>
      <c r="S767" s="360">
        <f t="shared" ca="1" si="340"/>
        <v>9.637999999999975</v>
      </c>
      <c r="T767" s="357">
        <f t="shared" ca="1" si="320"/>
        <v>94.548779999999766</v>
      </c>
      <c r="U767" s="364">
        <f t="shared" ca="1" si="321"/>
        <v>0</v>
      </c>
      <c r="V767" s="359">
        <f t="shared" ca="1" si="322"/>
        <v>0.96563012526558889</v>
      </c>
      <c r="W767" s="357">
        <f t="shared" ca="1" si="323"/>
        <v>15.746022264196011</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7.359280478370974</v>
      </c>
      <c r="AH767" s="357">
        <f t="shared" ca="1" si="347"/>
        <v>-1.6041233442455924</v>
      </c>
    </row>
    <row r="768" spans="1:34" x14ac:dyDescent="0.25">
      <c r="A768" s="402">
        <f t="shared" ca="1" si="325"/>
        <v>0.1</v>
      </c>
      <c r="B768" s="357">
        <f t="shared" ca="1" si="326"/>
        <v>31.400000000000116</v>
      </c>
      <c r="C768" s="342"/>
      <c r="D768" s="359">
        <f t="shared" ca="1" si="327"/>
        <v>-0.65688378011102355</v>
      </c>
      <c r="E768" s="360">
        <f t="shared" ca="1" si="328"/>
        <v>-8.3141315764191983</v>
      </c>
      <c r="F768" s="357">
        <f t="shared" ca="1" si="329"/>
        <v>8.340040777513245</v>
      </c>
      <c r="G768" s="359">
        <f t="shared" ca="1" si="330"/>
        <v>33.911274465394619</v>
      </c>
      <c r="H768" s="360">
        <f t="shared" ca="1" si="331"/>
        <v>-78.204408785633447</v>
      </c>
      <c r="I768" s="357">
        <f t="shared" ca="1" si="332"/>
        <v>85.240272696524073</v>
      </c>
      <c r="J768" s="359">
        <f t="shared" ca="1" si="333"/>
        <v>1310.3378551864992</v>
      </c>
      <c r="K768" s="360">
        <f t="shared" ca="1" si="334"/>
        <v>2360.2144458847984</v>
      </c>
      <c r="L768" s="357">
        <f t="shared" ca="1" si="319"/>
        <v>2699.5550606161082</v>
      </c>
      <c r="M768" s="359">
        <f t="shared" ca="1" si="335"/>
        <v>-1.1616441760259044</v>
      </c>
      <c r="N768" s="357">
        <f t="shared" ca="1" si="336"/>
        <v>-66.557308582236416</v>
      </c>
      <c r="O768" s="343"/>
      <c r="P768" s="363">
        <f t="shared" ca="1" si="337"/>
        <v>23</v>
      </c>
      <c r="Q768" s="357">
        <f t="shared" ca="1" si="338"/>
        <v>0</v>
      </c>
      <c r="R768" s="359">
        <f t="shared" ca="1" si="339"/>
        <v>0</v>
      </c>
      <c r="S768" s="360">
        <f t="shared" ca="1" si="340"/>
        <v>9.637999999999975</v>
      </c>
      <c r="T768" s="357">
        <f t="shared" ca="1" si="320"/>
        <v>94.548779999999766</v>
      </c>
      <c r="U768" s="364">
        <f t="shared" ca="1" si="321"/>
        <v>0</v>
      </c>
      <c r="V768" s="359">
        <f t="shared" ca="1" si="322"/>
        <v>0.96639222115188717</v>
      </c>
      <c r="W768" s="357">
        <f t="shared" ca="1" si="323"/>
        <v>16.03404983280139</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7.3483681836857677</v>
      </c>
      <c r="AH768" s="357">
        <f t="shared" ca="1" si="347"/>
        <v>-1.6337437501759755</v>
      </c>
    </row>
    <row r="769" spans="1:34" x14ac:dyDescent="0.25">
      <c r="A769" s="402">
        <f t="shared" ca="1" si="325"/>
        <v>0.1</v>
      </c>
      <c r="B769" s="357">
        <f t="shared" ca="1" si="326"/>
        <v>31.500000000000117</v>
      </c>
      <c r="C769" s="342"/>
      <c r="D769" s="359">
        <f t="shared" ca="1" si="327"/>
        <v>-0.66184392753631449</v>
      </c>
      <c r="E769" s="360">
        <f t="shared" ca="1" si="328"/>
        <v>-8.2836901258560012</v>
      </c>
      <c r="F769" s="357">
        <f t="shared" ca="1" si="329"/>
        <v>8.3100878145553256</v>
      </c>
      <c r="G769" s="359">
        <f t="shared" ca="1" si="330"/>
        <v>33.845090072640986</v>
      </c>
      <c r="H769" s="360">
        <f t="shared" ca="1" si="331"/>
        <v>-79.032777798219044</v>
      </c>
      <c r="I769" s="357">
        <f t="shared" ca="1" si="332"/>
        <v>85.974822410563007</v>
      </c>
      <c r="J769" s="359">
        <f t="shared" ca="1" si="333"/>
        <v>1313.725673413401</v>
      </c>
      <c r="K769" s="360">
        <f t="shared" ca="1" si="334"/>
        <v>2352.3525865556057</v>
      </c>
      <c r="L769" s="357">
        <f t="shared" ca="1" si="319"/>
        <v>2694.3343958128771</v>
      </c>
      <c r="M769" s="359">
        <f t="shared" ca="1" si="335"/>
        <v>-1.1661835764402737</v>
      </c>
      <c r="N769" s="357">
        <f t="shared" ca="1" si="336"/>
        <v>-66.817397067499712</v>
      </c>
      <c r="O769" s="343"/>
      <c r="P769" s="363">
        <f t="shared" ca="1" si="337"/>
        <v>23</v>
      </c>
      <c r="Q769" s="357">
        <f t="shared" ca="1" si="338"/>
        <v>0</v>
      </c>
      <c r="R769" s="359">
        <f t="shared" ca="1" si="339"/>
        <v>0</v>
      </c>
      <c r="S769" s="360">
        <f t="shared" ca="1" si="340"/>
        <v>9.637999999999975</v>
      </c>
      <c r="T769" s="357">
        <f t="shared" ca="1" si="320"/>
        <v>94.548779999999766</v>
      </c>
      <c r="U769" s="364">
        <f t="shared" ca="1" si="321"/>
        <v>0</v>
      </c>
      <c r="V769" s="359">
        <f t="shared" ca="1" si="322"/>
        <v>0.96716298643536525</v>
      </c>
      <c r="W769" s="357">
        <f t="shared" ca="1" si="323"/>
        <v>16.324593855612708</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7.3366391025344644</v>
      </c>
      <c r="AH769" s="357">
        <f t="shared" ca="1" si="347"/>
        <v>-1.6636283287820535</v>
      </c>
    </row>
    <row r="770" spans="1:34" x14ac:dyDescent="0.25">
      <c r="A770" s="402">
        <f t="shared" ca="1" si="325"/>
        <v>0.1</v>
      </c>
      <c r="B770" s="357">
        <f t="shared" ca="1" si="326"/>
        <v>31.600000000000119</v>
      </c>
      <c r="C770" s="342"/>
      <c r="D770" s="359">
        <f t="shared" ca="1" si="327"/>
        <v>-0.66677583202319113</v>
      </c>
      <c r="E770" s="360">
        <f t="shared" ca="1" si="328"/>
        <v>-8.2529899267394846</v>
      </c>
      <c r="F770" s="357">
        <f t="shared" ca="1" si="329"/>
        <v>8.2798812033164833</v>
      </c>
      <c r="G770" s="359">
        <f t="shared" ca="1" si="330"/>
        <v>33.778412489438665</v>
      </c>
      <c r="H770" s="360">
        <f t="shared" ca="1" si="331"/>
        <v>-79.858076790892994</v>
      </c>
      <c r="I770" s="357">
        <f t="shared" ca="1" si="332"/>
        <v>86.708094080350008</v>
      </c>
      <c r="J770" s="359">
        <f t="shared" ca="1" si="333"/>
        <v>1317.1068485415049</v>
      </c>
      <c r="K770" s="360">
        <f t="shared" ca="1" si="334"/>
        <v>2344.4080438261503</v>
      </c>
      <c r="L770" s="357">
        <f t="shared" ca="1" si="319"/>
        <v>2689.0555082466581</v>
      </c>
      <c r="M770" s="359">
        <f t="shared" ca="1" si="335"/>
        <v>-1.170637422373118</v>
      </c>
      <c r="N770" s="357">
        <f t="shared" ca="1" si="336"/>
        <v>-67.072583642053189</v>
      </c>
      <c r="O770" s="343"/>
      <c r="P770" s="363">
        <f t="shared" ca="1" si="337"/>
        <v>23</v>
      </c>
      <c r="Q770" s="357">
        <f t="shared" ca="1" si="338"/>
        <v>0</v>
      </c>
      <c r="R770" s="359">
        <f t="shared" ca="1" si="339"/>
        <v>0</v>
      </c>
      <c r="S770" s="360">
        <f t="shared" ca="1" si="340"/>
        <v>9.637999999999975</v>
      </c>
      <c r="T770" s="357">
        <f t="shared" ca="1" si="320"/>
        <v>94.548779999999766</v>
      </c>
      <c r="U770" s="364">
        <f t="shared" ca="1" si="321"/>
        <v>0</v>
      </c>
      <c r="V770" s="359">
        <f t="shared" ca="1" si="322"/>
        <v>0.96794240885199434</v>
      </c>
      <c r="W770" s="357">
        <f t="shared" ca="1" si="323"/>
        <v>16.617624499513944</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7.3241166809376521</v>
      </c>
      <c r="AH770" s="357">
        <f t="shared" ca="1" si="347"/>
        <v>-1.6937740045250831</v>
      </c>
    </row>
    <row r="771" spans="1:34" x14ac:dyDescent="0.25">
      <c r="A771" s="402">
        <f t="shared" ca="1" si="325"/>
        <v>0.1</v>
      </c>
      <c r="B771" s="357">
        <f t="shared" ca="1" si="326"/>
        <v>31.70000000000012</v>
      </c>
      <c r="C771" s="342"/>
      <c r="D771" s="359">
        <f t="shared" ca="1" si="327"/>
        <v>-0.67167875809962618</v>
      </c>
      <c r="E771" s="360">
        <f t="shared" ca="1" si="328"/>
        <v>-8.2220339030171239</v>
      </c>
      <c r="F771" s="357">
        <f t="shared" ca="1" si="329"/>
        <v>8.2494238499694781</v>
      </c>
      <c r="G771" s="359">
        <f t="shared" ca="1" si="330"/>
        <v>33.711244613628701</v>
      </c>
      <c r="H771" s="360">
        <f t="shared" ca="1" si="331"/>
        <v>-80.680280181194703</v>
      </c>
      <c r="I771" s="357">
        <f t="shared" ca="1" si="332"/>
        <v>87.440011570882064</v>
      </c>
      <c r="J771" s="359">
        <f t="shared" ca="1" si="333"/>
        <v>1320.4813313966583</v>
      </c>
      <c r="K771" s="360">
        <f t="shared" ca="1" si="334"/>
        <v>2336.3811259775462</v>
      </c>
      <c r="L771" s="357">
        <f t="shared" ca="1" si="319"/>
        <v>2683.7190077188034</v>
      </c>
      <c r="M771" s="359">
        <f t="shared" ca="1" si="335"/>
        <v>-1.1750080094603297</v>
      </c>
      <c r="N771" s="357">
        <f t="shared" ca="1" si="336"/>
        <v>-67.322999836144803</v>
      </c>
      <c r="O771" s="343"/>
      <c r="P771" s="363">
        <f t="shared" ca="1" si="337"/>
        <v>23</v>
      </c>
      <c r="Q771" s="357">
        <f t="shared" ca="1" si="338"/>
        <v>0</v>
      </c>
      <c r="R771" s="359">
        <f t="shared" ca="1" si="339"/>
        <v>0</v>
      </c>
      <c r="S771" s="360">
        <f t="shared" ca="1" si="340"/>
        <v>9.637999999999975</v>
      </c>
      <c r="T771" s="357">
        <f t="shared" ca="1" si="320"/>
        <v>94.548779999999766</v>
      </c>
      <c r="U771" s="364">
        <f t="shared" ca="1" si="321"/>
        <v>0</v>
      </c>
      <c r="V771" s="359">
        <f t="shared" ca="1" si="322"/>
        <v>0.96873047601754358</v>
      </c>
      <c r="W771" s="357">
        <f t="shared" ca="1" si="323"/>
        <v>16.91311174497006</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7.3108235093434217</v>
      </c>
      <c r="AH771" s="357">
        <f t="shared" ca="1" si="347"/>
        <v>-1.7241776820412935</v>
      </c>
    </row>
    <row r="772" spans="1:34" x14ac:dyDescent="0.25">
      <c r="A772" s="402">
        <f t="shared" ca="1" si="325"/>
        <v>0.1</v>
      </c>
      <c r="B772" s="357">
        <f t="shared" ca="1" si="326"/>
        <v>31.800000000000122</v>
      </c>
      <c r="C772" s="342"/>
      <c r="D772" s="359">
        <f t="shared" ca="1" si="327"/>
        <v>-0.67655199152022383</v>
      </c>
      <c r="E772" s="360">
        <f t="shared" ca="1" si="328"/>
        <v>-8.1908250078393827</v>
      </c>
      <c r="F772" s="357">
        <f t="shared" ca="1" si="329"/>
        <v>8.2187186900560718</v>
      </c>
      <c r="G772" s="359">
        <f t="shared" ca="1" si="330"/>
        <v>33.643589414476679</v>
      </c>
      <c r="H772" s="360">
        <f t="shared" ca="1" si="331"/>
        <v>-81.499362681978639</v>
      </c>
      <c r="I772" s="357">
        <f t="shared" ca="1" si="332"/>
        <v>88.170500884698271</v>
      </c>
      <c r="J772" s="359">
        <f t="shared" ca="1" si="333"/>
        <v>1323.8490730980636</v>
      </c>
      <c r="K772" s="360">
        <f t="shared" ca="1" si="334"/>
        <v>2328.2721438343874</v>
      </c>
      <c r="L772" s="357">
        <f t="shared" ref="L772:L835" ca="1" si="348">SQRT(pos_x^2+pos_z^2)</f>
        <v>2678.3255112285692</v>
      </c>
      <c r="M772" s="359">
        <f t="shared" ca="1" si="335"/>
        <v>-1.1792975582486394</v>
      </c>
      <c r="N772" s="357">
        <f t="shared" ca="1" si="336"/>
        <v>-67.568772877730396</v>
      </c>
      <c r="O772" s="343"/>
      <c r="P772" s="363">
        <f t="shared" ca="1" si="337"/>
        <v>23</v>
      </c>
      <c r="Q772" s="357">
        <f t="shared" ca="1" si="338"/>
        <v>0</v>
      </c>
      <c r="R772" s="359">
        <f t="shared" ca="1" si="339"/>
        <v>0</v>
      </c>
      <c r="S772" s="360">
        <f t="shared" ca="1" si="340"/>
        <v>9.637999999999975</v>
      </c>
      <c r="T772" s="357">
        <f t="shared" ref="T772:T835" ca="1" si="349">m*g</f>
        <v>94.548779999999766</v>
      </c>
      <c r="U772" s="364">
        <f t="shared" ref="U772:U835" ca="1" si="350">IF(pos_xz&lt;L_rampe,Poids*COS(Beta),0)</f>
        <v>0</v>
      </c>
      <c r="V772" s="359">
        <f t="shared" ref="V772:V835" ca="1" si="351">Rho_moyen*(20000-Alt_rampe-pos_z)/(20000+Alt_rampe+pos_z)</f>
        <v>0.9695271754281537</v>
      </c>
      <c r="W772" s="357">
        <f t="shared" ref="W772:W835" ca="1" si="352">1/2*Rho*Sref*Cx*vit_xz^2</f>
        <v>17.211025390726732</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7.2967813636487344</v>
      </c>
      <c r="AH772" s="357">
        <f t="shared" ca="1" si="347"/>
        <v>-1.7548362466248291</v>
      </c>
    </row>
    <row r="773" spans="1:34" x14ac:dyDescent="0.25">
      <c r="A773" s="402">
        <f t="shared" ref="A773:A836" ca="1" si="354">IF(B772+0.01&lt;=T_ini+ROUNDUP(Temps_fin_propu,0), 0.01, IF(K772&gt;0, 0.1, 0.0001))</f>
        <v>0.1</v>
      </c>
      <c r="B773" s="357">
        <f t="shared" ref="B773:B836" ca="1" si="355">B772+pas</f>
        <v>31.900000000000123</v>
      </c>
      <c r="C773" s="342"/>
      <c r="D773" s="359">
        <f t="shared" ref="D773:D836" ca="1" si="356">IF(AND(L772&lt;L_rampe,Poussee&lt;Poids*SIN(M772)),0,(-W772+Poussee)/m*COS(M772)-U772/m*SIN(M772))</f>
        <v>-0.68139483862252581</v>
      </c>
      <c r="E773" s="360">
        <f t="shared" ref="E773:E836" ca="1" si="357">IF(AND(L772&lt;L_rampe,Poussee&lt;Poids*SIN(M772)),0,(-W772+Poussee)/m*SIN(M772)+U772/m*COS(M772)-Poids/m)</f>
        <v>-8.1593662225401609</v>
      </c>
      <c r="F773" s="357">
        <f t="shared" ref="F773:F836" ca="1" si="358">SQRT(acc_x^2+acc_z^2)</f>
        <v>8.1877686874771154</v>
      </c>
      <c r="G773" s="359">
        <f t="shared" ref="G773:G836" ca="1" si="359">G772+acc_x*pas</f>
        <v>33.575449930614425</v>
      </c>
      <c r="H773" s="360">
        <f t="shared" ref="H773:H836" ca="1" si="360">H772+acc_z*pas</f>
        <v>-82.315299304232653</v>
      </c>
      <c r="I773" s="357">
        <f t="shared" ref="I773:I836" ca="1" si="361">SQRT(vit_x^2+vit_z^2)</f>
        <v>88.899490086212538</v>
      </c>
      <c r="J773" s="359">
        <f t="shared" ref="J773:J836" ca="1" si="362">J772+0.5*(vit_x+G772)*pas*(K772&gt;=0)</f>
        <v>1327.2100250653182</v>
      </c>
      <c r="K773" s="360">
        <f t="shared" ref="K773:K836" ca="1" si="363">K772+0.5*(vit_z+H772)*pas</f>
        <v>2320.081410735077</v>
      </c>
      <c r="L773" s="357">
        <f t="shared" ca="1" si="348"/>
        <v>2672.8756430242593</v>
      </c>
      <c r="M773" s="359">
        <f t="shared" ref="M773:M836" ca="1" si="364">IF(AND(L772&gt;L_rampe,G773&gt;0),ATAN2(G773,H773),$M$4)</f>
        <v>-1.1835082169140045</v>
      </c>
      <c r="N773" s="357">
        <f t="shared" ref="N773:N836" ca="1" si="365">DEGREES(Beta)</f>
        <v>-67.810025848226005</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9.637999999999975</v>
      </c>
      <c r="T773" s="357">
        <f t="shared" ca="1" si="349"/>
        <v>94.548779999999766</v>
      </c>
      <c r="U773" s="364">
        <f t="shared" ca="1" si="350"/>
        <v>0</v>
      </c>
      <c r="V773" s="359">
        <f t="shared" ca="1" si="351"/>
        <v>0.97033249446092684</v>
      </c>
      <c r="W773" s="357">
        <f t="shared" ca="1" si="352"/>
        <v>17.511335058553154</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7.282011244166064</v>
      </c>
      <c r="AH773" s="357">
        <f t="shared" ref="AH773:AH836" ca="1" si="376">IF(AND(L772&lt;L_rampe,Poussee&lt;Poids*SIN(M772)), g*SIN(M772), (-W772+Poussee)/m)</f>
        <v>-1.7857465647153743</v>
      </c>
    </row>
    <row r="774" spans="1:34" x14ac:dyDescent="0.25">
      <c r="A774" s="402">
        <f t="shared" ca="1" si="354"/>
        <v>0.1</v>
      </c>
      <c r="B774" s="357">
        <f t="shared" ca="1" si="355"/>
        <v>32.000000000000121</v>
      </c>
      <c r="C774" s="342"/>
      <c r="D774" s="359">
        <f t="shared" ca="1" si="356"/>
        <v>-0.68620662571454416</v>
      </c>
      <c r="E774" s="360">
        <f t="shared" ca="1" si="357"/>
        <v>-8.1276605556449635</v>
      </c>
      <c r="F774" s="357">
        <f t="shared" ca="1" si="358"/>
        <v>8.1565768335105826</v>
      </c>
      <c r="G774" s="359">
        <f t="shared" ca="1" si="359"/>
        <v>33.506829268042971</v>
      </c>
      <c r="H774" s="360">
        <f t="shared" ca="1" si="360"/>
        <v>-83.128065359797148</v>
      </c>
      <c r="I774" s="357">
        <f t="shared" ca="1" si="361"/>
        <v>89.626909229653165</v>
      </c>
      <c r="J774" s="359">
        <f t="shared" ca="1" si="362"/>
        <v>1330.5641390252511</v>
      </c>
      <c r="K774" s="360">
        <f t="shared" ca="1" si="363"/>
        <v>2311.8092425018754</v>
      </c>
      <c r="L774" s="357">
        <f t="shared" ca="1" si="348"/>
        <v>2667.370034655316</v>
      </c>
      <c r="M774" s="359">
        <f t="shared" ca="1" si="364"/>
        <v>-1.1876420638831802</v>
      </c>
      <c r="N774" s="357">
        <f t="shared" ca="1" si="365"/>
        <v>-68.046877832712724</v>
      </c>
      <c r="O774" s="343"/>
      <c r="P774" s="363">
        <f t="shared" ca="1" si="366"/>
        <v>23</v>
      </c>
      <c r="Q774" s="357">
        <f t="shared" ca="1" si="367"/>
        <v>0</v>
      </c>
      <c r="R774" s="359">
        <f t="shared" ca="1" si="368"/>
        <v>0</v>
      </c>
      <c r="S774" s="360">
        <f t="shared" ca="1" si="369"/>
        <v>9.637999999999975</v>
      </c>
      <c r="T774" s="357">
        <f t="shared" ca="1" si="349"/>
        <v>94.548779999999766</v>
      </c>
      <c r="U774" s="364">
        <f t="shared" ca="1" si="350"/>
        <v>0</v>
      </c>
      <c r="V774" s="359">
        <f t="shared" ca="1" si="351"/>
        <v>0.9711464203745368</v>
      </c>
      <c r="W774" s="357">
        <f t="shared" ca="1" si="352"/>
        <v>17.814010198025958</v>
      </c>
      <c r="X774" s="343"/>
      <c r="Y774" s="367" t="str">
        <f t="shared" ca="1" si="370"/>
        <v/>
      </c>
      <c r="Z774" s="368" t="str">
        <f t="shared" ca="1" si="371"/>
        <v/>
      </c>
      <c r="AA774" s="369" t="str">
        <f t="shared" ca="1" si="372"/>
        <v/>
      </c>
      <c r="AB774" s="344"/>
      <c r="AC774" s="363">
        <f t="shared" ca="1" si="373"/>
        <v>32.000000000000121</v>
      </c>
      <c r="AD774" s="376">
        <f t="shared" ca="1" si="374"/>
        <v>1330.5641390252511</v>
      </c>
      <c r="AE774" s="377" t="e">
        <f t="shared" ca="1" si="353"/>
        <v>#N/A</v>
      </c>
      <c r="AF774" s="344"/>
      <c r="AG774" s="359">
        <f t="shared" ca="1" si="375"/>
        <v>7.2665334126317287</v>
      </c>
      <c r="AH774" s="357">
        <f t="shared" ca="1" si="376"/>
        <v>-1.8169054843902468</v>
      </c>
    </row>
    <row r="775" spans="1:34" x14ac:dyDescent="0.25">
      <c r="A775" s="402">
        <f t="shared" ca="1" si="354"/>
        <v>0.1</v>
      </c>
      <c r="B775" s="357">
        <f t="shared" ca="1" si="355"/>
        <v>32.100000000000122</v>
      </c>
      <c r="C775" s="342"/>
      <c r="D775" s="359">
        <f t="shared" ca="1" si="356"/>
        <v>-0.69098669849189742</v>
      </c>
      <c r="E775" s="360">
        <f t="shared" ca="1" si="357"/>
        <v>-8.0957110419048668</v>
      </c>
      <c r="F775" s="357">
        <f t="shared" ca="1" si="358"/>
        <v>8.1251461458556609</v>
      </c>
      <c r="G775" s="359">
        <f t="shared" ca="1" si="359"/>
        <v>33.437730598193781</v>
      </c>
      <c r="H775" s="360">
        <f t="shared" ca="1" si="360"/>
        <v>-83.93763646398763</v>
      </c>
      <c r="I775" s="357">
        <f t="shared" ca="1" si="361"/>
        <v>90.352690290427603</v>
      </c>
      <c r="J775" s="359">
        <f t="shared" ca="1" si="362"/>
        <v>1333.9113670185629</v>
      </c>
      <c r="K775" s="360">
        <f t="shared" ca="1" si="363"/>
        <v>2303.4559574106861</v>
      </c>
      <c r="L775" s="357">
        <f t="shared" ca="1" si="348"/>
        <v>2661.8093250253883</v>
      </c>
      <c r="M775" s="359">
        <f t="shared" ca="1" si="364"/>
        <v>-1.1917011103608588</v>
      </c>
      <c r="N775" s="357">
        <f t="shared" ca="1" si="365"/>
        <v>-68.279444064731152</v>
      </c>
      <c r="O775" s="343"/>
      <c r="P775" s="363">
        <f t="shared" ca="1" si="366"/>
        <v>23</v>
      </c>
      <c r="Q775" s="357">
        <f t="shared" ca="1" si="367"/>
        <v>0</v>
      </c>
      <c r="R775" s="359">
        <f t="shared" ca="1" si="368"/>
        <v>0</v>
      </c>
      <c r="S775" s="360">
        <f t="shared" ca="1" si="369"/>
        <v>9.637999999999975</v>
      </c>
      <c r="T775" s="357">
        <f t="shared" ca="1" si="349"/>
        <v>94.548779999999766</v>
      </c>
      <c r="U775" s="364">
        <f t="shared" ca="1" si="350"/>
        <v>0</v>
      </c>
      <c r="V775" s="359">
        <f t="shared" ca="1" si="351"/>
        <v>0.9719689403098517</v>
      </c>
      <c r="W775" s="357">
        <f t="shared" ca="1" si="352"/>
        <v>18.119020091352372</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7.2503674273489986</v>
      </c>
      <c r="AH775" s="357">
        <f t="shared" ca="1" si="376"/>
        <v>-1.8483098358607599</v>
      </c>
    </row>
    <row r="776" spans="1:34" x14ac:dyDescent="0.25">
      <c r="A776" s="402">
        <f t="shared" ca="1" si="354"/>
        <v>0.1</v>
      </c>
      <c r="B776" s="357">
        <f t="shared" ca="1" si="355"/>
        <v>32.200000000000124</v>
      </c>
      <c r="C776" s="342"/>
      <c r="D776" s="359">
        <f t="shared" ca="1" si="356"/>
        <v>-0.69573442148299824</v>
      </c>
      <c r="E776" s="360">
        <f t="shared" ca="1" si="357"/>
        <v>-8.0635207413544645</v>
      </c>
      <c r="F776" s="357">
        <f t="shared" ca="1" si="358"/>
        <v>8.0934796677010272</v>
      </c>
      <c r="G776" s="359">
        <f t="shared" ca="1" si="359"/>
        <v>33.368157156045484</v>
      </c>
      <c r="H776" s="360">
        <f t="shared" ca="1" si="360"/>
        <v>-84.743988538123077</v>
      </c>
      <c r="I776" s="357">
        <f t="shared" ca="1" si="361"/>
        <v>91.076767099738916</v>
      </c>
      <c r="J776" s="359">
        <f t="shared" ca="1" si="362"/>
        <v>1337.2516614062749</v>
      </c>
      <c r="K776" s="360">
        <f t="shared" ca="1" si="363"/>
        <v>2295.0218761605806</v>
      </c>
      <c r="L776" s="357">
        <f t="shared" ca="1" si="348"/>
        <v>2656.1941604463846</v>
      </c>
      <c r="M776" s="359">
        <f t="shared" ca="1" si="364"/>
        <v>-1.1956873027648749</v>
      </c>
      <c r="N776" s="357">
        <f t="shared" ca="1" si="365"/>
        <v>-68.507836065808377</v>
      </c>
      <c r="O776" s="343"/>
      <c r="P776" s="363">
        <f t="shared" ca="1" si="366"/>
        <v>23</v>
      </c>
      <c r="Q776" s="357">
        <f t="shared" ca="1" si="367"/>
        <v>0</v>
      </c>
      <c r="R776" s="359">
        <f t="shared" ca="1" si="368"/>
        <v>0</v>
      </c>
      <c r="S776" s="360">
        <f t="shared" ca="1" si="369"/>
        <v>9.637999999999975</v>
      </c>
      <c r="T776" s="357">
        <f t="shared" ca="1" si="349"/>
        <v>94.548779999999766</v>
      </c>
      <c r="U776" s="364">
        <f t="shared" ca="1" si="350"/>
        <v>0</v>
      </c>
      <c r="V776" s="359">
        <f t="shared" ca="1" si="351"/>
        <v>0.97280004129057529</v>
      </c>
      <c r="W776" s="357">
        <f t="shared" ca="1" si="352"/>
        <v>18.426333858230709</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7.2335321765558831</v>
      </c>
      <c r="AH776" s="357">
        <f t="shared" ca="1" si="376"/>
        <v>-1.8799564319726518</v>
      </c>
    </row>
    <row r="777" spans="1:34" x14ac:dyDescent="0.25">
      <c r="A777" s="402">
        <f t="shared" ca="1" si="354"/>
        <v>0.1</v>
      </c>
      <c r="B777" s="357">
        <f t="shared" ca="1" si="355"/>
        <v>32.300000000000125</v>
      </c>
      <c r="C777" s="342"/>
      <c r="D777" s="359">
        <f t="shared" ca="1" si="356"/>
        <v>-0.7004491775208207</v>
      </c>
      <c r="E777" s="360">
        <f t="shared" ca="1" si="357"/>
        <v>-8.0310927383921236</v>
      </c>
      <c r="F777" s="357">
        <f t="shared" ca="1" si="358"/>
        <v>8.0615804668156912</v>
      </c>
      <c r="G777" s="359">
        <f t="shared" ca="1" si="359"/>
        <v>33.298112238293399</v>
      </c>
      <c r="H777" s="360">
        <f t="shared" ca="1" si="360"/>
        <v>-85.547097811962288</v>
      </c>
      <c r="I777" s="357">
        <f t="shared" ca="1" si="361"/>
        <v>91.799075282289351</v>
      </c>
      <c r="J777" s="359">
        <f t="shared" ca="1" si="362"/>
        <v>1340.584974875992</v>
      </c>
      <c r="K777" s="360">
        <f t="shared" ca="1" si="363"/>
        <v>2286.5073218430762</v>
      </c>
      <c r="L777" s="357">
        <f t="shared" ca="1" si="348"/>
        <v>2650.5251946935464</v>
      </c>
      <c r="M777" s="359">
        <f t="shared" ca="1" si="364"/>
        <v>-1.1996025250720375</v>
      </c>
      <c r="N777" s="357">
        <f t="shared" ca="1" si="365"/>
        <v>-68.732161779864271</v>
      </c>
      <c r="O777" s="343"/>
      <c r="P777" s="363">
        <f t="shared" ca="1" si="366"/>
        <v>23</v>
      </c>
      <c r="Q777" s="357">
        <f t="shared" ca="1" si="367"/>
        <v>0</v>
      </c>
      <c r="R777" s="359">
        <f t="shared" ca="1" si="368"/>
        <v>0</v>
      </c>
      <c r="S777" s="360">
        <f t="shared" ca="1" si="369"/>
        <v>9.637999999999975</v>
      </c>
      <c r="T777" s="357">
        <f t="shared" ca="1" si="349"/>
        <v>94.548779999999766</v>
      </c>
      <c r="U777" s="364">
        <f t="shared" ca="1" si="350"/>
        <v>0</v>
      </c>
      <c r="V777" s="359">
        <f t="shared" ca="1" si="351"/>
        <v>0.97363971022390505</v>
      </c>
      <c r="W777" s="357">
        <f t="shared" ca="1" si="352"/>
        <v>18.735920460746357</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7.2160459101040271</v>
      </c>
      <c r="AH777" s="357">
        <f t="shared" ca="1" si="376"/>
        <v>-1.9118420687103919</v>
      </c>
    </row>
    <row r="778" spans="1:34" x14ac:dyDescent="0.25">
      <c r="A778" s="402">
        <f t="shared" ca="1" si="354"/>
        <v>0.1</v>
      </c>
      <c r="B778" s="357">
        <f t="shared" ca="1" si="355"/>
        <v>32.400000000000126</v>
      </c>
      <c r="C778" s="342"/>
      <c r="D778" s="359">
        <f t="shared" ca="1" si="356"/>
        <v>-0.70513036723984901</v>
      </c>
      <c r="E778" s="360">
        <f t="shared" ca="1" si="357"/>
        <v>-7.9984301408810481</v>
      </c>
      <c r="F778" s="357">
        <f t="shared" ca="1" si="358"/>
        <v>8.0294516346608766</v>
      </c>
      <c r="G778" s="359">
        <f t="shared" ca="1" si="359"/>
        <v>33.227599201569411</v>
      </c>
      <c r="H778" s="360">
        <f t="shared" ca="1" si="360"/>
        <v>-86.3469408260504</v>
      </c>
      <c r="I778" s="357">
        <f t="shared" ca="1" si="361"/>
        <v>92.519552196914503</v>
      </c>
      <c r="J778" s="359">
        <f t="shared" ca="1" si="362"/>
        <v>1343.9112604479851</v>
      </c>
      <c r="K778" s="360">
        <f t="shared" ca="1" si="363"/>
        <v>2277.9126199111756</v>
      </c>
      <c r="L778" s="357">
        <f t="shared" ca="1" si="348"/>
        <v>2644.8030890615446</v>
      </c>
      <c r="M778" s="359">
        <f t="shared" ca="1" si="364"/>
        <v>-1.2034486010772121</v>
      </c>
      <c r="N778" s="357">
        <f t="shared" ca="1" si="365"/>
        <v>-68.952525702647307</v>
      </c>
      <c r="O778" s="343"/>
      <c r="P778" s="363">
        <f t="shared" ca="1" si="366"/>
        <v>23</v>
      </c>
      <c r="Q778" s="357">
        <f t="shared" ca="1" si="367"/>
        <v>0</v>
      </c>
      <c r="R778" s="359">
        <f t="shared" ca="1" si="368"/>
        <v>0</v>
      </c>
      <c r="S778" s="360">
        <f t="shared" ca="1" si="369"/>
        <v>9.637999999999975</v>
      </c>
      <c r="T778" s="357">
        <f t="shared" ca="1" si="349"/>
        <v>94.548779999999766</v>
      </c>
      <c r="U778" s="364">
        <f t="shared" ca="1" si="350"/>
        <v>0</v>
      </c>
      <c r="V778" s="359">
        <f t="shared" ca="1" si="351"/>
        <v>0.97448793390120458</v>
      </c>
      <c r="W778" s="357">
        <f t="shared" ca="1" si="352"/>
        <v>19.047748708301476</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7.1979262695317887</v>
      </c>
      <c r="AH778" s="357">
        <f t="shared" ca="1" si="376"/>
        <v>-1.9439635257051675</v>
      </c>
    </row>
    <row r="779" spans="1:34" x14ac:dyDescent="0.25">
      <c r="A779" s="402">
        <f t="shared" ca="1" si="354"/>
        <v>0.1</v>
      </c>
      <c r="B779" s="357">
        <f t="shared" ca="1" si="355"/>
        <v>32.500000000000128</v>
      </c>
      <c r="C779" s="342"/>
      <c r="D779" s="359">
        <f t="shared" ca="1" si="356"/>
        <v>-0.70977740859687544</v>
      </c>
      <c r="E779" s="360">
        <f t="shared" ca="1" si="357"/>
        <v>-7.9655360792696976</v>
      </c>
      <c r="F779" s="357">
        <f t="shared" ca="1" si="358"/>
        <v>7.9970962855214998</v>
      </c>
      <c r="G779" s="359">
        <f t="shared" ca="1" si="359"/>
        <v>33.156621460709722</v>
      </c>
      <c r="H779" s="360">
        <f t="shared" ca="1" si="360"/>
        <v>-87.143494433977366</v>
      </c>
      <c r="I779" s="357">
        <f t="shared" ca="1" si="361"/>
        <v>93.238136879999061</v>
      </c>
      <c r="J779" s="359">
        <f t="shared" ca="1" si="362"/>
        <v>1347.2304714810991</v>
      </c>
      <c r="K779" s="360">
        <f t="shared" ca="1" si="363"/>
        <v>2269.2380981481742</v>
      </c>
      <c r="L779" s="357">
        <f t="shared" ca="1" si="348"/>
        <v>2639.0285124216311</v>
      </c>
      <c r="M779" s="359">
        <f t="shared" ca="1" si="364"/>
        <v>-1.207227296568294</v>
      </c>
      <c r="N779" s="357">
        <f t="shared" ca="1" si="365"/>
        <v>-69.169029006351408</v>
      </c>
      <c r="O779" s="343"/>
      <c r="P779" s="363">
        <f t="shared" ca="1" si="366"/>
        <v>23</v>
      </c>
      <c r="Q779" s="357">
        <f t="shared" ca="1" si="367"/>
        <v>0</v>
      </c>
      <c r="R779" s="359">
        <f t="shared" ca="1" si="368"/>
        <v>0</v>
      </c>
      <c r="S779" s="360">
        <f t="shared" ca="1" si="369"/>
        <v>9.637999999999975</v>
      </c>
      <c r="T779" s="357">
        <f t="shared" ca="1" si="349"/>
        <v>94.548779999999766</v>
      </c>
      <c r="U779" s="364">
        <f t="shared" ca="1" si="350"/>
        <v>0</v>
      </c>
      <c r="V779" s="359">
        <f t="shared" ca="1" si="351"/>
        <v>0.97534469899869003</v>
      </c>
      <c r="W779" s="357">
        <f t="shared" ca="1" si="352"/>
        <v>19.361787262576463</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7.1791903166111082</v>
      </c>
      <c r="AH779" s="357">
        <f t="shared" ca="1" si="376"/>
        <v>-1.9763175667463713</v>
      </c>
    </row>
    <row r="780" spans="1:34" x14ac:dyDescent="0.25">
      <c r="A780" s="402">
        <f t="shared" ca="1" si="354"/>
        <v>0.1</v>
      </c>
      <c r="B780" s="357">
        <f t="shared" ca="1" si="355"/>
        <v>32.600000000000129</v>
      </c>
      <c r="C780" s="342"/>
      <c r="D780" s="359">
        <f t="shared" ca="1" si="356"/>
        <v>-0.71438973641438541</v>
      </c>
      <c r="E780" s="360">
        <f t="shared" ca="1" si="357"/>
        <v>-7.9324137057302888</v>
      </c>
      <c r="F780" s="357">
        <f t="shared" ca="1" si="358"/>
        <v>7.9645175556559575</v>
      </c>
      <c r="G780" s="359">
        <f t="shared" ca="1" si="359"/>
        <v>33.08518248706828</v>
      </c>
      <c r="H780" s="360">
        <f t="shared" ca="1" si="360"/>
        <v>-87.936735804550395</v>
      </c>
      <c r="I780" s="357">
        <f t="shared" ca="1" si="361"/>
        <v>93.954769991533183</v>
      </c>
      <c r="J780" s="359">
        <f t="shared" ca="1" si="362"/>
        <v>1350.542561678488</v>
      </c>
      <c r="K780" s="360">
        <f t="shared" ca="1" si="363"/>
        <v>2260.4840866362479</v>
      </c>
      <c r="L780" s="357">
        <f t="shared" ca="1" si="348"/>
        <v>2633.2021412798531</v>
      </c>
      <c r="M780" s="359">
        <f t="shared" ca="1" si="364"/>
        <v>-1.2109403214197365</v>
      </c>
      <c r="N780" s="357">
        <f t="shared" ca="1" si="365"/>
        <v>-69.38176965956626</v>
      </c>
      <c r="O780" s="343"/>
      <c r="P780" s="363">
        <f t="shared" ca="1" si="366"/>
        <v>23</v>
      </c>
      <c r="Q780" s="357">
        <f t="shared" ca="1" si="367"/>
        <v>0</v>
      </c>
      <c r="R780" s="359">
        <f t="shared" ca="1" si="368"/>
        <v>0</v>
      </c>
      <c r="S780" s="360">
        <f t="shared" ca="1" si="369"/>
        <v>9.637999999999975</v>
      </c>
      <c r="T780" s="357">
        <f t="shared" ca="1" si="349"/>
        <v>94.548779999999766</v>
      </c>
      <c r="U780" s="364">
        <f t="shared" ca="1" si="350"/>
        <v>0</v>
      </c>
      <c r="V780" s="359">
        <f t="shared" ca="1" si="351"/>
        <v>0.97620999207813397</v>
      </c>
      <c r="W780" s="357">
        <f t="shared" ca="1" si="352"/>
        <v>19.67800464252176</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7.1598545604444528</v>
      </c>
      <c r="AH780" s="357">
        <f t="shared" ca="1" si="376"/>
        <v>-2.0089009402963804</v>
      </c>
    </row>
    <row r="781" spans="1:34" x14ac:dyDescent="0.25">
      <c r="A781" s="402">
        <f t="shared" ca="1" si="354"/>
        <v>0.1</v>
      </c>
      <c r="B781" s="357">
        <f t="shared" ca="1" si="355"/>
        <v>32.700000000000131</v>
      </c>
      <c r="C781" s="342"/>
      <c r="D781" s="359">
        <f t="shared" ca="1" si="356"/>
        <v>-0.71896680194533746</v>
      </c>
      <c r="E781" s="360">
        <f t="shared" ca="1" si="357"/>
        <v>-7.8990661933141437</v>
      </c>
      <c r="F781" s="357">
        <f t="shared" ca="1" si="358"/>
        <v>7.9317186024630182</v>
      </c>
      <c r="G781" s="359">
        <f t="shared" ca="1" si="359"/>
        <v>33.013285806873746</v>
      </c>
      <c r="H781" s="360">
        <f t="shared" ca="1" si="360"/>
        <v>-88.726642423881813</v>
      </c>
      <c r="I781" s="357">
        <f t="shared" ca="1" si="361"/>
        <v>94.669393763674833</v>
      </c>
      <c r="J781" s="359">
        <f t="shared" ca="1" si="362"/>
        <v>1353.8474850931852</v>
      </c>
      <c r="K781" s="360">
        <f t="shared" ca="1" si="363"/>
        <v>2251.6509177248263</v>
      </c>
      <c r="L781" s="357">
        <f t="shared" ca="1" si="348"/>
        <v>2627.3246598363503</v>
      </c>
      <c r="M781" s="359">
        <f t="shared" ca="1" si="364"/>
        <v>-1.2145893316072804</v>
      </c>
      <c r="N781" s="357">
        <f t="shared" ca="1" si="365"/>
        <v>-69.590842542712764</v>
      </c>
      <c r="O781" s="343"/>
      <c r="P781" s="363">
        <f t="shared" ca="1" si="366"/>
        <v>23</v>
      </c>
      <c r="Q781" s="357">
        <f t="shared" ca="1" si="367"/>
        <v>0</v>
      </c>
      <c r="R781" s="359">
        <f t="shared" ca="1" si="368"/>
        <v>0</v>
      </c>
      <c r="S781" s="360">
        <f t="shared" ca="1" si="369"/>
        <v>9.637999999999975</v>
      </c>
      <c r="T781" s="357">
        <f t="shared" ca="1" si="349"/>
        <v>94.548779999999766</v>
      </c>
      <c r="U781" s="364">
        <f t="shared" ca="1" si="350"/>
        <v>0</v>
      </c>
      <c r="V781" s="359">
        <f t="shared" ca="1" si="351"/>
        <v>0.97708379958758251</v>
      </c>
      <c r="W781" s="357">
        <f t="shared" ca="1" si="352"/>
        <v>19.996369229377823</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7.139934983184661</v>
      </c>
      <c r="AH781" s="357">
        <f t="shared" ca="1" si="376"/>
        <v>-2.0417103800084884</v>
      </c>
    </row>
    <row r="782" spans="1:34" x14ac:dyDescent="0.25">
      <c r="A782" s="402">
        <f t="shared" ca="1" si="354"/>
        <v>0.1</v>
      </c>
      <c r="B782" s="357">
        <f t="shared" ca="1" si="355"/>
        <v>32.800000000000132</v>
      </c>
      <c r="C782" s="342"/>
      <c r="D782" s="359">
        <f t="shared" ca="1" si="356"/>
        <v>-0.72350807245819271</v>
      </c>
      <c r="E782" s="360">
        <f t="shared" ca="1" si="357"/>
        <v>-7.8654967351228038</v>
      </c>
      <c r="F782" s="357">
        <f t="shared" ca="1" si="358"/>
        <v>7.8987026036647094</v>
      </c>
      <c r="G782" s="359">
        <f t="shared" ca="1" si="359"/>
        <v>32.940934999627927</v>
      </c>
      <c r="H782" s="360">
        <f t="shared" ca="1" si="360"/>
        <v>-89.513192097394096</v>
      </c>
      <c r="I782" s="357">
        <f t="shared" ca="1" si="361"/>
        <v>95.381951951690993</v>
      </c>
      <c r="J782" s="359">
        <f t="shared" ca="1" si="362"/>
        <v>1357.1451961335104</v>
      </c>
      <c r="K782" s="360">
        <f t="shared" ca="1" si="363"/>
        <v>2242.7389259987626</v>
      </c>
      <c r="L782" s="357">
        <f t="shared" ca="1" si="348"/>
        <v>2621.3967600457486</v>
      </c>
      <c r="M782" s="359">
        <f t="shared" ca="1" si="364"/>
        <v>-1.2181759311465281</v>
      </c>
      <c r="N782" s="357">
        <f t="shared" ca="1" si="365"/>
        <v>-69.796339559115225</v>
      </c>
      <c r="O782" s="343"/>
      <c r="P782" s="363">
        <f t="shared" ca="1" si="366"/>
        <v>23</v>
      </c>
      <c r="Q782" s="357">
        <f t="shared" ca="1" si="367"/>
        <v>0</v>
      </c>
      <c r="R782" s="359">
        <f t="shared" ca="1" si="368"/>
        <v>0</v>
      </c>
      <c r="S782" s="360">
        <f t="shared" ca="1" si="369"/>
        <v>9.637999999999975</v>
      </c>
      <c r="T782" s="357">
        <f t="shared" ca="1" si="349"/>
        <v>94.548779999999766</v>
      </c>
      <c r="U782" s="364">
        <f t="shared" ca="1" si="350"/>
        <v>0</v>
      </c>
      <c r="V782" s="359">
        <f t="shared" ca="1" si="351"/>
        <v>0.97796610786208571</v>
      </c>
      <c r="W782" s="357">
        <f t="shared" ca="1" si="352"/>
        <v>20.316849271721853</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7.1194470644473835</v>
      </c>
      <c r="AH782" s="357">
        <f t="shared" ca="1" si="376"/>
        <v>-2.0747426052477564</v>
      </c>
    </row>
    <row r="783" spans="1:34" x14ac:dyDescent="0.25">
      <c r="A783" s="402">
        <f t="shared" ca="1" si="354"/>
        <v>0.1</v>
      </c>
      <c r="B783" s="357">
        <f t="shared" ca="1" si="355"/>
        <v>32.900000000000134</v>
      </c>
      <c r="C783" s="342"/>
      <c r="D783" s="359">
        <f t="shared" ca="1" si="356"/>
        <v>-0.7280130308411199</v>
      </c>
      <c r="E783" s="360">
        <f t="shared" ca="1" si="357"/>
        <v>-7.8317085434938836</v>
      </c>
      <c r="F783" s="357">
        <f t="shared" ca="1" si="358"/>
        <v>7.865472756504186</v>
      </c>
      <c r="G783" s="359">
        <f t="shared" ca="1" si="359"/>
        <v>32.868133696543815</v>
      </c>
      <c r="H783" s="360">
        <f t="shared" ca="1" si="360"/>
        <v>-90.29636295174349</v>
      </c>
      <c r="I783" s="357">
        <f t="shared" ca="1" si="361"/>
        <v>96.092389787156776</v>
      </c>
      <c r="J783" s="359">
        <f t="shared" ca="1" si="362"/>
        <v>1360.4356495683189</v>
      </c>
      <c r="K783" s="360">
        <f t="shared" ca="1" si="363"/>
        <v>2233.7484482463055</v>
      </c>
      <c r="L783" s="357">
        <f t="shared" ca="1" si="348"/>
        <v>2615.4191416786625</v>
      </c>
      <c r="M783" s="359">
        <f t="shared" ca="1" si="364"/>
        <v>-1.2217016739579658</v>
      </c>
      <c r="N783" s="357">
        <f t="shared" ca="1" si="365"/>
        <v>-69.998349741859201</v>
      </c>
      <c r="O783" s="343"/>
      <c r="P783" s="363">
        <f t="shared" ca="1" si="366"/>
        <v>23</v>
      </c>
      <c r="Q783" s="357">
        <f t="shared" ca="1" si="367"/>
        <v>0</v>
      </c>
      <c r="R783" s="359">
        <f t="shared" ca="1" si="368"/>
        <v>0</v>
      </c>
      <c r="S783" s="360">
        <f t="shared" ca="1" si="369"/>
        <v>9.637999999999975</v>
      </c>
      <c r="T783" s="357">
        <f t="shared" ca="1" si="349"/>
        <v>94.548779999999766</v>
      </c>
      <c r="U783" s="364">
        <f t="shared" ca="1" si="350"/>
        <v>0</v>
      </c>
      <c r="V783" s="359">
        <f t="shared" ca="1" si="351"/>
        <v>0.97885690312444351</v>
      </c>
      <c r="W783" s="357">
        <f t="shared" ca="1" si="352"/>
        <v>20.639412890539472</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7.0984058044824678</v>
      </c>
      <c r="AH783" s="357">
        <f t="shared" ca="1" si="376"/>
        <v>-2.1079943216146404</v>
      </c>
    </row>
    <row r="784" spans="1:34" x14ac:dyDescent="0.25">
      <c r="A784" s="402">
        <f t="shared" ca="1" si="354"/>
        <v>0.1</v>
      </c>
      <c r="B784" s="357">
        <f t="shared" ca="1" si="355"/>
        <v>33.000000000000135</v>
      </c>
      <c r="C784" s="342"/>
      <c r="D784" s="359">
        <f t="shared" ca="1" si="356"/>
        <v>-0.73248117522435552</v>
      </c>
      <c r="E784" s="360">
        <f t="shared" ca="1" si="357"/>
        <v>-7.7977048492007057</v>
      </c>
      <c r="F784" s="357">
        <f t="shared" ca="1" si="358"/>
        <v>7.8320322769576389</v>
      </c>
      <c r="G784" s="359">
        <f t="shared" ca="1" si="359"/>
        <v>32.794885579021383</v>
      </c>
      <c r="H784" s="360">
        <f t="shared" ca="1" si="360"/>
        <v>-91.076133436663554</v>
      </c>
      <c r="I784" s="357">
        <f t="shared" ca="1" si="361"/>
        <v>96.800653933297625</v>
      </c>
      <c r="J784" s="359">
        <f t="shared" ca="1" si="362"/>
        <v>1363.7188005320972</v>
      </c>
      <c r="K784" s="360">
        <f t="shared" ca="1" si="363"/>
        <v>2224.6798234268854</v>
      </c>
      <c r="L784" s="357">
        <f t="shared" ca="1" si="348"/>
        <v>2609.3925123843251</v>
      </c>
      <c r="M784" s="359">
        <f t="shared" ca="1" si="364"/>
        <v>-1.2251680656610102</v>
      </c>
      <c r="N784" s="357">
        <f t="shared" ca="1" si="365"/>
        <v>-70.196959356582809</v>
      </c>
      <c r="O784" s="343"/>
      <c r="P784" s="363">
        <f t="shared" ca="1" si="366"/>
        <v>23</v>
      </c>
      <c r="Q784" s="357">
        <f t="shared" ca="1" si="367"/>
        <v>0</v>
      </c>
      <c r="R784" s="359">
        <f t="shared" ca="1" si="368"/>
        <v>0</v>
      </c>
      <c r="S784" s="360">
        <f t="shared" ca="1" si="369"/>
        <v>9.637999999999975</v>
      </c>
      <c r="T784" s="357">
        <f t="shared" ca="1" si="349"/>
        <v>94.548779999999766</v>
      </c>
      <c r="U784" s="364">
        <f t="shared" ca="1" si="350"/>
        <v>0</v>
      </c>
      <c r="V784" s="359">
        <f t="shared" ca="1" si="351"/>
        <v>0.9797561714859635</v>
      </c>
      <c r="W784" s="357">
        <f t="shared" ca="1" si="352"/>
        <v>20.964028084319668</v>
      </c>
      <c r="X784" s="343"/>
      <c r="Y784" s="367" t="str">
        <f t="shared" ca="1" si="370"/>
        <v/>
      </c>
      <c r="Z784" s="368" t="str">
        <f t="shared" ca="1" si="371"/>
        <v/>
      </c>
      <c r="AA784" s="369" t="str">
        <f t="shared" ca="1" si="372"/>
        <v/>
      </c>
      <c r="AB784" s="344"/>
      <c r="AC784" s="363">
        <f t="shared" ca="1" si="373"/>
        <v>33.000000000000135</v>
      </c>
      <c r="AD784" s="376">
        <f t="shared" ca="1" si="374"/>
        <v>1363.7188005320972</v>
      </c>
      <c r="AE784" s="377" t="e">
        <f t="shared" ca="1" si="353"/>
        <v>#N/A</v>
      </c>
      <c r="AF784" s="344"/>
      <c r="AG784" s="359">
        <f t="shared" ca="1" si="375"/>
        <v>7.0768257461675788</v>
      </c>
      <c r="AH784" s="357">
        <f t="shared" ca="1" si="376"/>
        <v>-2.1414622214712105</v>
      </c>
    </row>
    <row r="785" spans="1:34" x14ac:dyDescent="0.25">
      <c r="A785" s="402">
        <f t="shared" ca="1" si="354"/>
        <v>0.1</v>
      </c>
      <c r="B785" s="357">
        <f t="shared" ca="1" si="355"/>
        <v>33.100000000000136</v>
      </c>
      <c r="C785" s="342"/>
      <c r="D785" s="359">
        <f t="shared" ca="1" si="356"/>
        <v>-0.7369120186197422</v>
      </c>
      <c r="E785" s="360">
        <f t="shared" ca="1" si="357"/>
        <v>-7.7634889006648731</v>
      </c>
      <c r="F785" s="357">
        <f t="shared" ca="1" si="358"/>
        <v>7.7983843989593709</v>
      </c>
      <c r="G785" s="359">
        <f t="shared" ca="1" si="359"/>
        <v>32.721194377159406</v>
      </c>
      <c r="H785" s="360">
        <f t="shared" ca="1" si="360"/>
        <v>-91.852482326730041</v>
      </c>
      <c r="I785" s="357">
        <f t="shared" ca="1" si="361"/>
        <v>97.506692442365733</v>
      </c>
      <c r="J785" s="359">
        <f t="shared" ca="1" si="362"/>
        <v>1366.9946045299064</v>
      </c>
      <c r="K785" s="360">
        <f t="shared" ca="1" si="363"/>
        <v>2215.5333926387157</v>
      </c>
      <c r="L785" s="357">
        <f t="shared" ca="1" si="348"/>
        <v>2603.3175877543431</v>
      </c>
      <c r="M785" s="359">
        <f t="shared" ca="1" si="364"/>
        <v>-1.2285765652996024</v>
      </c>
      <c r="N785" s="357">
        <f t="shared" ca="1" si="365"/>
        <v>-70.392252000346005</v>
      </c>
      <c r="O785" s="343"/>
      <c r="P785" s="363">
        <f t="shared" ca="1" si="366"/>
        <v>23</v>
      </c>
      <c r="Q785" s="357">
        <f t="shared" ca="1" si="367"/>
        <v>0</v>
      </c>
      <c r="R785" s="359">
        <f t="shared" ca="1" si="368"/>
        <v>0</v>
      </c>
      <c r="S785" s="360">
        <f t="shared" ca="1" si="369"/>
        <v>9.637999999999975</v>
      </c>
      <c r="T785" s="357">
        <f t="shared" ca="1" si="349"/>
        <v>94.548779999999766</v>
      </c>
      <c r="U785" s="364">
        <f t="shared" ca="1" si="350"/>
        <v>0</v>
      </c>
      <c r="V785" s="359">
        <f t="shared" ca="1" si="351"/>
        <v>0.98066389894723471</v>
      </c>
      <c r="W785" s="357">
        <f t="shared" ca="1" si="352"/>
        <v>21.290662734171327</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7.054720995884356</v>
      </c>
      <c r="AH785" s="357">
        <f t="shared" ca="1" si="376"/>
        <v>-2.1751429844697783</v>
      </c>
    </row>
    <row r="786" spans="1:34" x14ac:dyDescent="0.25">
      <c r="A786" s="402">
        <f t="shared" ca="1" si="354"/>
        <v>0.1</v>
      </c>
      <c r="B786" s="357">
        <f t="shared" ca="1" si="355"/>
        <v>33.200000000000138</v>
      </c>
      <c r="C786" s="342"/>
      <c r="D786" s="359">
        <f t="shared" ca="1" si="356"/>
        <v>-0.7413050885765331</v>
      </c>
      <c r="E786" s="360">
        <f t="shared" ca="1" si="357"/>
        <v>-7.7290639631809759</v>
      </c>
      <c r="F786" s="357">
        <f t="shared" ca="1" si="358"/>
        <v>7.7645323736392697</v>
      </c>
      <c r="G786" s="359">
        <f t="shared" ca="1" si="359"/>
        <v>32.64706386830175</v>
      </c>
      <c r="H786" s="360">
        <f t="shared" ca="1" si="360"/>
        <v>-92.625388723048133</v>
      </c>
      <c r="I786" s="357">
        <f t="shared" ca="1" si="361"/>
        <v>98.21045471494746</v>
      </c>
      <c r="J786" s="359">
        <f t="shared" ca="1" si="362"/>
        <v>1370.2630174421795</v>
      </c>
      <c r="K786" s="360">
        <f t="shared" ca="1" si="363"/>
        <v>2206.3094990862269</v>
      </c>
      <c r="L786" s="357">
        <f t="shared" ca="1" si="348"/>
        <v>2597.195091387604</v>
      </c>
      <c r="M786" s="359">
        <f t="shared" ca="1" si="364"/>
        <v>-1.2319285870018288</v>
      </c>
      <c r="N786" s="357">
        <f t="shared" ca="1" si="365"/>
        <v>-70.584308696719845</v>
      </c>
      <c r="O786" s="343"/>
      <c r="P786" s="363">
        <f t="shared" ca="1" si="366"/>
        <v>23</v>
      </c>
      <c r="Q786" s="357">
        <f t="shared" ca="1" si="367"/>
        <v>0</v>
      </c>
      <c r="R786" s="359">
        <f t="shared" ca="1" si="368"/>
        <v>0</v>
      </c>
      <c r="S786" s="360">
        <f t="shared" ca="1" si="369"/>
        <v>9.637999999999975</v>
      </c>
      <c r="T786" s="357">
        <f t="shared" ca="1" si="349"/>
        <v>94.548779999999766</v>
      </c>
      <c r="U786" s="364">
        <f t="shared" ca="1" si="350"/>
        <v>0</v>
      </c>
      <c r="V786" s="359">
        <f t="shared" ca="1" si="351"/>
        <v>0.98158007139891101</v>
      </c>
      <c r="W786" s="357">
        <f t="shared" ca="1" si="352"/>
        <v>21.619284608959742</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7.0321052433344189</v>
      </c>
      <c r="AH786" s="357">
        <f t="shared" ca="1" si="376"/>
        <v>-2.2090332780837709</v>
      </c>
    </row>
    <row r="787" spans="1:34" x14ac:dyDescent="0.25">
      <c r="A787" s="402">
        <f t="shared" ca="1" si="354"/>
        <v>0.1</v>
      </c>
      <c r="B787" s="357">
        <f t="shared" ca="1" si="355"/>
        <v>33.300000000000139</v>
      </c>
      <c r="C787" s="342"/>
      <c r="D787" s="359">
        <f t="shared" ca="1" si="356"/>
        <v>-0.74565992685258464</v>
      </c>
      <c r="E787" s="360">
        <f t="shared" ca="1" si="357"/>
        <v>-7.6944333181526927</v>
      </c>
      <c r="F787" s="357">
        <f t="shared" ca="1" si="358"/>
        <v>7.7304794685719243</v>
      </c>
      <c r="G787" s="359">
        <f t="shared" ca="1" si="359"/>
        <v>32.572497875616492</v>
      </c>
      <c r="H787" s="360">
        <f t="shared" ca="1" si="360"/>
        <v>-93.3948320548634</v>
      </c>
      <c r="I787" s="357">
        <f t="shared" ca="1" si="361"/>
        <v>98.911891461103806</v>
      </c>
      <c r="J787" s="359">
        <f t="shared" ca="1" si="362"/>
        <v>1373.5239955293755</v>
      </c>
      <c r="K787" s="360">
        <f t="shared" ca="1" si="363"/>
        <v>2197.0084880473314</v>
      </c>
      <c r="L787" s="357">
        <f t="shared" ca="1" si="348"/>
        <v>2591.0257549563262</v>
      </c>
      <c r="M787" s="359">
        <f t="shared" ca="1" si="364"/>
        <v>-1.2352255015759896</v>
      </c>
      <c r="N787" s="357">
        <f t="shared" ca="1" si="365"/>
        <v>-70.773207987234429</v>
      </c>
      <c r="O787" s="343"/>
      <c r="P787" s="363">
        <f t="shared" ca="1" si="366"/>
        <v>23</v>
      </c>
      <c r="Q787" s="357">
        <f t="shared" ca="1" si="367"/>
        <v>0</v>
      </c>
      <c r="R787" s="359">
        <f t="shared" ca="1" si="368"/>
        <v>0</v>
      </c>
      <c r="S787" s="360">
        <f t="shared" ca="1" si="369"/>
        <v>9.637999999999975</v>
      </c>
      <c r="T787" s="357">
        <f t="shared" ca="1" si="349"/>
        <v>94.548779999999766</v>
      </c>
      <c r="U787" s="364">
        <f t="shared" ca="1" si="350"/>
        <v>0</v>
      </c>
      <c r="V787" s="359">
        <f t="shared" ca="1" si="351"/>
        <v>0.98250467462250957</v>
      </c>
      <c r="W787" s="357">
        <f t="shared" ca="1" si="352"/>
        <v>21.949861370461377</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7.0089917803497368</v>
      </c>
      <c r="AH787" s="357">
        <f t="shared" ca="1" si="376"/>
        <v>-2.2431297581406722</v>
      </c>
    </row>
    <row r="788" spans="1:34" x14ac:dyDescent="0.25">
      <c r="A788" s="402">
        <f t="shared" ca="1" si="354"/>
        <v>0.1</v>
      </c>
      <c r="B788" s="357">
        <f t="shared" ca="1" si="355"/>
        <v>33.400000000000141</v>
      </c>
      <c r="C788" s="342"/>
      <c r="D788" s="359">
        <f t="shared" ca="1" si="356"/>
        <v>-0.74997608910011437</v>
      </c>
      <c r="E788" s="360">
        <f t="shared" ca="1" si="357"/>
        <v>-7.6596002623396373</v>
      </c>
      <c r="F788" s="357">
        <f t="shared" ca="1" si="358"/>
        <v>7.6962289670367365</v>
      </c>
      <c r="G788" s="359">
        <f t="shared" ca="1" si="359"/>
        <v>32.497500266706481</v>
      </c>
      <c r="H788" s="360">
        <f t="shared" ca="1" si="360"/>
        <v>-94.16079208109737</v>
      </c>
      <c r="I788" s="357">
        <f t="shared" ca="1" si="361"/>
        <v>99.610954663250951</v>
      </c>
      <c r="J788" s="359">
        <f t="shared" ca="1" si="362"/>
        <v>1376.7774954364916</v>
      </c>
      <c r="K788" s="360">
        <f t="shared" ca="1" si="363"/>
        <v>2187.6307068405335</v>
      </c>
      <c r="L788" s="357">
        <f t="shared" ca="1" si="348"/>
        <v>2584.8103182732752</v>
      </c>
      <c r="M788" s="359">
        <f t="shared" ca="1" si="364"/>
        <v>-1.2384686380454752</v>
      </c>
      <c r="N788" s="357">
        <f t="shared" ca="1" si="365"/>
        <v>-70.959026019320902</v>
      </c>
      <c r="O788" s="343"/>
      <c r="P788" s="363">
        <f t="shared" ca="1" si="366"/>
        <v>23</v>
      </c>
      <c r="Q788" s="357">
        <f t="shared" ca="1" si="367"/>
        <v>0</v>
      </c>
      <c r="R788" s="359">
        <f t="shared" ca="1" si="368"/>
        <v>0</v>
      </c>
      <c r="S788" s="360">
        <f t="shared" ca="1" si="369"/>
        <v>9.637999999999975</v>
      </c>
      <c r="T788" s="357">
        <f t="shared" ca="1" si="349"/>
        <v>94.548779999999766</v>
      </c>
      <c r="U788" s="364">
        <f t="shared" ca="1" si="350"/>
        <v>0</v>
      </c>
      <c r="V788" s="359">
        <f t="shared" ca="1" si="351"/>
        <v>0.98343769429122108</v>
      </c>
      <c r="W788" s="357">
        <f t="shared" ca="1" si="352"/>
        <v>22.282360578535386</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6.9853935187492269</v>
      </c>
      <c r="AH788" s="357">
        <f t="shared" ca="1" si="376"/>
        <v>-2.2774290693568617</v>
      </c>
    </row>
    <row r="789" spans="1:34" x14ac:dyDescent="0.25">
      <c r="A789" s="402">
        <f t="shared" ca="1" si="354"/>
        <v>0.1</v>
      </c>
      <c r="B789" s="357">
        <f t="shared" ca="1" si="355"/>
        <v>33.500000000000142</v>
      </c>
      <c r="C789" s="342"/>
      <c r="D789" s="359">
        <f t="shared" ca="1" si="356"/>
        <v>-0.75425314456524062</v>
      </c>
      <c r="E789" s="360">
        <f t="shared" ca="1" si="357"/>
        <v>-7.624568107114313</v>
      </c>
      <c r="F789" s="357">
        <f t="shared" ca="1" si="358"/>
        <v>7.6617841672884053</v>
      </c>
      <c r="G789" s="359">
        <f t="shared" ca="1" si="359"/>
        <v>32.422074952249957</v>
      </c>
      <c r="H789" s="360">
        <f t="shared" ca="1" si="360"/>
        <v>-94.923248891808797</v>
      </c>
      <c r="I789" s="357">
        <f t="shared" ca="1" si="361"/>
        <v>100.30759754069277</v>
      </c>
      <c r="J789" s="359">
        <f t="shared" ca="1" si="362"/>
        <v>1380.0234741974393</v>
      </c>
      <c r="K789" s="360">
        <f t="shared" ca="1" si="363"/>
        <v>2178.1765047918884</v>
      </c>
      <c r="L789" s="357">
        <f t="shared" ca="1" si="348"/>
        <v>2578.5495293601361</v>
      </c>
      <c r="M789" s="359">
        <f t="shared" ca="1" si="364"/>
        <v>-1.2416592851247532</v>
      </c>
      <c r="N789" s="357">
        <f t="shared" ca="1" si="365"/>
        <v>-71.141836630879283</v>
      </c>
      <c r="O789" s="343"/>
      <c r="P789" s="363">
        <f t="shared" ca="1" si="366"/>
        <v>23</v>
      </c>
      <c r="Q789" s="357">
        <f t="shared" ca="1" si="367"/>
        <v>0</v>
      </c>
      <c r="R789" s="359">
        <f t="shared" ca="1" si="368"/>
        <v>0</v>
      </c>
      <c r="S789" s="360">
        <f t="shared" ca="1" si="369"/>
        <v>9.637999999999975</v>
      </c>
      <c r="T789" s="357">
        <f t="shared" ca="1" si="349"/>
        <v>94.548779999999766</v>
      </c>
      <c r="U789" s="364">
        <f t="shared" ca="1" si="350"/>
        <v>0</v>
      </c>
      <c r="V789" s="359">
        <f t="shared" ca="1" si="351"/>
        <v>0.98437911597073369</v>
      </c>
      <c r="W789" s="357">
        <f t="shared" ca="1" si="352"/>
        <v>22.616749696310183</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6.9613230072907415</v>
      </c>
      <c r="AH789" s="357">
        <f t="shared" ca="1" si="376"/>
        <v>-2.3119278458741901</v>
      </c>
    </row>
    <row r="790" spans="1:34" x14ac:dyDescent="0.25">
      <c r="A790" s="402">
        <f t="shared" ca="1" si="354"/>
        <v>0.1</v>
      </c>
      <c r="B790" s="357">
        <f t="shared" ca="1" si="355"/>
        <v>33.600000000000144</v>
      </c>
      <c r="C790" s="342"/>
      <c r="D790" s="359">
        <f t="shared" ca="1" si="356"/>
        <v>-0.75849067580055918</v>
      </c>
      <c r="E790" s="360">
        <f t="shared" ca="1" si="357"/>
        <v>-7.5893401777286211</v>
      </c>
      <c r="F790" s="357">
        <f t="shared" ca="1" si="358"/>
        <v>7.6271483818372312</v>
      </c>
      <c r="G790" s="359">
        <f t="shared" ca="1" si="359"/>
        <v>32.346225884669899</v>
      </c>
      <c r="H790" s="360">
        <f t="shared" ca="1" si="360"/>
        <v>-95.682182909581655</v>
      </c>
      <c r="I790" s="357">
        <f t="shared" ca="1" si="361"/>
        <v>101.00177451572189</v>
      </c>
      <c r="J790" s="359">
        <f t="shared" ca="1" si="362"/>
        <v>1383.2618892392852</v>
      </c>
      <c r="K790" s="360">
        <f t="shared" ca="1" si="363"/>
        <v>2168.6462332018191</v>
      </c>
      <c r="L790" s="357">
        <f t="shared" ca="1" si="348"/>
        <v>2572.2441445170548</v>
      </c>
      <c r="M790" s="359">
        <f t="shared" ca="1" si="364"/>
        <v>-1.2447986926386978</v>
      </c>
      <c r="N790" s="357">
        <f t="shared" ca="1" si="365"/>
        <v>-71.321711431599965</v>
      </c>
      <c r="O790" s="343"/>
      <c r="P790" s="363">
        <f t="shared" ca="1" si="366"/>
        <v>23</v>
      </c>
      <c r="Q790" s="357">
        <f t="shared" ca="1" si="367"/>
        <v>0</v>
      </c>
      <c r="R790" s="359">
        <f t="shared" ca="1" si="368"/>
        <v>0</v>
      </c>
      <c r="S790" s="360">
        <f t="shared" ca="1" si="369"/>
        <v>9.637999999999975</v>
      </c>
      <c r="T790" s="357">
        <f t="shared" ca="1" si="349"/>
        <v>94.548779999999766</v>
      </c>
      <c r="U790" s="364">
        <f t="shared" ca="1" si="350"/>
        <v>0</v>
      </c>
      <c r="V790" s="359">
        <f t="shared" ca="1" si="351"/>
        <v>0.98532892512006709</v>
      </c>
      <c r="W790" s="357">
        <f t="shared" ca="1" si="352"/>
        <v>22.952996095383451</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6.9367924477652121</v>
      </c>
      <c r="AH790" s="357">
        <f t="shared" ca="1" si="376"/>
        <v>-2.346622711798116</v>
      </c>
    </row>
    <row r="791" spans="1:34" x14ac:dyDescent="0.25">
      <c r="A791" s="402">
        <f t="shared" ca="1" si="354"/>
        <v>0.1</v>
      </c>
      <c r="B791" s="357">
        <f t="shared" ca="1" si="355"/>
        <v>33.700000000000145</v>
      </c>
      <c r="C791" s="342"/>
      <c r="D791" s="359">
        <f t="shared" ca="1" si="356"/>
        <v>-0.76268827839005637</v>
      </c>
      <c r="E791" s="360">
        <f t="shared" ca="1" si="357"/>
        <v>-7.5539198125894114</v>
      </c>
      <c r="F791" s="357">
        <f t="shared" ca="1" si="358"/>
        <v>7.5923249367387085</v>
      </c>
      <c r="G791" s="359">
        <f t="shared" ca="1" si="359"/>
        <v>32.26995705683089</v>
      </c>
      <c r="H791" s="360">
        <f t="shared" ca="1" si="360"/>
        <v>-96.437574890840594</v>
      </c>
      <c r="I791" s="357">
        <f t="shared" ca="1" si="361"/>
        <v>101.69344118120991</v>
      </c>
      <c r="J791" s="359">
        <f t="shared" ca="1" si="362"/>
        <v>1386.4926983863602</v>
      </c>
      <c r="K791" s="360">
        <f t="shared" ca="1" si="363"/>
        <v>2159.0402453117981</v>
      </c>
      <c r="L791" s="357">
        <f t="shared" ca="1" si="348"/>
        <v>2565.8949283933512</v>
      </c>
      <c r="M791" s="359">
        <f t="shared" ca="1" si="364"/>
        <v>-1.2478880728874338</v>
      </c>
      <c r="N791" s="357">
        <f t="shared" ca="1" si="365"/>
        <v>-71.498719881163609</v>
      </c>
      <c r="O791" s="343"/>
      <c r="P791" s="363">
        <f t="shared" ca="1" si="366"/>
        <v>23</v>
      </c>
      <c r="Q791" s="357">
        <f t="shared" ca="1" si="367"/>
        <v>0</v>
      </c>
      <c r="R791" s="359">
        <f t="shared" ca="1" si="368"/>
        <v>0</v>
      </c>
      <c r="S791" s="360">
        <f t="shared" ca="1" si="369"/>
        <v>9.637999999999975</v>
      </c>
      <c r="T791" s="357">
        <f t="shared" ca="1" si="349"/>
        <v>94.548779999999766</v>
      </c>
      <c r="U791" s="364">
        <f t="shared" ca="1" si="350"/>
        <v>0</v>
      </c>
      <c r="V791" s="359">
        <f t="shared" ca="1" si="351"/>
        <v>0.98628710709241862</v>
      </c>
      <c r="W791" s="357">
        <f t="shared" ca="1" si="352"/>
        <v>23.291067061034109</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6.9118137102772517</v>
      </c>
      <c r="AH791" s="357">
        <f t="shared" ca="1" si="376"/>
        <v>-2.3815102817372393</v>
      </c>
    </row>
    <row r="792" spans="1:34" x14ac:dyDescent="0.25">
      <c r="A792" s="402">
        <f t="shared" ca="1" si="354"/>
        <v>0.1</v>
      </c>
      <c r="B792" s="357">
        <f t="shared" ca="1" si="355"/>
        <v>33.800000000000146</v>
      </c>
      <c r="C792" s="342"/>
      <c r="D792" s="359">
        <f t="shared" ca="1" si="356"/>
        <v>-0.76684556068568954</v>
      </c>
      <c r="E792" s="360">
        <f t="shared" ca="1" si="357"/>
        <v>-7.5183103625425955</v>
      </c>
      <c r="F792" s="357">
        <f t="shared" ca="1" si="358"/>
        <v>7.5573171708919773</v>
      </c>
      <c r="G792" s="359">
        <f t="shared" ca="1" si="359"/>
        <v>32.193272500762319</v>
      </c>
      <c r="H792" s="360">
        <f t="shared" ca="1" si="360"/>
        <v>-97.189405927094853</v>
      </c>
      <c r="I792" s="357">
        <f t="shared" ca="1" si="361"/>
        <v>102.38255426961157</v>
      </c>
      <c r="J792" s="359">
        <f t="shared" ca="1" si="362"/>
        <v>1389.7158598642397</v>
      </c>
      <c r="K792" s="360">
        <f t="shared" ca="1" si="363"/>
        <v>2149.3588962709014</v>
      </c>
      <c r="L792" s="357">
        <f t="shared" ca="1" si="348"/>
        <v>2559.5026540593917</v>
      </c>
      <c r="M792" s="359">
        <f t="shared" ca="1" si="364"/>
        <v>-1.2509286019587953</v>
      </c>
      <c r="N792" s="357">
        <f t="shared" ca="1" si="365"/>
        <v>-71.672929364439455</v>
      </c>
      <c r="O792" s="343"/>
      <c r="P792" s="363">
        <f t="shared" ca="1" si="366"/>
        <v>23</v>
      </c>
      <c r="Q792" s="357">
        <f t="shared" ca="1" si="367"/>
        <v>0</v>
      </c>
      <c r="R792" s="359">
        <f t="shared" ca="1" si="368"/>
        <v>0</v>
      </c>
      <c r="S792" s="360">
        <f t="shared" ca="1" si="369"/>
        <v>9.637999999999975</v>
      </c>
      <c r="T792" s="357">
        <f t="shared" ca="1" si="349"/>
        <v>94.548779999999766</v>
      </c>
      <c r="U792" s="364">
        <f t="shared" ca="1" si="350"/>
        <v>0</v>
      </c>
      <c r="V792" s="359">
        <f t="shared" ca="1" si="351"/>
        <v>0.98725364713602237</v>
      </c>
      <c r="W792" s="357">
        <f t="shared" ca="1" si="352"/>
        <v>23.630929797444463</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6.8863983477543282</v>
      </c>
      <c r="AH792" s="357">
        <f t="shared" ca="1" si="376"/>
        <v>-2.4165871613440726</v>
      </c>
    </row>
    <row r="793" spans="1:34" x14ac:dyDescent="0.25">
      <c r="A793" s="402">
        <f t="shared" ca="1" si="354"/>
        <v>0.1</v>
      </c>
      <c r="B793" s="357">
        <f t="shared" ca="1" si="355"/>
        <v>33.900000000000148</v>
      </c>
      <c r="C793" s="342"/>
      <c r="D793" s="359">
        <f t="shared" ca="1" si="356"/>
        <v>-0.7709621435550027</v>
      </c>
      <c r="E793" s="360">
        <f t="shared" ca="1" si="357"/>
        <v>-7.4825151901653975</v>
      </c>
      <c r="F793" s="357">
        <f t="shared" ca="1" si="358"/>
        <v>7.5221284353466631</v>
      </c>
      <c r="G793" s="359">
        <f t="shared" ca="1" si="359"/>
        <v>32.116176286406819</v>
      </c>
      <c r="H793" s="360">
        <f t="shared" ca="1" si="360"/>
        <v>-97.937657446111388</v>
      </c>
      <c r="I793" s="357">
        <f t="shared" ca="1" si="361"/>
        <v>103.06907162331198</v>
      </c>
      <c r="J793" s="359">
        <f t="shared" ca="1" si="362"/>
        <v>1392.9313323035983</v>
      </c>
      <c r="K793" s="360">
        <f t="shared" ca="1" si="363"/>
        <v>2139.6025431022413</v>
      </c>
      <c r="L793" s="357">
        <f t="shared" ca="1" si="348"/>
        <v>2553.0681030796368</v>
      </c>
      <c r="M793" s="359">
        <f t="shared" ca="1" si="364"/>
        <v>-1.2539214209904355</v>
      </c>
      <c r="N793" s="357">
        <f t="shared" ca="1" si="365"/>
        <v>-71.844405263798862</v>
      </c>
      <c r="O793" s="343"/>
      <c r="P793" s="363">
        <f t="shared" ca="1" si="366"/>
        <v>23</v>
      </c>
      <c r="Q793" s="357">
        <f t="shared" ca="1" si="367"/>
        <v>0</v>
      </c>
      <c r="R793" s="359">
        <f t="shared" ca="1" si="368"/>
        <v>0</v>
      </c>
      <c r="S793" s="360">
        <f t="shared" ca="1" si="369"/>
        <v>9.637999999999975</v>
      </c>
      <c r="T793" s="357">
        <f t="shared" ca="1" si="349"/>
        <v>94.548779999999766</v>
      </c>
      <c r="U793" s="364">
        <f t="shared" ca="1" si="350"/>
        <v>0</v>
      </c>
      <c r="V793" s="359">
        <f t="shared" ca="1" si="351"/>
        <v>0.98822853039501912</v>
      </c>
      <c r="W793" s="357">
        <f t="shared" ca="1" si="352"/>
        <v>23.972551432931269</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6.8605576097243528</v>
      </c>
      <c r="AH793" s="357">
        <f t="shared" ca="1" si="376"/>
        <v>-2.4518499478568709</v>
      </c>
    </row>
    <row r="794" spans="1:34" x14ac:dyDescent="0.25">
      <c r="A794" s="402">
        <f t="shared" ca="1" si="354"/>
        <v>0.1</v>
      </c>
      <c r="B794" s="357">
        <f t="shared" ca="1" si="355"/>
        <v>34.000000000000149</v>
      </c>
      <c r="C794" s="342"/>
      <c r="D794" s="359">
        <f t="shared" ca="1" si="356"/>
        <v>-0.77503766013918507</v>
      </c>
      <c r="E794" s="360">
        <f t="shared" ca="1" si="357"/>
        <v>-7.4465376690663465</v>
      </c>
      <c r="F794" s="357">
        <f t="shared" ca="1" si="358"/>
        <v>7.4867620926177478</v>
      </c>
      <c r="G794" s="359">
        <f t="shared" ca="1" si="359"/>
        <v>32.0386725203929</v>
      </c>
      <c r="H794" s="360">
        <f t="shared" ca="1" si="360"/>
        <v>-98.682311213018025</v>
      </c>
      <c r="I794" s="357">
        <f t="shared" ca="1" si="361"/>
        <v>103.75295216624885</v>
      </c>
      <c r="J794" s="359">
        <f t="shared" ca="1" si="362"/>
        <v>1396.1390747439384</v>
      </c>
      <c r="K794" s="360">
        <f t="shared" ca="1" si="363"/>
        <v>2129.7715446692846</v>
      </c>
      <c r="L794" s="357">
        <f t="shared" ca="1" si="348"/>
        <v>2546.5920655868404</v>
      </c>
      <c r="M794" s="359">
        <f t="shared" ca="1" si="364"/>
        <v>-1.2568676373835541</v>
      </c>
      <c r="N794" s="357">
        <f t="shared" ca="1" si="365"/>
        <v>-72.013211028656826</v>
      </c>
      <c r="O794" s="343"/>
      <c r="P794" s="363">
        <f t="shared" ca="1" si="366"/>
        <v>23</v>
      </c>
      <c r="Q794" s="357">
        <f t="shared" ca="1" si="367"/>
        <v>0</v>
      </c>
      <c r="R794" s="359">
        <f t="shared" ca="1" si="368"/>
        <v>0</v>
      </c>
      <c r="S794" s="360">
        <f t="shared" ca="1" si="369"/>
        <v>9.637999999999975</v>
      </c>
      <c r="T794" s="357">
        <f t="shared" ca="1" si="349"/>
        <v>94.548779999999766</v>
      </c>
      <c r="U794" s="364">
        <f t="shared" ca="1" si="350"/>
        <v>0</v>
      </c>
      <c r="V794" s="359">
        <f t="shared" ca="1" si="351"/>
        <v>0.98921174191033756</v>
      </c>
      <c r="W794" s="357">
        <f t="shared" ca="1" si="352"/>
        <v>24.31589902518385</v>
      </c>
      <c r="X794" s="343"/>
      <c r="Y794" s="367" t="str">
        <f t="shared" ca="1" si="370"/>
        <v/>
      </c>
      <c r="Z794" s="368" t="str">
        <f t="shared" ca="1" si="371"/>
        <v/>
      </c>
      <c r="AA794" s="369" t="str">
        <f t="shared" ca="1" si="372"/>
        <v/>
      </c>
      <c r="AB794" s="344"/>
      <c r="AC794" s="363">
        <f t="shared" ca="1" si="373"/>
        <v>34.000000000000149</v>
      </c>
      <c r="AD794" s="376">
        <f t="shared" ca="1" si="374"/>
        <v>1396.1390747439384</v>
      </c>
      <c r="AE794" s="377" t="e">
        <f t="shared" ca="1" si="353"/>
        <v>#N/A</v>
      </c>
      <c r="AF794" s="344"/>
      <c r="AG794" s="359">
        <f t="shared" ca="1" si="375"/>
        <v>6.8343024553995209</v>
      </c>
      <c r="AH794" s="357">
        <f t="shared" ca="1" si="376"/>
        <v>-2.4872952306423874</v>
      </c>
    </row>
    <row r="795" spans="1:34" x14ac:dyDescent="0.25">
      <c r="A795" s="402">
        <f t="shared" ca="1" si="354"/>
        <v>0.1</v>
      </c>
      <c r="B795" s="357">
        <f t="shared" ca="1" si="355"/>
        <v>34.100000000000151</v>
      </c>
      <c r="C795" s="342"/>
      <c r="D795" s="359">
        <f t="shared" ca="1" si="356"/>
        <v>-0.77907175562099451</v>
      </c>
      <c r="E795" s="360">
        <f t="shared" ca="1" si="357"/>
        <v>-7.4103811831926514</v>
      </c>
      <c r="F795" s="357">
        <f t="shared" ca="1" si="358"/>
        <v>7.4512215160081032</v>
      </c>
      <c r="G795" s="359">
        <f t="shared" ca="1" si="359"/>
        <v>31.960765344830801</v>
      </c>
      <c r="H795" s="360">
        <f t="shared" ca="1" si="360"/>
        <v>-99.423349331337292</v>
      </c>
      <c r="I795" s="357">
        <f t="shared" ca="1" si="361"/>
        <v>104.43415587674592</v>
      </c>
      <c r="J795" s="359">
        <f t="shared" ca="1" si="362"/>
        <v>1399.3390466371995</v>
      </c>
      <c r="K795" s="360">
        <f t="shared" ca="1" si="363"/>
        <v>2119.866261642067</v>
      </c>
      <c r="L795" s="357">
        <f t="shared" ca="1" si="348"/>
        <v>2540.0753403574113</v>
      </c>
      <c r="M795" s="359">
        <f t="shared" ca="1" si="364"/>
        <v>-1.2597683259701449</v>
      </c>
      <c r="N795" s="357">
        <f t="shared" ca="1" si="365"/>
        <v>-72.179408242350235</v>
      </c>
      <c r="O795" s="343"/>
      <c r="P795" s="363">
        <f t="shared" ca="1" si="366"/>
        <v>23</v>
      </c>
      <c r="Q795" s="357">
        <f t="shared" ca="1" si="367"/>
        <v>0</v>
      </c>
      <c r="R795" s="359">
        <f t="shared" ca="1" si="368"/>
        <v>0</v>
      </c>
      <c r="S795" s="360">
        <f t="shared" ca="1" si="369"/>
        <v>9.637999999999975</v>
      </c>
      <c r="T795" s="357">
        <f t="shared" ca="1" si="349"/>
        <v>94.548779999999766</v>
      </c>
      <c r="U795" s="364">
        <f t="shared" ca="1" si="350"/>
        <v>0</v>
      </c>
      <c r="V795" s="359">
        <f t="shared" ca="1" si="351"/>
        <v>0.99020326662058644</v>
      </c>
      <c r="W795" s="357">
        <f t="shared" ca="1" si="352"/>
        <v>24.660939566507878</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6.8076435661022767</v>
      </c>
      <c r="AH795" s="357">
        <f t="shared" ca="1" si="376"/>
        <v>-2.5229195917393561</v>
      </c>
    </row>
    <row r="796" spans="1:34" x14ac:dyDescent="0.25">
      <c r="A796" s="402">
        <f t="shared" ca="1" si="354"/>
        <v>0.1</v>
      </c>
      <c r="B796" s="357">
        <f t="shared" ca="1" si="355"/>
        <v>34.200000000000152</v>
      </c>
      <c r="C796" s="342"/>
      <c r="D796" s="359">
        <f t="shared" ca="1" si="356"/>
        <v>-0.78306408700201624</v>
      </c>
      <c r="E796" s="360">
        <f t="shared" ca="1" si="357"/>
        <v>-7.3740491261446577</v>
      </c>
      <c r="F796" s="357">
        <f t="shared" ca="1" si="358"/>
        <v>7.4155100889383929</v>
      </c>
      <c r="G796" s="359">
        <f t="shared" ca="1" si="359"/>
        <v>31.8824589361306</v>
      </c>
      <c r="H796" s="360">
        <f t="shared" ca="1" si="360"/>
        <v>-100.16075424395176</v>
      </c>
      <c r="I796" s="357">
        <f t="shared" ca="1" si="361"/>
        <v>105.11264376149691</v>
      </c>
      <c r="J796" s="359">
        <f t="shared" ca="1" si="362"/>
        <v>1402.5312078512477</v>
      </c>
      <c r="K796" s="360">
        <f t="shared" ca="1" si="363"/>
        <v>2109.8870564633025</v>
      </c>
      <c r="L796" s="357">
        <f t="shared" ca="1" si="348"/>
        <v>2533.5187348879144</v>
      </c>
      <c r="M796" s="359">
        <f t="shared" ca="1" si="364"/>
        <v>-1.2626245301355958</v>
      </c>
      <c r="N796" s="357">
        <f t="shared" ca="1" si="365"/>
        <v>-72.343056686458269</v>
      </c>
      <c r="O796" s="343"/>
      <c r="P796" s="363">
        <f t="shared" ca="1" si="366"/>
        <v>23</v>
      </c>
      <c r="Q796" s="357">
        <f t="shared" ca="1" si="367"/>
        <v>0</v>
      </c>
      <c r="R796" s="359">
        <f t="shared" ca="1" si="368"/>
        <v>0</v>
      </c>
      <c r="S796" s="360">
        <f t="shared" ca="1" si="369"/>
        <v>9.637999999999975</v>
      </c>
      <c r="T796" s="357">
        <f t="shared" ca="1" si="349"/>
        <v>94.548779999999766</v>
      </c>
      <c r="U796" s="364">
        <f t="shared" ca="1" si="350"/>
        <v>0</v>
      </c>
      <c r="V796" s="359">
        <f t="shared" ca="1" si="351"/>
        <v>0.99120308936295587</v>
      </c>
      <c r="W796" s="357">
        <f t="shared" ca="1" si="352"/>
        <v>25.007639989073216</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6.7805913570673457</v>
      </c>
      <c r="AH796" s="357">
        <f t="shared" ca="1" si="376"/>
        <v>-2.5587196064025672</v>
      </c>
    </row>
    <row r="797" spans="1:34" x14ac:dyDescent="0.25">
      <c r="A797" s="402">
        <f t="shared" ca="1" si="354"/>
        <v>0.1</v>
      </c>
      <c r="B797" s="357">
        <f t="shared" ca="1" si="355"/>
        <v>34.300000000000153</v>
      </c>
      <c r="C797" s="342"/>
      <c r="D797" s="359">
        <f t="shared" ca="1" si="356"/>
        <v>-0.78701432288874207</v>
      </c>
      <c r="E797" s="360">
        <f t="shared" ca="1" si="357"/>
        <v>-7.3375449004970541</v>
      </c>
      <c r="F797" s="357">
        <f t="shared" ca="1" si="358"/>
        <v>7.3796312042840153</v>
      </c>
      <c r="G797" s="359">
        <f t="shared" ca="1" si="359"/>
        <v>31.803757503841727</v>
      </c>
      <c r="H797" s="360">
        <f t="shared" ca="1" si="360"/>
        <v>-100.89450873400146</v>
      </c>
      <c r="I797" s="357">
        <f t="shared" ca="1" si="361"/>
        <v>105.78837783064199</v>
      </c>
      <c r="J797" s="359">
        <f t="shared" ca="1" si="362"/>
        <v>1405.7155186732464</v>
      </c>
      <c r="K797" s="360">
        <f t="shared" ca="1" si="363"/>
        <v>2099.8342933144049</v>
      </c>
      <c r="L797" s="357">
        <f t="shared" ca="1" si="348"/>
        <v>2526.9230654727107</v>
      </c>
      <c r="M797" s="359">
        <f t="shared" ca="1" si="364"/>
        <v>-1.265437262898411</v>
      </c>
      <c r="N797" s="357">
        <f t="shared" ca="1" si="365"/>
        <v>-72.504214402665738</v>
      </c>
      <c r="O797" s="343"/>
      <c r="P797" s="363">
        <f t="shared" ca="1" si="366"/>
        <v>23</v>
      </c>
      <c r="Q797" s="357">
        <f t="shared" ca="1" si="367"/>
        <v>0</v>
      </c>
      <c r="R797" s="359">
        <f t="shared" ca="1" si="368"/>
        <v>0</v>
      </c>
      <c r="S797" s="360">
        <f t="shared" ca="1" si="369"/>
        <v>9.637999999999975</v>
      </c>
      <c r="T797" s="357">
        <f t="shared" ca="1" si="349"/>
        <v>94.548779999999766</v>
      </c>
      <c r="U797" s="364">
        <f t="shared" ca="1" si="350"/>
        <v>0</v>
      </c>
      <c r="V797" s="359">
        <f t="shared" ca="1" si="351"/>
        <v>0.99221119487413434</v>
      </c>
      <c r="W797" s="357">
        <f t="shared" ca="1" si="352"/>
        <v>25.35596717016444</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6.7531559886520274</v>
      </c>
      <c r="AH797" s="357">
        <f t="shared" ca="1" si="376"/>
        <v>-2.5946918436473627</v>
      </c>
    </row>
    <row r="798" spans="1:34" x14ac:dyDescent="0.25">
      <c r="A798" s="402">
        <f t="shared" ca="1" si="354"/>
        <v>0.1</v>
      </c>
      <c r="B798" s="357">
        <f t="shared" ca="1" si="355"/>
        <v>34.400000000000155</v>
      </c>
      <c r="C798" s="342"/>
      <c r="D798" s="359">
        <f t="shared" ca="1" si="356"/>
        <v>-0.79092214328699817</v>
      </c>
      <c r="E798" s="360">
        <f t="shared" ca="1" si="357"/>
        <v>-7.3008719171265923</v>
      </c>
      <c r="F798" s="357">
        <f t="shared" ca="1" si="358"/>
        <v>7.3435882637188623</v>
      </c>
      <c r="G798" s="359">
        <f t="shared" ca="1" si="359"/>
        <v>31.724665289513027</v>
      </c>
      <c r="H798" s="360">
        <f t="shared" ca="1" si="360"/>
        <v>-101.62459592571412</v>
      </c>
      <c r="I798" s="357">
        <f t="shared" ca="1" si="361"/>
        <v>106.46132107388252</v>
      </c>
      <c r="J798" s="359">
        <f t="shared" ca="1" si="362"/>
        <v>1408.8919398129142</v>
      </c>
      <c r="K798" s="360">
        <f t="shared" ca="1" si="363"/>
        <v>2089.7083380814192</v>
      </c>
      <c r="L798" s="357">
        <f t="shared" ca="1" si="348"/>
        <v>2520.289157282712</v>
      </c>
      <c r="M798" s="359">
        <f t="shared" ca="1" si="364"/>
        <v>-1.2682075079487602</v>
      </c>
      <c r="N798" s="357">
        <f t="shared" ca="1" si="365"/>
        <v>-72.662937752267766</v>
      </c>
      <c r="O798" s="343"/>
      <c r="P798" s="363">
        <f t="shared" ca="1" si="366"/>
        <v>23</v>
      </c>
      <c r="Q798" s="357">
        <f t="shared" ca="1" si="367"/>
        <v>0</v>
      </c>
      <c r="R798" s="359">
        <f t="shared" ca="1" si="368"/>
        <v>0</v>
      </c>
      <c r="S798" s="360">
        <f t="shared" ca="1" si="369"/>
        <v>9.637999999999975</v>
      </c>
      <c r="T798" s="357">
        <f t="shared" ca="1" si="349"/>
        <v>94.548779999999766</v>
      </c>
      <c r="U798" s="364">
        <f t="shared" ca="1" si="350"/>
        <v>0</v>
      </c>
      <c r="V798" s="359">
        <f t="shared" ca="1" si="351"/>
        <v>0.99322756779123011</v>
      </c>
      <c r="W798" s="357">
        <f t="shared" ca="1" si="352"/>
        <v>25.705887937432284</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6.725347376985285</v>
      </c>
      <c r="AH798" s="357">
        <f t="shared" ca="1" si="376"/>
        <v>-2.6308328667944081</v>
      </c>
    </row>
    <row r="799" spans="1:34" x14ac:dyDescent="0.25">
      <c r="A799" s="402">
        <f t="shared" ca="1" si="354"/>
        <v>0.1</v>
      </c>
      <c r="B799" s="357">
        <f t="shared" ca="1" si="355"/>
        <v>34.500000000000156</v>
      </c>
      <c r="C799" s="342"/>
      <c r="D799" s="359">
        <f t="shared" ca="1" si="356"/>
        <v>-0.79478723940424578</v>
      </c>
      <c r="E799" s="360">
        <f t="shared" ca="1" si="357"/>
        <v>-7.2640335945460786</v>
      </c>
      <c r="F799" s="357">
        <f t="shared" ca="1" si="358"/>
        <v>7.3073846770656496</v>
      </c>
      <c r="G799" s="359">
        <f t="shared" ca="1" si="359"/>
        <v>31.645186565572601</v>
      </c>
      <c r="H799" s="360">
        <f t="shared" ca="1" si="360"/>
        <v>-102.35099928516873</v>
      </c>
      <c r="I799" s="357">
        <f t="shared" ca="1" si="361"/>
        <v>107.13143743758181</v>
      </c>
      <c r="J799" s="359">
        <f t="shared" ca="1" si="362"/>
        <v>1412.0604324056685</v>
      </c>
      <c r="K799" s="360">
        <f t="shared" ca="1" si="363"/>
        <v>2079.5095583208749</v>
      </c>
      <c r="L799" s="357">
        <f t="shared" ca="1" si="348"/>
        <v>2513.6178444452457</v>
      </c>
      <c r="M799" s="359">
        <f t="shared" ca="1" si="364"/>
        <v>-1.2709362206474959</v>
      </c>
      <c r="N799" s="357">
        <f t="shared" ca="1" si="365"/>
        <v>-72.819281473409063</v>
      </c>
      <c r="O799" s="343"/>
      <c r="P799" s="363">
        <f t="shared" ca="1" si="366"/>
        <v>23</v>
      </c>
      <c r="Q799" s="357">
        <f t="shared" ca="1" si="367"/>
        <v>0</v>
      </c>
      <c r="R799" s="359">
        <f t="shared" ca="1" si="368"/>
        <v>0</v>
      </c>
      <c r="S799" s="360">
        <f t="shared" ca="1" si="369"/>
        <v>9.637999999999975</v>
      </c>
      <c r="T799" s="357">
        <f t="shared" ca="1" si="349"/>
        <v>94.548779999999766</v>
      </c>
      <c r="U799" s="364">
        <f t="shared" ca="1" si="350"/>
        <v>0</v>
      </c>
      <c r="V799" s="359">
        <f t="shared" ca="1" si="351"/>
        <v>0.99425219265270692</v>
      </c>
      <c r="W799" s="357">
        <f t="shared" ca="1" si="352"/>
        <v>26.057369074144646</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6.6971752040844761</v>
      </c>
      <c r="AH799" s="357">
        <f t="shared" ca="1" si="376"/>
        <v>-2.6671392340145621</v>
      </c>
    </row>
    <row r="800" spans="1:34" x14ac:dyDescent="0.25">
      <c r="A800" s="402">
        <f t="shared" ca="1" si="354"/>
        <v>0.1</v>
      </c>
      <c r="B800" s="357">
        <f t="shared" ca="1" si="355"/>
        <v>34.600000000000158</v>
      </c>
      <c r="C800" s="342"/>
      <c r="D800" s="359">
        <f t="shared" ca="1" si="356"/>
        <v>-0.79860931345933883</v>
      </c>
      <c r="E800" s="360">
        <f t="shared" ca="1" si="357"/>
        <v>-7.2270333582444195</v>
      </c>
      <c r="F800" s="357">
        <f t="shared" ca="1" si="358"/>
        <v>7.2710238616526084</v>
      </c>
      <c r="G800" s="359">
        <f t="shared" ca="1" si="359"/>
        <v>31.565325634226667</v>
      </c>
      <c r="H800" s="360">
        <f t="shared" ca="1" si="360"/>
        <v>-103.07370262099317</v>
      </c>
      <c r="I800" s="357">
        <f t="shared" ca="1" si="361"/>
        <v>107.79869180280298</v>
      </c>
      <c r="J800" s="359">
        <f t="shared" ca="1" si="362"/>
        <v>1415.2209580156584</v>
      </c>
      <c r="K800" s="360">
        <f t="shared" ca="1" si="363"/>
        <v>2069.238323225567</v>
      </c>
      <c r="L800" s="357">
        <f t="shared" ca="1" si="348"/>
        <v>2506.909970124997</v>
      </c>
      <c r="M800" s="359">
        <f t="shared" ca="1" si="364"/>
        <v>-1.2736243289872182</v>
      </c>
      <c r="N800" s="357">
        <f t="shared" ca="1" si="365"/>
        <v>-72.973298736149076</v>
      </c>
      <c r="O800" s="343"/>
      <c r="P800" s="363">
        <f t="shared" ca="1" si="366"/>
        <v>23</v>
      </c>
      <c r="Q800" s="357">
        <f t="shared" ca="1" si="367"/>
        <v>0</v>
      </c>
      <c r="R800" s="359">
        <f t="shared" ca="1" si="368"/>
        <v>0</v>
      </c>
      <c r="S800" s="360">
        <f t="shared" ca="1" si="369"/>
        <v>9.637999999999975</v>
      </c>
      <c r="T800" s="357">
        <f t="shared" ca="1" si="349"/>
        <v>94.548779999999766</v>
      </c>
      <c r="U800" s="364">
        <f t="shared" ca="1" si="350"/>
        <v>0</v>
      </c>
      <c r="V800" s="359">
        <f t="shared" ca="1" si="351"/>
        <v>0.99528505389932831</v>
      </c>
      <c r="W800" s="357">
        <f t="shared" ca="1" si="352"/>
        <v>26.410377324435654</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6.6686489274671175</v>
      </c>
      <c r="AH800" s="357">
        <f t="shared" ca="1" si="376"/>
        <v>-2.7036074988736991</v>
      </c>
    </row>
    <row r="801" spans="1:34" x14ac:dyDescent="0.25">
      <c r="A801" s="402">
        <f t="shared" ca="1" si="354"/>
        <v>0.1</v>
      </c>
      <c r="B801" s="357">
        <f t="shared" ca="1" si="355"/>
        <v>34.700000000000159</v>
      </c>
      <c r="C801" s="342"/>
      <c r="D801" s="359">
        <f t="shared" ca="1" si="356"/>
        <v>-0.80238807849931659</v>
      </c>
      <c r="E801" s="360">
        <f t="shared" ca="1" si="357"/>
        <v>-7.1898746400325262</v>
      </c>
      <c r="F801" s="357">
        <f t="shared" ca="1" si="358"/>
        <v>7.2345092416763608</v>
      </c>
      <c r="G801" s="359">
        <f t="shared" ca="1" si="359"/>
        <v>31.485086826376737</v>
      </c>
      <c r="H801" s="360">
        <f t="shared" ca="1" si="360"/>
        <v>-103.79269008499642</v>
      </c>
      <c r="I801" s="357">
        <f t="shared" ca="1" si="361"/>
        <v>108.46304996423711</v>
      </c>
      <c r="J801" s="359">
        <f t="shared" ca="1" si="362"/>
        <v>1418.3734786386885</v>
      </c>
      <c r="K801" s="360">
        <f t="shared" ca="1" si="363"/>
        <v>2058.8950035902676</v>
      </c>
      <c r="L801" s="357">
        <f t="shared" ca="1" si="348"/>
        <v>2500.1663866060157</v>
      </c>
      <c r="M801" s="359">
        <f t="shared" ca="1" si="364"/>
        <v>-1.2762727345169074</v>
      </c>
      <c r="N801" s="357">
        <f t="shared" ca="1" si="365"/>
        <v>-73.12504119543938</v>
      </c>
      <c r="O801" s="343"/>
      <c r="P801" s="363">
        <f t="shared" ca="1" si="366"/>
        <v>23</v>
      </c>
      <c r="Q801" s="357">
        <f t="shared" ca="1" si="367"/>
        <v>0</v>
      </c>
      <c r="R801" s="359">
        <f t="shared" ca="1" si="368"/>
        <v>0</v>
      </c>
      <c r="S801" s="360">
        <f t="shared" ca="1" si="369"/>
        <v>9.637999999999975</v>
      </c>
      <c r="T801" s="357">
        <f t="shared" ca="1" si="349"/>
        <v>94.548779999999766</v>
      </c>
      <c r="U801" s="364">
        <f t="shared" ca="1" si="350"/>
        <v>0</v>
      </c>
      <c r="V801" s="359">
        <f t="shared" ca="1" si="351"/>
        <v>0.99632613587511276</v>
      </c>
      <c r="W801" s="357">
        <f t="shared" ca="1" si="352"/>
        <v>26.764879398551233</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6.6397777892836123</v>
      </c>
      <c r="AH801" s="357">
        <f t="shared" ca="1" si="376"/>
        <v>-2.7402342108773317</v>
      </c>
    </row>
    <row r="802" spans="1:34" x14ac:dyDescent="0.25">
      <c r="A802" s="402">
        <f t="shared" ca="1" si="354"/>
        <v>0.1</v>
      </c>
      <c r="B802" s="357">
        <f t="shared" ca="1" si="355"/>
        <v>34.800000000000161</v>
      </c>
      <c r="C802" s="342"/>
      <c r="D802" s="359">
        <f t="shared" ca="1" si="356"/>
        <v>-0.80612325822284703</v>
      </c>
      <c r="E802" s="360">
        <f t="shared" ca="1" si="357"/>
        <v>-7.152560877394917</v>
      </c>
      <c r="F802" s="357">
        <f t="shared" ca="1" si="358"/>
        <v>7.1978442475708073</v>
      </c>
      <c r="G802" s="359">
        <f t="shared" ca="1" si="359"/>
        <v>31.404474500554453</v>
      </c>
      <c r="H802" s="360">
        <f t="shared" ca="1" si="360"/>
        <v>-104.50794617273591</v>
      </c>
      <c r="I802" s="357">
        <f t="shared" ca="1" si="361"/>
        <v>109.12447860997753</v>
      </c>
      <c r="J802" s="359">
        <f t="shared" ca="1" si="362"/>
        <v>1421.5179567050352</v>
      </c>
      <c r="K802" s="360">
        <f t="shared" ca="1" si="363"/>
        <v>2048.4799717773808</v>
      </c>
      <c r="L802" s="357">
        <f t="shared" ca="1" si="348"/>
        <v>2493.3879553747579</v>
      </c>
      <c r="M802" s="359">
        <f t="shared" ca="1" si="364"/>
        <v>-1.2788823132315845</v>
      </c>
      <c r="N802" s="357">
        <f t="shared" ca="1" si="365"/>
        <v>-73.27455904209755</v>
      </c>
      <c r="O802" s="343"/>
      <c r="P802" s="363">
        <f t="shared" ca="1" si="366"/>
        <v>23</v>
      </c>
      <c r="Q802" s="357">
        <f t="shared" ca="1" si="367"/>
        <v>0</v>
      </c>
      <c r="R802" s="359">
        <f t="shared" ca="1" si="368"/>
        <v>0</v>
      </c>
      <c r="S802" s="360">
        <f t="shared" ca="1" si="369"/>
        <v>9.637999999999975</v>
      </c>
      <c r="T802" s="357">
        <f t="shared" ca="1" si="349"/>
        <v>94.548779999999766</v>
      </c>
      <c r="U802" s="364">
        <f t="shared" ca="1" si="350"/>
        <v>0</v>
      </c>
      <c r="V802" s="359">
        <f t="shared" ca="1" si="351"/>
        <v>0.99737542282829705</v>
      </c>
      <c r="W802" s="357">
        <f t="shared" ca="1" si="352"/>
        <v>27.1208419780897</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6.6105708249954773</v>
      </c>
      <c r="AH802" s="357">
        <f t="shared" ca="1" si="376"/>
        <v>-2.7770159160148684</v>
      </c>
    </row>
    <row r="803" spans="1:34" x14ac:dyDescent="0.25">
      <c r="A803" s="402">
        <f t="shared" ca="1" si="354"/>
        <v>0.1</v>
      </c>
      <c r="B803" s="357">
        <f t="shared" ca="1" si="355"/>
        <v>34.900000000000162</v>
      </c>
      <c r="C803" s="342"/>
      <c r="D803" s="359">
        <f t="shared" ca="1" si="356"/>
        <v>-0.80981458680994867</v>
      </c>
      <c r="E803" s="360">
        <f t="shared" ca="1" si="357"/>
        <v>-7.1150955128468629</v>
      </c>
      <c r="F803" s="357">
        <f t="shared" ca="1" si="358"/>
        <v>7.1610323153818909</v>
      </c>
      <c r="G803" s="359">
        <f t="shared" ca="1" si="359"/>
        <v>31.323493041873459</v>
      </c>
      <c r="H803" s="360">
        <f t="shared" ca="1" si="360"/>
        <v>-105.21945572402061</v>
      </c>
      <c r="I803" s="357">
        <f t="shared" ca="1" si="361"/>
        <v>109.78294530209794</v>
      </c>
      <c r="J803" s="359">
        <f t="shared" ca="1" si="362"/>
        <v>1424.6543550821566</v>
      </c>
      <c r="K803" s="360">
        <f t="shared" ca="1" si="363"/>
        <v>2037.9936016825429</v>
      </c>
      <c r="L803" s="357">
        <f t="shared" ca="1" si="348"/>
        <v>2486.5755472041342</v>
      </c>
      <c r="M803" s="359">
        <f t="shared" ca="1" si="364"/>
        <v>-1.2814539164284036</v>
      </c>
      <c r="N803" s="357">
        <f t="shared" ca="1" si="365"/>
        <v>-73.421901051857631</v>
      </c>
      <c r="O803" s="343"/>
      <c r="P803" s="363">
        <f t="shared" ca="1" si="366"/>
        <v>23</v>
      </c>
      <c r="Q803" s="357">
        <f t="shared" ca="1" si="367"/>
        <v>0</v>
      </c>
      <c r="R803" s="359">
        <f t="shared" ca="1" si="368"/>
        <v>0</v>
      </c>
      <c r="S803" s="360">
        <f t="shared" ca="1" si="369"/>
        <v>9.637999999999975</v>
      </c>
      <c r="T803" s="357">
        <f t="shared" ca="1" si="349"/>
        <v>94.548779999999766</v>
      </c>
      <c r="U803" s="364">
        <f t="shared" ca="1" si="350"/>
        <v>0</v>
      </c>
      <c r="V803" s="359">
        <f t="shared" ca="1" si="351"/>
        <v>0.99843289891231224</v>
      </c>
      <c r="W803" s="357">
        <f t="shared" ca="1" si="352"/>
        <v>27.478231721236003</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6.5810368716223344</v>
      </c>
      <c r="AH803" s="357">
        <f t="shared" ca="1" si="376"/>
        <v>-2.8139491573033588</v>
      </c>
    </row>
    <row r="804" spans="1:34" x14ac:dyDescent="0.25">
      <c r="A804" s="402">
        <f t="shared" ca="1" si="354"/>
        <v>0.1</v>
      </c>
      <c r="B804" s="357">
        <f t="shared" ca="1" si="355"/>
        <v>35.000000000000163</v>
      </c>
      <c r="C804" s="342"/>
      <c r="D804" s="359">
        <f t="shared" ca="1" si="356"/>
        <v>-0.81346180875764718</v>
      </c>
      <c r="E804" s="360">
        <f t="shared" ca="1" si="357"/>
        <v>-7.0774819932969493</v>
      </c>
      <c r="F804" s="357">
        <f t="shared" ca="1" si="358"/>
        <v>7.1240768861481154</v>
      </c>
      <c r="G804" s="359">
        <f t="shared" ca="1" si="359"/>
        <v>31.242146860997693</v>
      </c>
      <c r="H804" s="360">
        <f t="shared" ca="1" si="360"/>
        <v>-105.92720392335031</v>
      </c>
      <c r="I804" s="357">
        <f t="shared" ca="1" si="361"/>
        <v>110.4384184579949</v>
      </c>
      <c r="J804" s="359">
        <f t="shared" ca="1" si="362"/>
        <v>1427.7826370773003</v>
      </c>
      <c r="K804" s="360">
        <f t="shared" ca="1" si="363"/>
        <v>2027.4362687001744</v>
      </c>
      <c r="L804" s="357">
        <f t="shared" ca="1" si="348"/>
        <v>2479.7300422385288</v>
      </c>
      <c r="M804" s="359">
        <f t="shared" ca="1" si="364"/>
        <v>-1.2839883715305256</v>
      </c>
      <c r="N804" s="357">
        <f t="shared" ca="1" si="365"/>
        <v>-73.567114632574615</v>
      </c>
      <c r="O804" s="343"/>
      <c r="P804" s="363">
        <f t="shared" ca="1" si="366"/>
        <v>23</v>
      </c>
      <c r="Q804" s="357">
        <f t="shared" ca="1" si="367"/>
        <v>0</v>
      </c>
      <c r="R804" s="359">
        <f t="shared" ca="1" si="368"/>
        <v>0</v>
      </c>
      <c r="S804" s="360">
        <f t="shared" ca="1" si="369"/>
        <v>9.637999999999975</v>
      </c>
      <c r="T804" s="357">
        <f t="shared" ca="1" si="349"/>
        <v>94.548779999999766</v>
      </c>
      <c r="U804" s="364">
        <f t="shared" ca="1" si="350"/>
        <v>0</v>
      </c>
      <c r="V804" s="359">
        <f t="shared" ca="1" si="351"/>
        <v>0.99949854818676387</v>
      </c>
      <c r="W804" s="357">
        <f t="shared" ca="1" si="352"/>
        <v>27.837015267987915</v>
      </c>
      <c r="X804" s="343"/>
      <c r="Y804" s="367" t="str">
        <f t="shared" ca="1" si="370"/>
        <v/>
      </c>
      <c r="Z804" s="368" t="str">
        <f t="shared" ca="1" si="371"/>
        <v/>
      </c>
      <c r="AA804" s="369" t="str">
        <f t="shared" ca="1" si="372"/>
        <v/>
      </c>
      <c r="AB804" s="344"/>
      <c r="AC804" s="363">
        <f t="shared" ca="1" si="373"/>
        <v>35.000000000000163</v>
      </c>
      <c r="AD804" s="376">
        <f t="shared" ca="1" si="374"/>
        <v>1427.7826370773003</v>
      </c>
      <c r="AE804" s="377" t="e">
        <f t="shared" ca="1" si="353"/>
        <v>#N/A</v>
      </c>
      <c r="AF804" s="344"/>
      <c r="AG804" s="359">
        <f t="shared" ca="1" si="375"/>
        <v>6.5511845755796791</v>
      </c>
      <c r="AH804" s="357">
        <f t="shared" ca="1" si="376"/>
        <v>-2.8510304753305742</v>
      </c>
    </row>
    <row r="805" spans="1:34" x14ac:dyDescent="0.25">
      <c r="A805" s="402">
        <f t="shared" ca="1" si="354"/>
        <v>0.1</v>
      </c>
      <c r="B805" s="357">
        <f t="shared" ca="1" si="355"/>
        <v>35.100000000000165</v>
      </c>
      <c r="C805" s="342"/>
      <c r="D805" s="359">
        <f t="shared" ca="1" si="356"/>
        <v>-0.81706467872122479</v>
      </c>
      <c r="E805" s="360">
        <f t="shared" ca="1" si="357"/>
        <v>-7.0397237694149304</v>
      </c>
      <c r="F805" s="357">
        <f t="shared" ca="1" si="358"/>
        <v>7.0869814052866946</v>
      </c>
      <c r="G805" s="359">
        <f t="shared" ca="1" si="359"/>
        <v>31.160440393125569</v>
      </c>
      <c r="H805" s="360">
        <f t="shared" ca="1" si="360"/>
        <v>-106.6311763002918</v>
      </c>
      <c r="I805" s="357">
        <f t="shared" ca="1" si="361"/>
        <v>111.09086733245645</v>
      </c>
      <c r="J805" s="359">
        <f t="shared" ca="1" si="362"/>
        <v>1430.9027664400064</v>
      </c>
      <c r="K805" s="360">
        <f t="shared" ca="1" si="363"/>
        <v>2016.8083496889924</v>
      </c>
      <c r="L805" s="357">
        <f t="shared" ca="1" si="348"/>
        <v>2472.8523300797606</v>
      </c>
      <c r="M805" s="359">
        <f t="shared" ca="1" si="364"/>
        <v>-1.2864864828800675</v>
      </c>
      <c r="N805" s="357">
        <f t="shared" ca="1" si="365"/>
        <v>-73.710245869657101</v>
      </c>
      <c r="O805" s="343"/>
      <c r="P805" s="363">
        <f t="shared" ca="1" si="366"/>
        <v>23</v>
      </c>
      <c r="Q805" s="357">
        <f t="shared" ca="1" si="367"/>
        <v>0</v>
      </c>
      <c r="R805" s="359">
        <f t="shared" ca="1" si="368"/>
        <v>0</v>
      </c>
      <c r="S805" s="360">
        <f t="shared" ca="1" si="369"/>
        <v>9.637999999999975</v>
      </c>
      <c r="T805" s="357">
        <f t="shared" ca="1" si="349"/>
        <v>94.548779999999766</v>
      </c>
      <c r="U805" s="364">
        <f t="shared" ca="1" si="350"/>
        <v>0</v>
      </c>
      <c r="V805" s="359">
        <f t="shared" ca="1" si="351"/>
        <v>1.0005723546184284</v>
      </c>
      <c r="W805" s="357">
        <f t="shared" ca="1" si="352"/>
        <v>28.197159245373051</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6.5210224001283166</v>
      </c>
      <c r="AH805" s="357">
        <f t="shared" ca="1" si="376"/>
        <v>-2.8882564087972598</v>
      </c>
    </row>
    <row r="806" spans="1:34" x14ac:dyDescent="0.25">
      <c r="A806" s="402">
        <f t="shared" ca="1" si="354"/>
        <v>0.1</v>
      </c>
      <c r="B806" s="357">
        <f t="shared" ca="1" si="355"/>
        <v>35.200000000000166</v>
      </c>
      <c r="C806" s="342"/>
      <c r="D806" s="359">
        <f t="shared" ca="1" si="356"/>
        <v>-0.82062296136076074</v>
      </c>
      <c r="E806" s="360">
        <f t="shared" ca="1" si="357"/>
        <v>-7.0018242950047833</v>
      </c>
      <c r="F806" s="357">
        <f t="shared" ca="1" si="358"/>
        <v>7.0497493219852672</v>
      </c>
      <c r="G806" s="359">
        <f t="shared" ca="1" si="359"/>
        <v>31.078378096989493</v>
      </c>
      <c r="H806" s="360">
        <f t="shared" ca="1" si="360"/>
        <v>-107.33135872979227</v>
      </c>
      <c r="I806" s="357">
        <f t="shared" ca="1" si="361"/>
        <v>111.74026200042128</v>
      </c>
      <c r="J806" s="359">
        <f t="shared" ca="1" si="362"/>
        <v>1434.0147073645121</v>
      </c>
      <c r="K806" s="360">
        <f t="shared" ca="1" si="363"/>
        <v>2006.1102229374883</v>
      </c>
      <c r="L806" s="357">
        <f t="shared" ca="1" si="348"/>
        <v>2465.9433098739364</v>
      </c>
      <c r="M806" s="359">
        <f t="shared" ca="1" si="364"/>
        <v>-1.2889490325013713</v>
      </c>
      <c r="N806" s="357">
        <f t="shared" ca="1" si="365"/>
        <v>-73.85133956979935</v>
      </c>
      <c r="O806" s="343"/>
      <c r="P806" s="363">
        <f t="shared" ca="1" si="366"/>
        <v>23</v>
      </c>
      <c r="Q806" s="357">
        <f t="shared" ca="1" si="367"/>
        <v>0</v>
      </c>
      <c r="R806" s="359">
        <f t="shared" ca="1" si="368"/>
        <v>0</v>
      </c>
      <c r="S806" s="360">
        <f t="shared" ca="1" si="369"/>
        <v>9.637999999999975</v>
      </c>
      <c r="T806" s="357">
        <f t="shared" ca="1" si="349"/>
        <v>94.548779999999766</v>
      </c>
      <c r="U806" s="364">
        <f t="shared" ca="1" si="350"/>
        <v>0</v>
      </c>
      <c r="V806" s="359">
        <f t="shared" ca="1" si="351"/>
        <v>1.0016543020822528</v>
      </c>
      <c r="W806" s="357">
        <f t="shared" ca="1" si="352"/>
        <v>28.558630272654927</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6.4905586324551869</v>
      </c>
      <c r="AH806" s="357">
        <f t="shared" ca="1" si="376"/>
        <v>-2.9256234950584274</v>
      </c>
    </row>
    <row r="807" spans="1:34" x14ac:dyDescent="0.25">
      <c r="A807" s="402">
        <f t="shared" ca="1" si="354"/>
        <v>0.1</v>
      </c>
      <c r="B807" s="357">
        <f t="shared" ca="1" si="355"/>
        <v>35.300000000000168</v>
      </c>
      <c r="C807" s="342"/>
      <c r="D807" s="359">
        <f t="shared" ca="1" si="356"/>
        <v>-0.82413643119265512</v>
      </c>
      <c r="E807" s="360">
        <f t="shared" ca="1" si="357"/>
        <v>-6.9637870263828798</v>
      </c>
      <c r="F807" s="357">
        <f t="shared" ca="1" si="358"/>
        <v>7.0123840885990747</v>
      </c>
      <c r="G807" s="359">
        <f t="shared" ca="1" si="359"/>
        <v>30.995964453870226</v>
      </c>
      <c r="H807" s="360">
        <f t="shared" ca="1" si="360"/>
        <v>-108.02773743243056</v>
      </c>
      <c r="I807" s="357">
        <f t="shared" ca="1" si="361"/>
        <v>112.38657334039394</v>
      </c>
      <c r="J807" s="359">
        <f t="shared" ca="1" si="362"/>
        <v>1437.1184244920551</v>
      </c>
      <c r="K807" s="360">
        <f t="shared" ca="1" si="363"/>
        <v>1995.3422681293771</v>
      </c>
      <c r="L807" s="357">
        <f t="shared" ca="1" si="348"/>
        <v>2459.0038903991617</v>
      </c>
      <c r="M807" s="359">
        <f t="shared" ca="1" si="364"/>
        <v>-1.2913767808357852</v>
      </c>
      <c r="N807" s="357">
        <f t="shared" ca="1" si="365"/>
        <v>-73.990439303081189</v>
      </c>
      <c r="O807" s="343"/>
      <c r="P807" s="363">
        <f t="shared" ca="1" si="366"/>
        <v>23</v>
      </c>
      <c r="Q807" s="357">
        <f t="shared" ca="1" si="367"/>
        <v>0</v>
      </c>
      <c r="R807" s="359">
        <f t="shared" ca="1" si="368"/>
        <v>0</v>
      </c>
      <c r="S807" s="360">
        <f t="shared" ca="1" si="369"/>
        <v>9.637999999999975</v>
      </c>
      <c r="T807" s="357">
        <f t="shared" ca="1" si="349"/>
        <v>94.548779999999766</v>
      </c>
      <c r="U807" s="364">
        <f t="shared" ca="1" si="350"/>
        <v>0</v>
      </c>
      <c r="V807" s="359">
        <f t="shared" ca="1" si="351"/>
        <v>1.0027443743623667</v>
      </c>
      <c r="W807" s="357">
        <f t="shared" ca="1" si="352"/>
        <v>28.921394966526826</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6.4598013904043299</v>
      </c>
      <c r="AH807" s="357">
        <f t="shared" ca="1" si="376"/>
        <v>-2.9631282706635194</v>
      </c>
    </row>
    <row r="808" spans="1:34" x14ac:dyDescent="0.25">
      <c r="A808" s="402">
        <f t="shared" ca="1" si="354"/>
        <v>0.1</v>
      </c>
      <c r="B808" s="357">
        <f t="shared" ca="1" si="355"/>
        <v>35.400000000000169</v>
      </c>
      <c r="C808" s="342"/>
      <c r="D808" s="359">
        <f t="shared" ca="1" si="356"/>
        <v>-0.82760487244585867</v>
      </c>
      <c r="E808" s="360">
        <f t="shared" ca="1" si="357"/>
        <v>-6.925615421761198</v>
      </c>
      <c r="F808" s="357">
        <f t="shared" ca="1" si="358"/>
        <v>6.9748891600535599</v>
      </c>
      <c r="G808" s="359">
        <f t="shared" ca="1" si="359"/>
        <v>30.913203966625641</v>
      </c>
      <c r="H808" s="360">
        <f t="shared" ca="1" si="360"/>
        <v>-108.72029897460668</v>
      </c>
      <c r="I808" s="357">
        <f t="shared" ca="1" si="361"/>
        <v>113.02977301848421</v>
      </c>
      <c r="J808" s="359">
        <f t="shared" ca="1" si="362"/>
        <v>1440.2138829130799</v>
      </c>
      <c r="K808" s="360">
        <f t="shared" ca="1" si="363"/>
        <v>1984.5048663090251</v>
      </c>
      <c r="L808" s="357">
        <f t="shared" ca="1" si="348"/>
        <v>2452.0349901540503</v>
      </c>
      <c r="M808" s="359">
        <f t="shared" ca="1" si="364"/>
        <v>-1.2937704674491028</v>
      </c>
      <c r="N808" s="357">
        <f t="shared" ca="1" si="365"/>
        <v>-74.127587443501241</v>
      </c>
      <c r="O808" s="343"/>
      <c r="P808" s="363">
        <f t="shared" ca="1" si="366"/>
        <v>23</v>
      </c>
      <c r="Q808" s="357">
        <f t="shared" ca="1" si="367"/>
        <v>0</v>
      </c>
      <c r="R808" s="359">
        <f t="shared" ca="1" si="368"/>
        <v>0</v>
      </c>
      <c r="S808" s="360">
        <f t="shared" ca="1" si="369"/>
        <v>9.637999999999975</v>
      </c>
      <c r="T808" s="357">
        <f t="shared" ca="1" si="349"/>
        <v>94.548779999999766</v>
      </c>
      <c r="U808" s="364">
        <f t="shared" ca="1" si="350"/>
        <v>0</v>
      </c>
      <c r="V808" s="359">
        <f t="shared" ca="1" si="351"/>
        <v>1.0038425551531016</v>
      </c>
      <c r="W808" s="357">
        <f t="shared" ca="1" si="352"/>
        <v>29.285419946291952</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6.4287586288756975</v>
      </c>
      <c r="AH808" s="357">
        <f t="shared" ca="1" si="376"/>
        <v>-3.0007672718952998</v>
      </c>
    </row>
    <row r="809" spans="1:34" x14ac:dyDescent="0.25">
      <c r="A809" s="402">
        <f t="shared" ca="1" si="354"/>
        <v>0.1</v>
      </c>
      <c r="B809" s="357">
        <f t="shared" ca="1" si="355"/>
        <v>35.500000000000171</v>
      </c>
      <c r="C809" s="342"/>
      <c r="D809" s="359">
        <f t="shared" ca="1" si="356"/>
        <v>-0.83102807892253749</v>
      </c>
      <c r="E809" s="360">
        <f t="shared" ca="1" si="357"/>
        <v>-6.8873129406355256</v>
      </c>
      <c r="F809" s="357">
        <f t="shared" ca="1" si="358"/>
        <v>6.9372679932523331</v>
      </c>
      <c r="G809" s="359">
        <f t="shared" ca="1" si="359"/>
        <v>30.830101158733388</v>
      </c>
      <c r="H809" s="360">
        <f t="shared" ca="1" si="360"/>
        <v>-109.40903026867024</v>
      </c>
      <c r="I809" s="357">
        <f t="shared" ca="1" si="361"/>
        <v>113.6698334730395</v>
      </c>
      <c r="J809" s="359">
        <f t="shared" ca="1" si="362"/>
        <v>1443.301048169348</v>
      </c>
      <c r="K809" s="360">
        <f t="shared" ca="1" si="363"/>
        <v>1973.5983998468614</v>
      </c>
      <c r="L809" s="357">
        <f t="shared" ca="1" si="348"/>
        <v>2445.0375374469877</v>
      </c>
      <c r="M809" s="359">
        <f t="shared" ca="1" si="364"/>
        <v>-1.2961308117127572</v>
      </c>
      <c r="N809" s="357">
        <f t="shared" ca="1" si="365"/>
        <v>-74.262825208006561</v>
      </c>
      <c r="O809" s="343"/>
      <c r="P809" s="363">
        <f t="shared" ca="1" si="366"/>
        <v>23</v>
      </c>
      <c r="Q809" s="357">
        <f t="shared" ca="1" si="367"/>
        <v>0</v>
      </c>
      <c r="R809" s="359">
        <f t="shared" ca="1" si="368"/>
        <v>0</v>
      </c>
      <c r="S809" s="360">
        <f t="shared" ca="1" si="369"/>
        <v>9.637999999999975</v>
      </c>
      <c r="T809" s="357">
        <f t="shared" ca="1" si="349"/>
        <v>94.548779999999766</v>
      </c>
      <c r="U809" s="364">
        <f t="shared" ca="1" si="350"/>
        <v>0</v>
      </c>
      <c r="V809" s="359">
        <f t="shared" ca="1" si="351"/>
        <v>1.0049488280600183</v>
      </c>
      <c r="W809" s="357">
        <f t="shared" ca="1" si="352"/>
        <v>29.650671839028522</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6.3974381459086427</v>
      </c>
      <c r="AH809" s="357">
        <f t="shared" ca="1" si="376"/>
        <v>-3.038537035307328</v>
      </c>
    </row>
    <row r="810" spans="1:34" x14ac:dyDescent="0.25">
      <c r="A810" s="402">
        <f t="shared" ca="1" si="354"/>
        <v>0.1</v>
      </c>
      <c r="B810" s="357">
        <f t="shared" ca="1" si="355"/>
        <v>35.600000000000172</v>
      </c>
      <c r="C810" s="342"/>
      <c r="D810" s="359">
        <f t="shared" ca="1" si="356"/>
        <v>-0.83440585386292854</v>
      </c>
      <c r="E810" s="360">
        <f t="shared" ca="1" si="357"/>
        <v>-6.8488830431785921</v>
      </c>
      <c r="F810" s="357">
        <f t="shared" ca="1" si="358"/>
        <v>6.899524046490451</v>
      </c>
      <c r="G810" s="359">
        <f t="shared" ca="1" si="359"/>
        <v>30.746660573347096</v>
      </c>
      <c r="H810" s="360">
        <f t="shared" ca="1" si="360"/>
        <v>-110.0939185729881</v>
      </c>
      <c r="I810" s="357">
        <f t="shared" ca="1" si="361"/>
        <v>114.30672789984128</v>
      </c>
      <c r="J810" s="359">
        <f t="shared" ca="1" si="362"/>
        <v>1446.379886255952</v>
      </c>
      <c r="K810" s="360">
        <f t="shared" ca="1" si="363"/>
        <v>1962.6232524047784</v>
      </c>
      <c r="L810" s="357">
        <f t="shared" ca="1" si="348"/>
        <v>2438.0124704860905</v>
      </c>
      <c r="M810" s="359">
        <f t="shared" ca="1" si="364"/>
        <v>-1.298458513459825</v>
      </c>
      <c r="N810" s="357">
        <f t="shared" ca="1" si="365"/>
        <v>-74.396192694078763</v>
      </c>
      <c r="O810" s="343"/>
      <c r="P810" s="363">
        <f t="shared" ca="1" si="366"/>
        <v>23</v>
      </c>
      <c r="Q810" s="357">
        <f t="shared" ca="1" si="367"/>
        <v>0</v>
      </c>
      <c r="R810" s="359">
        <f t="shared" ca="1" si="368"/>
        <v>0</v>
      </c>
      <c r="S810" s="360">
        <f t="shared" ca="1" si="369"/>
        <v>9.637999999999975</v>
      </c>
      <c r="T810" s="357">
        <f t="shared" ca="1" si="349"/>
        <v>94.548779999999766</v>
      </c>
      <c r="U810" s="364">
        <f t="shared" ca="1" si="350"/>
        <v>0</v>
      </c>
      <c r="V810" s="359">
        <f t="shared" ca="1" si="351"/>
        <v>1.006063176600946</v>
      </c>
      <c r="W810" s="357">
        <f t="shared" ca="1" si="352"/>
        <v>30.01711728473833</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6.3658475884659591</v>
      </c>
      <c r="AH810" s="357">
        <f t="shared" ca="1" si="376"/>
        <v>-3.0764340982598672</v>
      </c>
    </row>
    <row r="811" spans="1:34" x14ac:dyDescent="0.25">
      <c r="A811" s="402">
        <f t="shared" ca="1" si="354"/>
        <v>0.1</v>
      </c>
      <c r="B811" s="357">
        <f t="shared" ca="1" si="355"/>
        <v>35.700000000000173</v>
      </c>
      <c r="C811" s="342"/>
      <c r="D811" s="359">
        <f t="shared" ca="1" si="356"/>
        <v>-0.83773800981413116</v>
      </c>
      <c r="E811" s="360">
        <f t="shared" ca="1" si="357"/>
        <v>-6.81032918963811</v>
      </c>
      <c r="F811" s="357">
        <f t="shared" ca="1" si="358"/>
        <v>6.8616607788730137</v>
      </c>
      <c r="G811" s="359">
        <f t="shared" ca="1" si="359"/>
        <v>30.662886772365685</v>
      </c>
      <c r="H811" s="360">
        <f t="shared" ca="1" si="360"/>
        <v>-110.77495149195191</v>
      </c>
      <c r="I811" s="357">
        <f t="shared" ca="1" si="361"/>
        <v>114.94043023783763</v>
      </c>
      <c r="J811" s="359">
        <f t="shared" ca="1" si="362"/>
        <v>1449.4503636232375</v>
      </c>
      <c r="K811" s="360">
        <f t="shared" ca="1" si="363"/>
        <v>1951.5798089015314</v>
      </c>
      <c r="L811" s="357">
        <f t="shared" ca="1" si="348"/>
        <v>2430.9607374697916</v>
      </c>
      <c r="M811" s="359">
        <f t="shared" ca="1" si="364"/>
        <v>-1.3007542536168495</v>
      </c>
      <c r="N811" s="357">
        <f t="shared" ca="1" si="365"/>
        <v>-74.527728915934972</v>
      </c>
      <c r="O811" s="343"/>
      <c r="P811" s="363">
        <f t="shared" ca="1" si="366"/>
        <v>23</v>
      </c>
      <c r="Q811" s="357">
        <f t="shared" ca="1" si="367"/>
        <v>0</v>
      </c>
      <c r="R811" s="359">
        <f t="shared" ca="1" si="368"/>
        <v>0</v>
      </c>
      <c r="S811" s="360">
        <f t="shared" ca="1" si="369"/>
        <v>9.637999999999975</v>
      </c>
      <c r="T811" s="357">
        <f t="shared" ca="1" si="349"/>
        <v>94.548779999999766</v>
      </c>
      <c r="U811" s="364">
        <f t="shared" ca="1" si="350"/>
        <v>0</v>
      </c>
      <c r="V811" s="359">
        <f t="shared" ca="1" si="351"/>
        <v>1.0071855842070252</v>
      </c>
      <c r="W811" s="357">
        <f t="shared" ca="1" si="352"/>
        <v>30.384722941477293</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6.3339944579335743</v>
      </c>
      <c r="AH811" s="357">
        <f t="shared" ca="1" si="376"/>
        <v>-3.1144549994540784</v>
      </c>
    </row>
    <row r="812" spans="1:34" x14ac:dyDescent="0.25">
      <c r="A812" s="402">
        <f t="shared" ca="1" si="354"/>
        <v>0.1</v>
      </c>
      <c r="B812" s="357">
        <f t="shared" ca="1" si="355"/>
        <v>35.800000000000175</v>
      </c>
      <c r="C812" s="342"/>
      <c r="D812" s="359">
        <f t="shared" ca="1" si="356"/>
        <v>-0.84102436850261808</v>
      </c>
      <c r="E812" s="360">
        <f t="shared" ca="1" si="357"/>
        <v>-6.7716548397396963</v>
      </c>
      <c r="F812" s="357">
        <f t="shared" ca="1" si="358"/>
        <v>6.8236816497390382</v>
      </c>
      <c r="G812" s="359">
        <f t="shared" ca="1" si="359"/>
        <v>30.578784335515422</v>
      </c>
      <c r="H812" s="360">
        <f t="shared" ca="1" si="360"/>
        <v>-111.45211697592588</v>
      </c>
      <c r="I812" s="357">
        <f t="shared" ca="1" si="361"/>
        <v>115.57091515538599</v>
      </c>
      <c r="J812" s="359">
        <f t="shared" ca="1" si="362"/>
        <v>1452.5124471786316</v>
      </c>
      <c r="K812" s="360">
        <f t="shared" ca="1" si="363"/>
        <v>1940.4684554781375</v>
      </c>
      <c r="L812" s="357">
        <f t="shared" ca="1" si="348"/>
        <v>2423.883296677991</v>
      </c>
      <c r="M812" s="359">
        <f t="shared" ca="1" si="364"/>
        <v>-1.3030186948124522</v>
      </c>
      <c r="N812" s="357">
        <f t="shared" ca="1" si="365"/>
        <v>-74.657471839398568</v>
      </c>
      <c r="O812" s="343"/>
      <c r="P812" s="363">
        <f t="shared" ca="1" si="366"/>
        <v>23</v>
      </c>
      <c r="Q812" s="357">
        <f t="shared" ca="1" si="367"/>
        <v>0</v>
      </c>
      <c r="R812" s="359">
        <f t="shared" ca="1" si="368"/>
        <v>0</v>
      </c>
      <c r="S812" s="360">
        <f t="shared" ca="1" si="369"/>
        <v>9.637999999999975</v>
      </c>
      <c r="T812" s="357">
        <f t="shared" ca="1" si="349"/>
        <v>94.548779999999766</v>
      </c>
      <c r="U812" s="364">
        <f t="shared" ca="1" si="350"/>
        <v>0</v>
      </c>
      <c r="V812" s="359">
        <f t="shared" ca="1" si="351"/>
        <v>1.0083160342237629</v>
      </c>
      <c r="W812" s="357">
        <f t="shared" ca="1" si="352"/>
        <v>30.753455490466891</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6.3018861153502268</v>
      </c>
      <c r="AH812" s="357">
        <f t="shared" ca="1" si="376"/>
        <v>-3.1525962794643463</v>
      </c>
    </row>
    <row r="813" spans="1:34" x14ac:dyDescent="0.25">
      <c r="A813" s="402">
        <f t="shared" ca="1" si="354"/>
        <v>0.1</v>
      </c>
      <c r="B813" s="357">
        <f t="shared" ca="1" si="355"/>
        <v>35.900000000000176</v>
      </c>
      <c r="C813" s="342"/>
      <c r="D813" s="359">
        <f t="shared" ca="1" si="356"/>
        <v>-0.84426476071024614</v>
      </c>
      <c r="E813" s="360">
        <f t="shared" ca="1" si="357"/>
        <v>-6.7328634520946409</v>
      </c>
      <c r="F813" s="357">
        <f t="shared" ca="1" si="358"/>
        <v>6.7855901180906066</v>
      </c>
      <c r="G813" s="359">
        <f t="shared" ca="1" si="359"/>
        <v>30.494357859444399</v>
      </c>
      <c r="H813" s="360">
        <f t="shared" ca="1" si="360"/>
        <v>-112.12540332113534</v>
      </c>
      <c r="I813" s="357">
        <f t="shared" ca="1" si="361"/>
        <v>116.19815803698063</v>
      </c>
      <c r="J813" s="359">
        <f t="shared" ca="1" si="362"/>
        <v>1455.5661042883796</v>
      </c>
      <c r="K813" s="360">
        <f t="shared" ca="1" si="363"/>
        <v>1929.2895794632843</v>
      </c>
      <c r="L813" s="357">
        <f t="shared" ca="1" si="348"/>
        <v>2416.7811165636963</v>
      </c>
      <c r="M813" s="359">
        <f t="shared" ca="1" si="364"/>
        <v>-1.3052524819636591</v>
      </c>
      <c r="N813" s="357">
        <f t="shared" ca="1" si="365"/>
        <v>-74.785458415493267</v>
      </c>
      <c r="O813" s="343"/>
      <c r="P813" s="363">
        <f t="shared" ca="1" si="366"/>
        <v>23</v>
      </c>
      <c r="Q813" s="357">
        <f t="shared" ca="1" si="367"/>
        <v>0</v>
      </c>
      <c r="R813" s="359">
        <f t="shared" ca="1" si="368"/>
        <v>0</v>
      </c>
      <c r="S813" s="360">
        <f t="shared" ca="1" si="369"/>
        <v>9.637999999999975</v>
      </c>
      <c r="T813" s="357">
        <f t="shared" ca="1" si="349"/>
        <v>94.548779999999766</v>
      </c>
      <c r="U813" s="364">
        <f t="shared" ca="1" si="350"/>
        <v>0</v>
      </c>
      <c r="V813" s="359">
        <f t="shared" ca="1" si="351"/>
        <v>1.0094545099120928</v>
      </c>
      <c r="W813" s="357">
        <f t="shared" ca="1" si="352"/>
        <v>31.123281641184761</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6.2695297863805681</v>
      </c>
      <c r="AH813" s="357">
        <f t="shared" ca="1" si="376"/>
        <v>-3.1908544812686213</v>
      </c>
    </row>
    <row r="814" spans="1:34" x14ac:dyDescent="0.25">
      <c r="A814" s="402">
        <f t="shared" ca="1" si="354"/>
        <v>0.1</v>
      </c>
      <c r="B814" s="357">
        <f t="shared" ca="1" si="355"/>
        <v>36.000000000000178</v>
      </c>
      <c r="C814" s="342"/>
      <c r="D814" s="359">
        <f t="shared" ca="1" si="356"/>
        <v>-0.8474590261535655</v>
      </c>
      <c r="E814" s="360">
        <f t="shared" ca="1" si="357"/>
        <v>-6.6939584836125361</v>
      </c>
      <c r="F814" s="357">
        <f t="shared" ca="1" si="358"/>
        <v>6.747389642027307</v>
      </c>
      <c r="G814" s="359">
        <f t="shared" ca="1" si="359"/>
        <v>30.409611956829043</v>
      </c>
      <c r="H814" s="360">
        <f t="shared" ca="1" si="360"/>
        <v>-112.79479916949659</v>
      </c>
      <c r="I814" s="357">
        <f t="shared" ca="1" si="361"/>
        <v>116.82213497044123</v>
      </c>
      <c r="J814" s="359">
        <f t="shared" ca="1" si="362"/>
        <v>1458.6113027791932</v>
      </c>
      <c r="K814" s="360">
        <f t="shared" ca="1" si="363"/>
        <v>1918.0435693387528</v>
      </c>
      <c r="L814" s="357">
        <f t="shared" ca="1" si="348"/>
        <v>2409.6551758450746</v>
      </c>
      <c r="M814" s="359">
        <f t="shared" ca="1" si="364"/>
        <v>-1.3074562428408343</v>
      </c>
      <c r="N814" s="357">
        <f t="shared" ca="1" si="365"/>
        <v>-74.911724612811454</v>
      </c>
      <c r="O814" s="343"/>
      <c r="P814" s="363">
        <f t="shared" ca="1" si="366"/>
        <v>23</v>
      </c>
      <c r="Q814" s="357">
        <f t="shared" ca="1" si="367"/>
        <v>0</v>
      </c>
      <c r="R814" s="359">
        <f t="shared" ca="1" si="368"/>
        <v>0</v>
      </c>
      <c r="S814" s="360">
        <f t="shared" ca="1" si="369"/>
        <v>9.637999999999975</v>
      </c>
      <c r="T814" s="357">
        <f t="shared" ca="1" si="349"/>
        <v>94.548779999999766</v>
      </c>
      <c r="U814" s="364">
        <f t="shared" ca="1" si="350"/>
        <v>0</v>
      </c>
      <c r="V814" s="359">
        <f t="shared" ca="1" si="351"/>
        <v>1.0106009944494463</v>
      </c>
      <c r="W814" s="357">
        <f t="shared" ca="1" si="352"/>
        <v>31.49416813643326</v>
      </c>
      <c r="X814" s="343"/>
      <c r="Y814" s="367" t="str">
        <f t="shared" ca="1" si="370"/>
        <v/>
      </c>
      <c r="Z814" s="368" t="str">
        <f t="shared" ca="1" si="371"/>
        <v/>
      </c>
      <c r="AA814" s="369" t="str">
        <f t="shared" ca="1" si="372"/>
        <v/>
      </c>
      <c r="AB814" s="344"/>
      <c r="AC814" s="363">
        <f t="shared" ca="1" si="373"/>
        <v>36.000000000000178</v>
      </c>
      <c r="AD814" s="376">
        <f t="shared" ca="1" si="374"/>
        <v>1458.6113027791932</v>
      </c>
      <c r="AE814" s="377" t="e">
        <f t="shared" ca="1" si="353"/>
        <v>#N/A</v>
      </c>
      <c r="AF814" s="344"/>
      <c r="AG814" s="359">
        <f t="shared" ca="1" si="375"/>
        <v>6.236932566044656</v>
      </c>
      <c r="AH814" s="357">
        <f t="shared" ca="1" si="376"/>
        <v>-3.2292261507765971</v>
      </c>
    </row>
    <row r="815" spans="1:34" x14ac:dyDescent="0.25">
      <c r="A815" s="402">
        <f t="shared" ca="1" si="354"/>
        <v>0.1</v>
      </c>
      <c r="B815" s="357">
        <f t="shared" ca="1" si="355"/>
        <v>36.100000000000179</v>
      </c>
      <c r="C815" s="342"/>
      <c r="D815" s="359">
        <f t="shared" ca="1" si="356"/>
        <v>-0.85060701336622524</v>
      </c>
      <c r="E815" s="360">
        <f t="shared" ca="1" si="357"/>
        <v>-6.6549433889187588</v>
      </c>
      <c r="F815" s="357">
        <f t="shared" ca="1" si="358"/>
        <v>6.709083678185964</v>
      </c>
      <c r="G815" s="359">
        <f t="shared" ca="1" si="359"/>
        <v>30.32455125549242</v>
      </c>
      <c r="H815" s="360">
        <f t="shared" ca="1" si="360"/>
        <v>-113.46029350838846</v>
      </c>
      <c r="I815" s="357">
        <f t="shared" ca="1" si="361"/>
        <v>117.44282273454024</v>
      </c>
      <c r="J815" s="359">
        <f t="shared" ca="1" si="362"/>
        <v>1461.6480109398094</v>
      </c>
      <c r="K815" s="360">
        <f t="shared" ca="1" si="363"/>
        <v>1906.7308147048586</v>
      </c>
      <c r="L815" s="357">
        <f t="shared" ca="1" si="348"/>
        <v>2402.506463597831</v>
      </c>
      <c r="M815" s="359">
        <f t="shared" ca="1" si="364"/>
        <v>-1.3096305886120736</v>
      </c>
      <c r="N815" s="357">
        <f t="shared" ca="1" si="365"/>
        <v>-75.03630544870559</v>
      </c>
      <c r="O815" s="343"/>
      <c r="P815" s="363">
        <f t="shared" ca="1" si="366"/>
        <v>23</v>
      </c>
      <c r="Q815" s="357">
        <f t="shared" ca="1" si="367"/>
        <v>0</v>
      </c>
      <c r="R815" s="359">
        <f t="shared" ca="1" si="368"/>
        <v>0</v>
      </c>
      <c r="S815" s="360">
        <f t="shared" ca="1" si="369"/>
        <v>9.637999999999975</v>
      </c>
      <c r="T815" s="357">
        <f t="shared" ca="1" si="349"/>
        <v>94.548779999999766</v>
      </c>
      <c r="U815" s="364">
        <f t="shared" ca="1" si="350"/>
        <v>0</v>
      </c>
      <c r="V815" s="359">
        <f t="shared" ca="1" si="351"/>
        <v>1.0117554709308261</v>
      </c>
      <c r="W815" s="357">
        <f t="shared" ca="1" si="352"/>
        <v>31.866081757384631</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6.2041014232159171</v>
      </c>
      <c r="AH815" s="357">
        <f t="shared" ca="1" si="376"/>
        <v>-3.2677078373556072</v>
      </c>
    </row>
    <row r="816" spans="1:34" x14ac:dyDescent="0.25">
      <c r="A816" s="402">
        <f t="shared" ca="1" si="354"/>
        <v>0.1</v>
      </c>
      <c r="B816" s="357">
        <f t="shared" ca="1" si="355"/>
        <v>36.20000000000018</v>
      </c>
      <c r="C816" s="342"/>
      <c r="D816" s="359">
        <f t="shared" ca="1" si="356"/>
        <v>-0.85370857958429947</v>
      </c>
      <c r="E816" s="360">
        <f t="shared" ca="1" si="357"/>
        <v>-6.6158216197768063</v>
      </c>
      <c r="F816" s="357">
        <f t="shared" ca="1" si="358"/>
        <v>6.6706756811856813</v>
      </c>
      <c r="G816" s="359">
        <f t="shared" ca="1" si="359"/>
        <v>30.239180397533989</v>
      </c>
      <c r="H816" s="360">
        <f t="shared" ca="1" si="360"/>
        <v>-114.12187567036614</v>
      </c>
      <c r="I816" s="357">
        <f t="shared" ca="1" si="361"/>
        <v>118.06019878704724</v>
      </c>
      <c r="J816" s="359">
        <f t="shared" ca="1" si="362"/>
        <v>1464.6761975224608</v>
      </c>
      <c r="K816" s="360">
        <f t="shared" ca="1" si="363"/>
        <v>1895.3517062459209</v>
      </c>
      <c r="L816" s="357">
        <f t="shared" ca="1" si="348"/>
        <v>2395.3359793478194</v>
      </c>
      <c r="M816" s="359">
        <f t="shared" ca="1" si="364"/>
        <v>-1.311776114367873</v>
      </c>
      <c r="N816" s="357">
        <f t="shared" ca="1" si="365"/>
        <v>-75.159235019349509</v>
      </c>
      <c r="O816" s="343"/>
      <c r="P816" s="363">
        <f t="shared" ca="1" si="366"/>
        <v>23</v>
      </c>
      <c r="Q816" s="357">
        <f t="shared" ca="1" si="367"/>
        <v>0</v>
      </c>
      <c r="R816" s="359">
        <f t="shared" ca="1" si="368"/>
        <v>0</v>
      </c>
      <c r="S816" s="360">
        <f t="shared" ca="1" si="369"/>
        <v>9.637999999999975</v>
      </c>
      <c r="T816" s="357">
        <f t="shared" ca="1" si="349"/>
        <v>94.548779999999766</v>
      </c>
      <c r="U816" s="364">
        <f t="shared" ca="1" si="350"/>
        <v>0</v>
      </c>
      <c r="V816" s="359">
        <f t="shared" ca="1" si="351"/>
        <v>1.0129179223698948</v>
      </c>
      <c r="W816" s="357">
        <f t="shared" ca="1" si="352"/>
        <v>32.238989328601491</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6.1710432048991573</v>
      </c>
      <c r="AH816" s="357">
        <f t="shared" ca="1" si="376"/>
        <v>-3.3062960943540896</v>
      </c>
    </row>
    <row r="817" spans="1:34" x14ac:dyDescent="0.25">
      <c r="A817" s="402">
        <f t="shared" ca="1" si="354"/>
        <v>0.1</v>
      </c>
      <c r="B817" s="357">
        <f t="shared" ca="1" si="355"/>
        <v>36.300000000000182</v>
      </c>
      <c r="C817" s="342"/>
      <c r="D817" s="359">
        <f t="shared" ca="1" si="356"/>
        <v>-0.85676359063436147</v>
      </c>
      <c r="E817" s="360">
        <f t="shared" ca="1" si="357"/>
        <v>-6.5765966245155028</v>
      </c>
      <c r="F817" s="357">
        <f t="shared" ca="1" si="358"/>
        <v>6.6321691030782217</v>
      </c>
      <c r="G817" s="359">
        <f t="shared" ca="1" si="359"/>
        <v>30.153504038470555</v>
      </c>
      <c r="H817" s="360">
        <f t="shared" ca="1" si="360"/>
        <v>-114.77953533281769</v>
      </c>
      <c r="I817" s="357">
        <f t="shared" ca="1" si="361"/>
        <v>118.67424125317004</v>
      </c>
      <c r="J817" s="359">
        <f t="shared" ca="1" si="362"/>
        <v>1467.6958317442611</v>
      </c>
      <c r="K817" s="360">
        <f t="shared" ca="1" si="363"/>
        <v>1883.9066356957617</v>
      </c>
      <c r="L817" s="357">
        <f t="shared" ca="1" si="348"/>
        <v>2388.144733163801</v>
      </c>
      <c r="M817" s="359">
        <f t="shared" ca="1" si="364"/>
        <v>-1.3138933996268587</v>
      </c>
      <c r="N817" s="357">
        <f t="shared" ca="1" si="365"/>
        <v>-75.280546528714652</v>
      </c>
      <c r="O817" s="343"/>
      <c r="P817" s="363">
        <f t="shared" ca="1" si="366"/>
        <v>23</v>
      </c>
      <c r="Q817" s="357">
        <f t="shared" ca="1" si="367"/>
        <v>0</v>
      </c>
      <c r="R817" s="359">
        <f t="shared" ca="1" si="368"/>
        <v>0</v>
      </c>
      <c r="S817" s="360">
        <f t="shared" ca="1" si="369"/>
        <v>9.637999999999975</v>
      </c>
      <c r="T817" s="357">
        <f t="shared" ca="1" si="349"/>
        <v>94.548779999999766</v>
      </c>
      <c r="U817" s="364">
        <f t="shared" ca="1" si="350"/>
        <v>0</v>
      </c>
      <c r="V817" s="359">
        <f t="shared" ca="1" si="351"/>
        <v>1.0140883317000648</v>
      </c>
      <c r="W817" s="357">
        <f t="shared" ca="1" si="352"/>
        <v>32.612857723031134</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6.1377646402995678</v>
      </c>
      <c r="AH817" s="357">
        <f t="shared" ca="1" si="376"/>
        <v>-3.3449874796224917</v>
      </c>
    </row>
    <row r="818" spans="1:34" x14ac:dyDescent="0.25">
      <c r="A818" s="402">
        <f t="shared" ca="1" si="354"/>
        <v>0.1</v>
      </c>
      <c r="B818" s="357">
        <f t="shared" ca="1" si="355"/>
        <v>36.400000000000183</v>
      </c>
      <c r="C818" s="342"/>
      <c r="D818" s="359">
        <f t="shared" ca="1" si="356"/>
        <v>-0.8597719208241339</v>
      </c>
      <c r="E818" s="360">
        <f t="shared" ca="1" si="357"/>
        <v>-6.537271847461092</v>
      </c>
      <c r="F818" s="357">
        <f t="shared" ca="1" si="358"/>
        <v>6.5935673928037604</v>
      </c>
      <c r="G818" s="359">
        <f t="shared" ca="1" si="359"/>
        <v>30.067526846388141</v>
      </c>
      <c r="H818" s="360">
        <f t="shared" ca="1" si="360"/>
        <v>-115.43326251756379</v>
      </c>
      <c r="I818" s="357">
        <f t="shared" ca="1" si="361"/>
        <v>119.28492891437321</v>
      </c>
      <c r="J818" s="359">
        <f t="shared" ca="1" si="362"/>
        <v>1470.7068832885041</v>
      </c>
      <c r="K818" s="360">
        <f t="shared" ca="1" si="363"/>
        <v>1872.3959958032426</v>
      </c>
      <c r="L818" s="357">
        <f t="shared" ca="1" si="348"/>
        <v>2380.9337457502261</v>
      </c>
      <c r="M818" s="359">
        <f t="shared" ca="1" si="364"/>
        <v>-1.3159830088233275</v>
      </c>
      <c r="N818" s="357">
        <f t="shared" ca="1" si="365"/>
        <v>-75.400272316504044</v>
      </c>
      <c r="O818" s="343"/>
      <c r="P818" s="363">
        <f t="shared" ca="1" si="366"/>
        <v>23</v>
      </c>
      <c r="Q818" s="357">
        <f t="shared" ca="1" si="367"/>
        <v>0</v>
      </c>
      <c r="R818" s="359">
        <f t="shared" ca="1" si="368"/>
        <v>0</v>
      </c>
      <c r="S818" s="360">
        <f t="shared" ca="1" si="369"/>
        <v>9.637999999999975</v>
      </c>
      <c r="T818" s="357">
        <f t="shared" ca="1" si="349"/>
        <v>94.548779999999766</v>
      </c>
      <c r="U818" s="364">
        <f t="shared" ca="1" si="350"/>
        <v>0</v>
      </c>
      <c r="V818" s="359">
        <f t="shared" ca="1" si="351"/>
        <v>1.0152666817755978</v>
      </c>
      <c r="W818" s="357">
        <f t="shared" ca="1" si="352"/>
        <v>32.987653866972444</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6.1042723446930829</v>
      </c>
      <c r="AH818" s="357">
        <f t="shared" ca="1" si="376"/>
        <v>-3.3837785560314608</v>
      </c>
    </row>
    <row r="819" spans="1:34" x14ac:dyDescent="0.25">
      <c r="A819" s="402">
        <f t="shared" ca="1" si="354"/>
        <v>0.1</v>
      </c>
      <c r="B819" s="357">
        <f t="shared" ca="1" si="355"/>
        <v>36.500000000000185</v>
      </c>
      <c r="C819" s="342"/>
      <c r="D819" s="359">
        <f t="shared" ca="1" si="356"/>
        <v>-0.8627334528355628</v>
      </c>
      <c r="E819" s="360">
        <f t="shared" ca="1" si="357"/>
        <v>-6.4978507283742655</v>
      </c>
      <c r="F819" s="357">
        <f t="shared" ca="1" si="358"/>
        <v>6.5548739956520556</v>
      </c>
      <c r="G819" s="359">
        <f t="shared" ca="1" si="359"/>
        <v>29.981253501104586</v>
      </c>
      <c r="H819" s="360">
        <f t="shared" ca="1" si="360"/>
        <v>-116.08304759040122</v>
      </c>
      <c r="I819" s="357">
        <f t="shared" ca="1" si="361"/>
        <v>119.89224119755561</v>
      </c>
      <c r="J819" s="359">
        <f t="shared" ca="1" si="362"/>
        <v>1473.7093223058787</v>
      </c>
      <c r="K819" s="360">
        <f t="shared" ca="1" si="363"/>
        <v>1860.8201802978444</v>
      </c>
      <c r="L819" s="357">
        <f t="shared" ca="1" si="348"/>
        <v>2373.7040485399511</v>
      </c>
      <c r="M819" s="359">
        <f t="shared" ca="1" si="364"/>
        <v>-1.3180454917773197</v>
      </c>
      <c r="N819" s="357">
        <f t="shared" ca="1" si="365"/>
        <v>-75.51844388508546</v>
      </c>
      <c r="O819" s="343"/>
      <c r="P819" s="363">
        <f t="shared" ca="1" si="366"/>
        <v>23</v>
      </c>
      <c r="Q819" s="357">
        <f t="shared" ca="1" si="367"/>
        <v>0</v>
      </c>
      <c r="R819" s="359">
        <f t="shared" ca="1" si="368"/>
        <v>0</v>
      </c>
      <c r="S819" s="360">
        <f t="shared" ca="1" si="369"/>
        <v>9.637999999999975</v>
      </c>
      <c r="T819" s="357">
        <f t="shared" ca="1" si="349"/>
        <v>94.548779999999766</v>
      </c>
      <c r="U819" s="364">
        <f t="shared" ca="1" si="350"/>
        <v>0</v>
      </c>
      <c r="V819" s="359">
        <f t="shared" ca="1" si="351"/>
        <v>1.0164529553727109</v>
      </c>
      <c r="W819" s="357">
        <f t="shared" ca="1" si="352"/>
        <v>33.363344745014203</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6.0705728231079634</v>
      </c>
      <c r="AH819" s="357">
        <f t="shared" ca="1" si="376"/>
        <v>-3.4226658919871893</v>
      </c>
    </row>
    <row r="820" spans="1:34" x14ac:dyDescent="0.25">
      <c r="A820" s="402">
        <f t="shared" ca="1" si="354"/>
        <v>0.1</v>
      </c>
      <c r="B820" s="357">
        <f t="shared" ca="1" si="355"/>
        <v>36.600000000000186</v>
      </c>
      <c r="C820" s="342"/>
      <c r="D820" s="359">
        <f t="shared" ca="1" si="356"/>
        <v>-0.86564807762016593</v>
      </c>
      <c r="E820" s="360">
        <f t="shared" ca="1" si="357"/>
        <v>-6.4583367018921063</v>
      </c>
      <c r="F820" s="357">
        <f t="shared" ca="1" si="358"/>
        <v>6.5160923527290571</v>
      </c>
      <c r="G820" s="359">
        <f t="shared" ca="1" si="359"/>
        <v>29.89468869334257</v>
      </c>
      <c r="H820" s="360">
        <f t="shared" ca="1" si="360"/>
        <v>-116.72888126059043</v>
      </c>
      <c r="I820" s="357">
        <f t="shared" ca="1" si="361"/>
        <v>120.49615816456922</v>
      </c>
      <c r="J820" s="359">
        <f t="shared" ca="1" si="362"/>
        <v>1476.7031194156011</v>
      </c>
      <c r="K820" s="360">
        <f t="shared" ca="1" si="363"/>
        <v>1849.1795838552948</v>
      </c>
      <c r="L820" s="357">
        <f t="shared" ca="1" si="348"/>
        <v>2366.4566837867555</v>
      </c>
      <c r="M820" s="359">
        <f t="shared" ca="1" si="364"/>
        <v>-1.3200813841479075</v>
      </c>
      <c r="N820" s="357">
        <f t="shared" ca="1" si="365"/>
        <v>-75.63509192546303</v>
      </c>
      <c r="O820" s="343"/>
      <c r="P820" s="363">
        <f t="shared" ca="1" si="366"/>
        <v>23</v>
      </c>
      <c r="Q820" s="357">
        <f t="shared" ca="1" si="367"/>
        <v>0</v>
      </c>
      <c r="R820" s="359">
        <f t="shared" ca="1" si="368"/>
        <v>0</v>
      </c>
      <c r="S820" s="360">
        <f t="shared" ca="1" si="369"/>
        <v>9.637999999999975</v>
      </c>
      <c r="T820" s="357">
        <f t="shared" ca="1" si="349"/>
        <v>94.548779999999766</v>
      </c>
      <c r="U820" s="364">
        <f t="shared" ca="1" si="350"/>
        <v>0</v>
      </c>
      <c r="V820" s="359">
        <f t="shared" ca="1" si="351"/>
        <v>1.0176471351906906</v>
      </c>
      <c r="W820" s="357">
        <f t="shared" ca="1" si="352"/>
        <v>33.739897404943257</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6.0366724738269237</v>
      </c>
      <c r="AH820" s="357">
        <f t="shared" ca="1" si="376"/>
        <v>-3.4616460619437941</v>
      </c>
    </row>
    <row r="821" spans="1:34" x14ac:dyDescent="0.25">
      <c r="A821" s="402">
        <f t="shared" ca="1" si="354"/>
        <v>0.1</v>
      </c>
      <c r="B821" s="357">
        <f t="shared" ca="1" si="355"/>
        <v>36.700000000000188</v>
      </c>
      <c r="C821" s="342"/>
      <c r="D821" s="359">
        <f t="shared" ca="1" si="356"/>
        <v>-0.86851569429652375</v>
      </c>
      <c r="E821" s="360">
        <f t="shared" ca="1" si="357"/>
        <v>-6.418733196975043</v>
      </c>
      <c r="F821" s="357">
        <f t="shared" ca="1" si="358"/>
        <v>6.4772259004290431</v>
      </c>
      <c r="G821" s="359">
        <f t="shared" ca="1" si="359"/>
        <v>29.807837123912918</v>
      </c>
      <c r="H821" s="360">
        <f t="shared" ca="1" si="360"/>
        <v>-117.37075458028794</v>
      </c>
      <c r="I821" s="357">
        <f t="shared" ca="1" si="361"/>
        <v>121.09666050206299</v>
      </c>
      <c r="J821" s="359">
        <f t="shared" ca="1" si="362"/>
        <v>1479.6882457064639</v>
      </c>
      <c r="K821" s="360">
        <f t="shared" ca="1" si="363"/>
        <v>1837.4746020632508</v>
      </c>
      <c r="L821" s="357">
        <f t="shared" ca="1" si="348"/>
        <v>2359.1927046575433</v>
      </c>
      <c r="M821" s="359">
        <f t="shared" ca="1" si="364"/>
        <v>-1.3220912078703693</v>
      </c>
      <c r="N821" s="357">
        <f t="shared" ca="1" si="365"/>
        <v>-75.750246342325369</v>
      </c>
      <c r="O821" s="343"/>
      <c r="P821" s="363">
        <f t="shared" ca="1" si="366"/>
        <v>23</v>
      </c>
      <c r="Q821" s="357">
        <f t="shared" ca="1" si="367"/>
        <v>0</v>
      </c>
      <c r="R821" s="359">
        <f t="shared" ca="1" si="368"/>
        <v>0</v>
      </c>
      <c r="S821" s="360">
        <f t="shared" ca="1" si="369"/>
        <v>9.637999999999975</v>
      </c>
      <c r="T821" s="357">
        <f t="shared" ca="1" si="349"/>
        <v>94.548779999999766</v>
      </c>
      <c r="U821" s="364">
        <f t="shared" ca="1" si="350"/>
        <v>0</v>
      </c>
      <c r="V821" s="359">
        <f t="shared" ca="1" si="351"/>
        <v>1.0188492038530121</v>
      </c>
      <c r="W821" s="357">
        <f t="shared" ca="1" si="352"/>
        <v>34.117278962621526</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6.0025775917186781</v>
      </c>
      <c r="AH821" s="357">
        <f t="shared" ca="1" si="376"/>
        <v>-3.5007156469125693</v>
      </c>
    </row>
    <row r="822" spans="1:34" x14ac:dyDescent="0.25">
      <c r="A822" s="402">
        <f t="shared" ca="1" si="354"/>
        <v>0.1</v>
      </c>
      <c r="B822" s="357">
        <f t="shared" ca="1" si="355"/>
        <v>36.800000000000189</v>
      </c>
      <c r="C822" s="342"/>
      <c r="D822" s="359">
        <f t="shared" ca="1" si="356"/>
        <v>-0.87133621004976547</v>
      </c>
      <c r="E822" s="360">
        <f t="shared" ca="1" si="357"/>
        <v>-6.3790436363588068</v>
      </c>
      <c r="F822" s="357">
        <f t="shared" ca="1" si="358"/>
        <v>6.4382780699123021</v>
      </c>
      <c r="G822" s="359">
        <f t="shared" ca="1" si="359"/>
        <v>29.720703502907941</v>
      </c>
      <c r="H822" s="360">
        <f t="shared" ca="1" si="360"/>
        <v>-118.00865894392382</v>
      </c>
      <c r="I822" s="357">
        <f t="shared" ca="1" si="361"/>
        <v>121.69372951163547</v>
      </c>
      <c r="J822" s="359">
        <f t="shared" ca="1" si="362"/>
        <v>1482.6646727378049</v>
      </c>
      <c r="K822" s="360">
        <f t="shared" ca="1" si="363"/>
        <v>1825.7056313870403</v>
      </c>
      <c r="L822" s="357">
        <f t="shared" ca="1" si="348"/>
        <v>2351.9131753240922</v>
      </c>
      <c r="M822" s="359">
        <f t="shared" ca="1" si="364"/>
        <v>-1.3240754715778733</v>
      </c>
      <c r="N822" s="357">
        <f t="shared" ca="1" si="365"/>
        <v>-75.863936278206324</v>
      </c>
      <c r="O822" s="343"/>
      <c r="P822" s="363">
        <f t="shared" ca="1" si="366"/>
        <v>23</v>
      </c>
      <c r="Q822" s="357">
        <f t="shared" ca="1" si="367"/>
        <v>0</v>
      </c>
      <c r="R822" s="359">
        <f t="shared" ca="1" si="368"/>
        <v>0</v>
      </c>
      <c r="S822" s="360">
        <f t="shared" ca="1" si="369"/>
        <v>9.637999999999975</v>
      </c>
      <c r="T822" s="357">
        <f t="shared" ca="1" si="349"/>
        <v>94.548779999999766</v>
      </c>
      <c r="U822" s="364">
        <f t="shared" ca="1" si="350"/>
        <v>0</v>
      </c>
      <c r="V822" s="359">
        <f t="shared" ca="1" si="351"/>
        <v>1.0200591439084672</v>
      </c>
      <c r="W822" s="357">
        <f t="shared" ca="1" si="352"/>
        <v>34.495456606830452</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5.9682943714073238</v>
      </c>
      <c r="AH822" s="357">
        <f t="shared" ca="1" si="376"/>
        <v>-3.539871234968003</v>
      </c>
    </row>
    <row r="823" spans="1:34" x14ac:dyDescent="0.25">
      <c r="A823" s="402">
        <f t="shared" ca="1" si="354"/>
        <v>0.1</v>
      </c>
      <c r="B823" s="357">
        <f t="shared" ca="1" si="355"/>
        <v>36.90000000000019</v>
      </c>
      <c r="C823" s="342"/>
      <c r="D823" s="359">
        <f t="shared" ca="1" si="356"/>
        <v>-0.87410954003293884</v>
      </c>
      <c r="E823" s="360">
        <f t="shared" ca="1" si="357"/>
        <v>-6.3392714360114493</v>
      </c>
      <c r="F823" s="357">
        <f t="shared" ca="1" si="358"/>
        <v>6.39925228658843</v>
      </c>
      <c r="G823" s="359">
        <f t="shared" ca="1" si="359"/>
        <v>29.633292548904649</v>
      </c>
      <c r="H823" s="360">
        <f t="shared" ca="1" si="360"/>
        <v>-118.64258608752496</v>
      </c>
      <c r="I823" s="357">
        <f t="shared" ca="1" si="361"/>
        <v>122.28734710028155</v>
      </c>
      <c r="J823" s="359">
        <f t="shared" ca="1" si="362"/>
        <v>1485.6323725403956</v>
      </c>
      <c r="K823" s="360">
        <f t="shared" ca="1" si="363"/>
        <v>1813.8730691354679</v>
      </c>
      <c r="L823" s="357">
        <f t="shared" ca="1" si="348"/>
        <v>2344.6191710542089</v>
      </c>
      <c r="M823" s="359">
        <f t="shared" ca="1" si="364"/>
        <v>-1.3260346710082844</v>
      </c>
      <c r="N823" s="357">
        <f t="shared" ca="1" si="365"/>
        <v>-75.976190136793321</v>
      </c>
      <c r="O823" s="343"/>
      <c r="P823" s="363">
        <f t="shared" ca="1" si="366"/>
        <v>23</v>
      </c>
      <c r="Q823" s="357">
        <f t="shared" ca="1" si="367"/>
        <v>0</v>
      </c>
      <c r="R823" s="359">
        <f t="shared" ca="1" si="368"/>
        <v>0</v>
      </c>
      <c r="S823" s="360">
        <f t="shared" ca="1" si="369"/>
        <v>9.637999999999975</v>
      </c>
      <c r="T823" s="357">
        <f t="shared" ca="1" si="349"/>
        <v>94.548779999999766</v>
      </c>
      <c r="U823" s="364">
        <f t="shared" ca="1" si="350"/>
        <v>0</v>
      </c>
      <c r="V823" s="359">
        <f t="shared" ca="1" si="351"/>
        <v>1.0212769378322957</v>
      </c>
      <c r="W823" s="357">
        <f t="shared" ca="1" si="352"/>
        <v>34.874397604081572</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5.9338289102875139</v>
      </c>
      <c r="AH823" s="357">
        <f t="shared" ca="1" si="376"/>
        <v>-3.5791094217504194</v>
      </c>
    </row>
    <row r="824" spans="1:34" x14ac:dyDescent="0.25">
      <c r="A824" s="402">
        <f t="shared" ca="1" si="354"/>
        <v>0.1</v>
      </c>
      <c r="B824" s="357">
        <f t="shared" ca="1" si="355"/>
        <v>37.000000000000192</v>
      </c>
      <c r="C824" s="342"/>
      <c r="D824" s="359">
        <f t="shared" ca="1" si="356"/>
        <v>-0.87683560727013365</v>
      </c>
      <c r="E824" s="360">
        <f t="shared" ca="1" si="357"/>
        <v>-6.2994200045954951</v>
      </c>
      <c r="F824" s="357">
        <f t="shared" ca="1" si="358"/>
        <v>6.360151969605341</v>
      </c>
      <c r="G824" s="359">
        <f t="shared" ca="1" si="359"/>
        <v>29.545608988177637</v>
      </c>
      <c r="H824" s="360">
        <f t="shared" ca="1" si="360"/>
        <v>-119.27252808798451</v>
      </c>
      <c r="I824" s="357">
        <f t="shared" ca="1" si="361"/>
        <v>122.87749577111887</v>
      </c>
      <c r="J824" s="359">
        <f t="shared" ca="1" si="362"/>
        <v>1488.5913176172498</v>
      </c>
      <c r="K824" s="360">
        <f t="shared" ca="1" si="363"/>
        <v>1801.9773134266925</v>
      </c>
      <c r="L824" s="357">
        <f t="shared" ca="1" si="348"/>
        <v>2337.3117783021462</v>
      </c>
      <c r="M824" s="359">
        <f t="shared" ca="1" si="364"/>
        <v>-1.3279692893966697</v>
      </c>
      <c r="N824" s="357">
        <f t="shared" ca="1" si="365"/>
        <v>-76.087035605416204</v>
      </c>
      <c r="O824" s="343"/>
      <c r="P824" s="363">
        <f t="shared" ca="1" si="366"/>
        <v>23</v>
      </c>
      <c r="Q824" s="357">
        <f t="shared" ca="1" si="367"/>
        <v>0</v>
      </c>
      <c r="R824" s="359">
        <f t="shared" ca="1" si="368"/>
        <v>0</v>
      </c>
      <c r="S824" s="360">
        <f t="shared" ca="1" si="369"/>
        <v>9.637999999999975</v>
      </c>
      <c r="T824" s="357">
        <f t="shared" ca="1" si="349"/>
        <v>94.548779999999766</v>
      </c>
      <c r="U824" s="364">
        <f t="shared" ca="1" si="350"/>
        <v>0</v>
      </c>
      <c r="V824" s="359">
        <f t="shared" ca="1" si="351"/>
        <v>1.0225025680273261</v>
      </c>
      <c r="W824" s="357">
        <f t="shared" ca="1" si="352"/>
        <v>35.254069303392257</v>
      </c>
      <c r="X824" s="343"/>
      <c r="Y824" s="367" t="str">
        <f t="shared" ca="1" si="370"/>
        <v/>
      </c>
      <c r="Z824" s="368" t="str">
        <f t="shared" ca="1" si="371"/>
        <v/>
      </c>
      <c r="AA824" s="369" t="str">
        <f t="shared" ca="1" si="372"/>
        <v/>
      </c>
      <c r="AB824" s="344"/>
      <c r="AC824" s="363">
        <f t="shared" ca="1" si="373"/>
        <v>37.000000000000192</v>
      </c>
      <c r="AD824" s="376">
        <f t="shared" ca="1" si="374"/>
        <v>1488.5913176172498</v>
      </c>
      <c r="AE824" s="377" t="e">
        <f t="shared" ca="1" si="353"/>
        <v>#N/A</v>
      </c>
      <c r="AF824" s="344"/>
      <c r="AG824" s="359">
        <f t="shared" ca="1" si="375"/>
        <v>5.8991872113930643</v>
      </c>
      <c r="AH824" s="357">
        <f t="shared" ca="1" si="376"/>
        <v>-3.618426810965103</v>
      </c>
    </row>
    <row r="825" spans="1:34" x14ac:dyDescent="0.25">
      <c r="A825" s="402">
        <f t="shared" ca="1" si="354"/>
        <v>0.1</v>
      </c>
      <c r="B825" s="357">
        <f t="shared" ca="1" si="355"/>
        <v>37.100000000000193</v>
      </c>
      <c r="C825" s="342"/>
      <c r="D825" s="359">
        <f t="shared" ca="1" si="356"/>
        <v>-0.87951434256126226</v>
      </c>
      <c r="E825" s="360">
        <f t="shared" ca="1" si="357"/>
        <v>-6.2594927429352101</v>
      </c>
      <c r="F825" s="357">
        <f t="shared" ca="1" si="358"/>
        <v>6.3209805313439729</v>
      </c>
      <c r="G825" s="359">
        <f t="shared" ca="1" si="359"/>
        <v>29.457657553921511</v>
      </c>
      <c r="H825" s="360">
        <f t="shared" ca="1" si="360"/>
        <v>-119.89847736227803</v>
      </c>
      <c r="I825" s="357">
        <f t="shared" ca="1" si="361"/>
        <v>123.46415861438008</v>
      </c>
      <c r="J825" s="359">
        <f t="shared" ca="1" si="362"/>
        <v>1491.5414809443548</v>
      </c>
      <c r="K825" s="360">
        <f t="shared" ca="1" si="363"/>
        <v>1790.0187631541794</v>
      </c>
      <c r="L825" s="357">
        <f t="shared" ca="1" si="348"/>
        <v>2329.9920947981127</v>
      </c>
      <c r="M825" s="359">
        <f t="shared" ca="1" si="364"/>
        <v>-1.3298797978540646</v>
      </c>
      <c r="N825" s="357">
        <f t="shared" ca="1" si="365"/>
        <v>-76.196499676748971</v>
      </c>
      <c r="O825" s="343"/>
      <c r="P825" s="363">
        <f t="shared" ca="1" si="366"/>
        <v>23</v>
      </c>
      <c r="Q825" s="357">
        <f t="shared" ca="1" si="367"/>
        <v>0</v>
      </c>
      <c r="R825" s="359">
        <f t="shared" ca="1" si="368"/>
        <v>0</v>
      </c>
      <c r="S825" s="360">
        <f t="shared" ca="1" si="369"/>
        <v>9.637999999999975</v>
      </c>
      <c r="T825" s="357">
        <f t="shared" ca="1" si="349"/>
        <v>94.548779999999766</v>
      </c>
      <c r="U825" s="364">
        <f t="shared" ca="1" si="350"/>
        <v>0</v>
      </c>
      <c r="V825" s="359">
        <f t="shared" ca="1" si="351"/>
        <v>1.0237360168251222</v>
      </c>
      <c r="W825" s="357">
        <f t="shared" ca="1" si="352"/>
        <v>35.634439141025105</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5.8643751861261126</v>
      </c>
      <c r="AH825" s="357">
        <f t="shared" ca="1" si="376"/>
        <v>-3.6578200148778115</v>
      </c>
    </row>
    <row r="826" spans="1:34" x14ac:dyDescent="0.25">
      <c r="A826" s="402">
        <f t="shared" ca="1" si="354"/>
        <v>0.1</v>
      </c>
      <c r="B826" s="357">
        <f t="shared" ca="1" si="355"/>
        <v>37.200000000000195</v>
      </c>
      <c r="C826" s="342"/>
      <c r="D826" s="359">
        <f t="shared" ca="1" si="356"/>
        <v>-0.88214568438837171</v>
      </c>
      <c r="E826" s="360">
        <f t="shared" ca="1" si="357"/>
        <v>-6.2194930434891216</v>
      </c>
      <c r="F826" s="357">
        <f t="shared" ca="1" si="358"/>
        <v>6.2817413769188715</v>
      </c>
      <c r="G826" s="359">
        <f t="shared" ca="1" si="359"/>
        <v>29.369442985482674</v>
      </c>
      <c r="H826" s="360">
        <f t="shared" ca="1" si="360"/>
        <v>-120.52042666662695</v>
      </c>
      <c r="I826" s="357">
        <f t="shared" ca="1" si="361"/>
        <v>124.04731929865845</v>
      </c>
      <c r="J826" s="359">
        <f t="shared" ca="1" si="362"/>
        <v>1494.4828359713251</v>
      </c>
      <c r="K826" s="360">
        <f t="shared" ca="1" si="363"/>
        <v>1777.9978179527341</v>
      </c>
      <c r="L826" s="357">
        <f t="shared" ca="1" si="348"/>
        <v>2322.6612296367239</v>
      </c>
      <c r="M826" s="359">
        <f t="shared" ca="1" si="364"/>
        <v>-1.3317666557330312</v>
      </c>
      <c r="N826" s="357">
        <f t="shared" ca="1" si="365"/>
        <v>-76.304608669754771</v>
      </c>
      <c r="O826" s="343"/>
      <c r="P826" s="363">
        <f t="shared" ca="1" si="366"/>
        <v>23</v>
      </c>
      <c r="Q826" s="357">
        <f t="shared" ca="1" si="367"/>
        <v>0</v>
      </c>
      <c r="R826" s="359">
        <f t="shared" ca="1" si="368"/>
        <v>0</v>
      </c>
      <c r="S826" s="360">
        <f t="shared" ca="1" si="369"/>
        <v>9.637999999999975</v>
      </c>
      <c r="T826" s="357">
        <f t="shared" ca="1" si="349"/>
        <v>94.548779999999766</v>
      </c>
      <c r="U826" s="364">
        <f t="shared" ca="1" si="350"/>
        <v>0</v>
      </c>
      <c r="V826" s="359">
        <f t="shared" ca="1" si="351"/>
        <v>1.0249772664871311</v>
      </c>
      <c r="W826" s="357">
        <f t="shared" ca="1" si="352"/>
        <v>36.01547464518984</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5.8293986568537353</v>
      </c>
      <c r="AH826" s="357">
        <f t="shared" ca="1" si="376"/>
        <v>-3.6972856548065156</v>
      </c>
    </row>
    <row r="827" spans="1:34" x14ac:dyDescent="0.25">
      <c r="A827" s="402">
        <f t="shared" ca="1" si="354"/>
        <v>0.1</v>
      </c>
      <c r="B827" s="357">
        <f t="shared" ca="1" si="355"/>
        <v>37.300000000000196</v>
      </c>
      <c r="C827" s="342"/>
      <c r="D827" s="359">
        <f t="shared" ca="1" si="356"/>
        <v>-0.88472957882339742</v>
      </c>
      <c r="E827" s="360">
        <f t="shared" ca="1" si="357"/>
        <v>-6.1794242898277911</v>
      </c>
      <c r="F827" s="357">
        <f t="shared" ca="1" si="358"/>
        <v>6.2424379036846434</v>
      </c>
      <c r="G827" s="359">
        <f t="shared" ca="1" si="359"/>
        <v>29.280970027600336</v>
      </c>
      <c r="H827" s="360">
        <f t="shared" ca="1" si="360"/>
        <v>-121.13836909560972</v>
      </c>
      <c r="I827" s="357">
        <f t="shared" ca="1" si="361"/>
        <v>124.62696206239403</v>
      </c>
      <c r="J827" s="359">
        <f t="shared" ca="1" si="362"/>
        <v>1497.4153566219793</v>
      </c>
      <c r="K827" s="360">
        <f t="shared" ca="1" si="363"/>
        <v>1765.9148781646222</v>
      </c>
      <c r="L827" s="357">
        <f t="shared" ca="1" si="348"/>
        <v>2315.3203033642021</v>
      </c>
      <c r="M827" s="359">
        <f t="shared" ca="1" si="364"/>
        <v>-1.333630310980519</v>
      </c>
      <c r="N827" s="357">
        <f t="shared" ca="1" si="365"/>
        <v>-76.411388249903226</v>
      </c>
      <c r="O827" s="343"/>
      <c r="P827" s="363">
        <f t="shared" ca="1" si="366"/>
        <v>23</v>
      </c>
      <c r="Q827" s="357">
        <f t="shared" ca="1" si="367"/>
        <v>0</v>
      </c>
      <c r="R827" s="359">
        <f t="shared" ca="1" si="368"/>
        <v>0</v>
      </c>
      <c r="S827" s="360">
        <f t="shared" ca="1" si="369"/>
        <v>9.637999999999975</v>
      </c>
      <c r="T827" s="357">
        <f t="shared" ca="1" si="349"/>
        <v>94.548779999999766</v>
      </c>
      <c r="U827" s="364">
        <f t="shared" ca="1" si="350"/>
        <v>0</v>
      </c>
      <c r="V827" s="359">
        <f t="shared" ca="1" si="351"/>
        <v>1.0262262992058457</v>
      </c>
      <c r="W827" s="357">
        <f t="shared" ca="1" si="352"/>
        <v>36.397143440706813</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5.7942633593784807</v>
      </c>
      <c r="AH827" s="357">
        <f t="shared" ca="1" si="376"/>
        <v>-3.7368203616092481</v>
      </c>
    </row>
    <row r="828" spans="1:34" x14ac:dyDescent="0.25">
      <c r="A828" s="402">
        <f t="shared" ca="1" si="354"/>
        <v>0.1</v>
      </c>
      <c r="B828" s="357">
        <f t="shared" ca="1" si="355"/>
        <v>37.400000000000198</v>
      </c>
      <c r="C828" s="342"/>
      <c r="D828" s="359">
        <f t="shared" ca="1" si="356"/>
        <v>-0.88726597943727004</v>
      </c>
      <c r="E828" s="360">
        <f t="shared" ca="1" si="357"/>
        <v>-6.1392898561168963</v>
      </c>
      <c r="F828" s="357">
        <f t="shared" ca="1" si="358"/>
        <v>6.2030735007483671</v>
      </c>
      <c r="G828" s="359">
        <f t="shared" ca="1" si="359"/>
        <v>29.19224342965661</v>
      </c>
      <c r="H828" s="360">
        <f t="shared" ca="1" si="360"/>
        <v>-121.75229808122141</v>
      </c>
      <c r="I828" s="357">
        <f t="shared" ca="1" si="361"/>
        <v>125.20307170558924</v>
      </c>
      <c r="J828" s="359">
        <f t="shared" ca="1" si="362"/>
        <v>1500.3390172948421</v>
      </c>
      <c r="K828" s="360">
        <f t="shared" ca="1" si="363"/>
        <v>1753.7703448057807</v>
      </c>
      <c r="L828" s="357">
        <f t="shared" ca="1" si="348"/>
        <v>2307.9704480641512</v>
      </c>
      <c r="M828" s="359">
        <f t="shared" ca="1" si="364"/>
        <v>-1.335471200478521</v>
      </c>
      <c r="N828" s="357">
        <f t="shared" ca="1" si="365"/>
        <v>-76.516863448688696</v>
      </c>
      <c r="O828" s="343"/>
      <c r="P828" s="363">
        <f t="shared" ca="1" si="366"/>
        <v>23</v>
      </c>
      <c r="Q828" s="357">
        <f t="shared" ca="1" si="367"/>
        <v>0</v>
      </c>
      <c r="R828" s="359">
        <f t="shared" ca="1" si="368"/>
        <v>0</v>
      </c>
      <c r="S828" s="360">
        <f t="shared" ca="1" si="369"/>
        <v>9.637999999999975</v>
      </c>
      <c r="T828" s="357">
        <f t="shared" ca="1" si="349"/>
        <v>94.548779999999766</v>
      </c>
      <c r="U828" s="364">
        <f t="shared" ca="1" si="350"/>
        <v>0</v>
      </c>
      <c r="V828" s="359">
        <f t="shared" ca="1" si="351"/>
        <v>1.0274830971059643</v>
      </c>
      <c r="W828" s="357">
        <f t="shared" ca="1" si="352"/>
        <v>36.779413253630516</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5.758974945288994</v>
      </c>
      <c r="AH828" s="357">
        <f t="shared" ca="1" si="376"/>
        <v>-3.7764207761679711</v>
      </c>
    </row>
    <row r="829" spans="1:34" x14ac:dyDescent="0.25">
      <c r="A829" s="402">
        <f t="shared" ca="1" si="354"/>
        <v>0.1</v>
      </c>
      <c r="B829" s="357">
        <f t="shared" ca="1" si="355"/>
        <v>37.500000000000199</v>
      </c>
      <c r="C829" s="342"/>
      <c r="D829" s="359">
        <f t="shared" ca="1" si="356"/>
        <v>-0.88975484721027265</v>
      </c>
      <c r="E829" s="360">
        <f t="shared" ca="1" si="357"/>
        <v>-6.0990931066057161</v>
      </c>
      <c r="F829" s="357">
        <f t="shared" ca="1" si="358"/>
        <v>6.1636515484880832</v>
      </c>
      <c r="G829" s="359">
        <f t="shared" ca="1" si="359"/>
        <v>29.103267944935585</v>
      </c>
      <c r="H829" s="360">
        <f t="shared" ca="1" si="360"/>
        <v>-122.36220739188198</v>
      </c>
      <c r="I829" s="357">
        <f t="shared" ca="1" si="361"/>
        <v>125.7756335817421</v>
      </c>
      <c r="J829" s="359">
        <f t="shared" ca="1" si="362"/>
        <v>1503.2537928635716</v>
      </c>
      <c r="K829" s="360">
        <f t="shared" ca="1" si="363"/>
        <v>1741.5646195321256</v>
      </c>
      <c r="L829" s="357">
        <f t="shared" ca="1" si="348"/>
        <v>2300.6128074417024</v>
      </c>
      <c r="M829" s="359">
        <f t="shared" ca="1" si="364"/>
        <v>-1.3372897503729946</v>
      </c>
      <c r="N829" s="357">
        <f t="shared" ca="1" si="365"/>
        <v>-76.62105868247599</v>
      </c>
      <c r="O829" s="343"/>
      <c r="P829" s="363">
        <f t="shared" ca="1" si="366"/>
        <v>23</v>
      </c>
      <c r="Q829" s="357">
        <f t="shared" ca="1" si="367"/>
        <v>0</v>
      </c>
      <c r="R829" s="359">
        <f t="shared" ca="1" si="368"/>
        <v>0</v>
      </c>
      <c r="S829" s="360">
        <f t="shared" ca="1" si="369"/>
        <v>9.637999999999975</v>
      </c>
      <c r="T829" s="357">
        <f t="shared" ca="1" si="349"/>
        <v>94.548779999999766</v>
      </c>
      <c r="U829" s="364">
        <f t="shared" ca="1" si="350"/>
        <v>0</v>
      </c>
      <c r="V829" s="359">
        <f t="shared" ca="1" si="351"/>
        <v>1.0287476422455597</v>
      </c>
      <c r="W829" s="357">
        <f t="shared" ca="1" si="352"/>
        <v>37.162251915832272</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5.7235389841966029</v>
      </c>
      <c r="AH829" s="357">
        <f t="shared" ca="1" si="376"/>
        <v>-3.8160835498682935</v>
      </c>
    </row>
    <row r="830" spans="1:34" x14ac:dyDescent="0.25">
      <c r="A830" s="402">
        <f t="shared" ca="1" si="354"/>
        <v>0.1</v>
      </c>
      <c r="B830" s="357">
        <f t="shared" ca="1" si="355"/>
        <v>37.6000000000002</v>
      </c>
      <c r="C830" s="342"/>
      <c r="D830" s="359">
        <f t="shared" ca="1" si="356"/>
        <v>-0.89219615044356793</v>
      </c>
      <c r="E830" s="360">
        <f t="shared" ca="1" si="357"/>
        <v>-6.0588373951210501</v>
      </c>
      <c r="F830" s="357">
        <f t="shared" ca="1" si="358"/>
        <v>6.1241754180774048</v>
      </c>
      <c r="G830" s="359">
        <f t="shared" ca="1" si="359"/>
        <v>29.014048329891228</v>
      </c>
      <c r="H830" s="360">
        <f t="shared" ca="1" si="360"/>
        <v>-122.96809113139409</v>
      </c>
      <c r="I830" s="357">
        <f t="shared" ca="1" si="361"/>
        <v>126.34463358998713</v>
      </c>
      <c r="J830" s="359">
        <f t="shared" ca="1" si="362"/>
        <v>1506.1596586773128</v>
      </c>
      <c r="K830" s="360">
        <f t="shared" ca="1" si="363"/>
        <v>1729.2981046059617</v>
      </c>
      <c r="L830" s="357">
        <f t="shared" ca="1" si="348"/>
        <v>2293.2485369058304</v>
      </c>
      <c r="M830" s="359">
        <f t="shared" ca="1" si="364"/>
        <v>-1.3390863763914953</v>
      </c>
      <c r="N830" s="357">
        <f t="shared" ca="1" si="365"/>
        <v>-76.723997770699484</v>
      </c>
      <c r="O830" s="343"/>
      <c r="P830" s="363">
        <f t="shared" ca="1" si="366"/>
        <v>23</v>
      </c>
      <c r="Q830" s="357">
        <f t="shared" ca="1" si="367"/>
        <v>0</v>
      </c>
      <c r="R830" s="359">
        <f t="shared" ca="1" si="368"/>
        <v>0</v>
      </c>
      <c r="S830" s="360">
        <f t="shared" ca="1" si="369"/>
        <v>9.637999999999975</v>
      </c>
      <c r="T830" s="357">
        <f t="shared" ca="1" si="349"/>
        <v>94.548779999999766</v>
      </c>
      <c r="U830" s="364">
        <f t="shared" ca="1" si="350"/>
        <v>0</v>
      </c>
      <c r="V830" s="359">
        <f t="shared" ca="1" si="351"/>
        <v>1.0300199166172546</v>
      </c>
      <c r="W830" s="357">
        <f t="shared" ca="1" si="352"/>
        <v>37.545627369540888</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5.6879609658634465</v>
      </c>
      <c r="AH830" s="357">
        <f t="shared" ca="1" si="376"/>
        <v>-3.8558053450749501</v>
      </c>
    </row>
    <row r="831" spans="1:34" x14ac:dyDescent="0.25">
      <c r="A831" s="402">
        <f t="shared" ca="1" si="354"/>
        <v>0.1</v>
      </c>
      <c r="B831" s="357">
        <f t="shared" ca="1" si="355"/>
        <v>37.700000000000202</v>
      </c>
      <c r="C831" s="342"/>
      <c r="D831" s="359">
        <f t="shared" ca="1" si="356"/>
        <v>-0.89458986467182566</v>
      </c>
      <c r="E831" s="360">
        <f t="shared" ca="1" si="357"/>
        <v>-6.0185260645666361</v>
      </c>
      <c r="F831" s="357">
        <f t="shared" ca="1" si="358"/>
        <v>6.0846484710163429</v>
      </c>
      <c r="G831" s="359">
        <f t="shared" ca="1" si="359"/>
        <v>28.924589343424046</v>
      </c>
      <c r="H831" s="360">
        <f t="shared" ca="1" si="360"/>
        <v>-123.56994373785075</v>
      </c>
      <c r="I831" s="357">
        <f t="shared" ca="1" si="361"/>
        <v>126.91005816743336</v>
      </c>
      <c r="J831" s="359">
        <f t="shared" ca="1" si="362"/>
        <v>1509.0565905609785</v>
      </c>
      <c r="K831" s="360">
        <f t="shared" ca="1" si="363"/>
        <v>1716.9712028624995</v>
      </c>
      <c r="L831" s="357">
        <f t="shared" ca="1" si="348"/>
        <v>2285.8788036496212</v>
      </c>
      <c r="M831" s="359">
        <f t="shared" ca="1" si="364"/>
        <v>-1.3408614841499593</v>
      </c>
      <c r="N831" s="357">
        <f t="shared" ca="1" si="365"/>
        <v>-76.825703953440396</v>
      </c>
      <c r="O831" s="343"/>
      <c r="P831" s="363">
        <f t="shared" ca="1" si="366"/>
        <v>23</v>
      </c>
      <c r="Q831" s="357">
        <f t="shared" ca="1" si="367"/>
        <v>0</v>
      </c>
      <c r="R831" s="359">
        <f t="shared" ca="1" si="368"/>
        <v>0</v>
      </c>
      <c r="S831" s="360">
        <f t="shared" ca="1" si="369"/>
        <v>9.637999999999975</v>
      </c>
      <c r="T831" s="357">
        <f t="shared" ca="1" si="349"/>
        <v>94.548779999999766</v>
      </c>
      <c r="U831" s="364">
        <f t="shared" ca="1" si="350"/>
        <v>0</v>
      </c>
      <c r="V831" s="359">
        <f t="shared" ca="1" si="351"/>
        <v>1.0312999021494003</v>
      </c>
      <c r="W831" s="357">
        <f t="shared" ca="1" si="352"/>
        <v>37.929507671840121</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5.6522463022274074</v>
      </c>
      <c r="AH831" s="357">
        <f t="shared" ca="1" si="376"/>
        <v>-3.8955828356029243</v>
      </c>
    </row>
    <row r="832" spans="1:34" x14ac:dyDescent="0.25">
      <c r="A832" s="402">
        <f t="shared" ca="1" si="354"/>
        <v>0.1</v>
      </c>
      <c r="B832" s="357">
        <f t="shared" ca="1" si="355"/>
        <v>37.800000000000203</v>
      </c>
      <c r="C832" s="342"/>
      <c r="D832" s="359">
        <f t="shared" ca="1" si="356"/>
        <v>-0.89693597257685764</v>
      </c>
      <c r="E832" s="360">
        <f t="shared" ca="1" si="357"/>
        <v>-5.97816244642814</v>
      </c>
      <c r="F832" s="357">
        <f t="shared" ca="1" si="358"/>
        <v>6.0450740586684359</v>
      </c>
      <c r="G832" s="359">
        <f t="shared" ca="1" si="359"/>
        <v>28.83489574616636</v>
      </c>
      <c r="H832" s="360">
        <f t="shared" ca="1" si="360"/>
        <v>-124.16775998249356</v>
      </c>
      <c r="I832" s="357">
        <f t="shared" ca="1" si="361"/>
        <v>127.47189428169024</v>
      </c>
      <c r="J832" s="359">
        <f t="shared" ca="1" si="362"/>
        <v>1511.9445648154581</v>
      </c>
      <c r="K832" s="360">
        <f t="shared" ca="1" si="363"/>
        <v>1704.5843176764822</v>
      </c>
      <c r="L832" s="357">
        <f t="shared" ca="1" si="348"/>
        <v>2278.5047867282624</v>
      </c>
      <c r="M832" s="359">
        <f t="shared" ca="1" si="364"/>
        <v>-1.3426154694490442</v>
      </c>
      <c r="N832" s="357">
        <f t="shared" ca="1" si="365"/>
        <v>-76.926199908405948</v>
      </c>
      <c r="O832" s="343"/>
      <c r="P832" s="363">
        <f t="shared" ca="1" si="366"/>
        <v>23</v>
      </c>
      <c r="Q832" s="357">
        <f t="shared" ca="1" si="367"/>
        <v>0</v>
      </c>
      <c r="R832" s="359">
        <f t="shared" ca="1" si="368"/>
        <v>0</v>
      </c>
      <c r="S832" s="360">
        <f t="shared" ca="1" si="369"/>
        <v>9.637999999999975</v>
      </c>
      <c r="T832" s="357">
        <f t="shared" ca="1" si="349"/>
        <v>94.548779999999766</v>
      </c>
      <c r="U832" s="364">
        <f t="shared" ca="1" si="350"/>
        <v>0</v>
      </c>
      <c r="V832" s="359">
        <f t="shared" ca="1" si="351"/>
        <v>1.0325875807072606</v>
      </c>
      <c r="W832" s="357">
        <f t="shared" ca="1" si="352"/>
        <v>38.313860999121815</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5.6164003293289371</v>
      </c>
      <c r="AH832" s="357">
        <f t="shared" ca="1" si="376"/>
        <v>-3.9354127071840859</v>
      </c>
    </row>
    <row r="833" spans="1:34" x14ac:dyDescent="0.25">
      <c r="A833" s="402">
        <f t="shared" ca="1" si="354"/>
        <v>0.1</v>
      </c>
      <c r="B833" s="357">
        <f t="shared" ca="1" si="355"/>
        <v>37.900000000000205</v>
      </c>
      <c r="C833" s="342"/>
      <c r="D833" s="359">
        <f t="shared" ca="1" si="356"/>
        <v>-0.89923446390220441</v>
      </c>
      <c r="E833" s="360">
        <f t="shared" ca="1" si="357"/>
        <v>-5.9377498602837866</v>
      </c>
      <c r="F833" s="357">
        <f t="shared" ca="1" si="358"/>
        <v>6.0054555218042873</v>
      </c>
      <c r="G833" s="359">
        <f t="shared" ca="1" si="359"/>
        <v>28.744972299776141</v>
      </c>
      <c r="H833" s="360">
        <f t="shared" ca="1" si="360"/>
        <v>-124.76153496852194</v>
      </c>
      <c r="I833" s="357">
        <f t="shared" ca="1" si="361"/>
        <v>128.03012942357208</v>
      </c>
      <c r="J833" s="359">
        <f t="shared" ca="1" si="362"/>
        <v>1514.8235582177551</v>
      </c>
      <c r="K833" s="360">
        <f t="shared" ca="1" si="363"/>
        <v>1692.1378529289314</v>
      </c>
      <c r="L833" s="357">
        <f t="shared" ca="1" si="348"/>
        <v>2271.1276771345188</v>
      </c>
      <c r="M833" s="359">
        <f t="shared" ca="1" si="364"/>
        <v>-1.3443487185604286</v>
      </c>
      <c r="N833" s="357">
        <f t="shared" ca="1" si="365"/>
        <v>-77.025507767333082</v>
      </c>
      <c r="O833" s="343"/>
      <c r="P833" s="363">
        <f t="shared" ca="1" si="366"/>
        <v>23</v>
      </c>
      <c r="Q833" s="357">
        <f t="shared" ca="1" si="367"/>
        <v>0</v>
      </c>
      <c r="R833" s="359">
        <f t="shared" ca="1" si="368"/>
        <v>0</v>
      </c>
      <c r="S833" s="360">
        <f t="shared" ca="1" si="369"/>
        <v>9.637999999999975</v>
      </c>
      <c r="T833" s="357">
        <f t="shared" ca="1" si="349"/>
        <v>94.548779999999766</v>
      </c>
      <c r="U833" s="364">
        <f t="shared" ca="1" si="350"/>
        <v>0</v>
      </c>
      <c r="V833" s="359">
        <f t="shared" ca="1" si="351"/>
        <v>1.0338829340942015</v>
      </c>
      <c r="W833" s="357">
        <f t="shared" ca="1" si="352"/>
        <v>38.69865565149383</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5.5804283091445228</v>
      </c>
      <c r="AH833" s="357">
        <f t="shared" ca="1" si="376"/>
        <v>-3.9752916579292297</v>
      </c>
    </row>
    <row r="834" spans="1:34" x14ac:dyDescent="0.25">
      <c r="A834" s="402">
        <f t="shared" ca="1" si="354"/>
        <v>0.1</v>
      </c>
      <c r="B834" s="357">
        <f t="shared" ca="1" si="355"/>
        <v>38.000000000000206</v>
      </c>
      <c r="C834" s="342"/>
      <c r="D834" s="359">
        <f t="shared" ca="1" si="356"/>
        <v>-0.90148533536859865</v>
      </c>
      <c r="E834" s="360">
        <f t="shared" ca="1" si="357"/>
        <v>-5.8972916133206699</v>
      </c>
      <c r="F834" s="357">
        <f t="shared" ca="1" si="358"/>
        <v>5.9657961901515666</v>
      </c>
      <c r="G834" s="359">
        <f t="shared" ca="1" si="359"/>
        <v>28.654823766239282</v>
      </c>
      <c r="H834" s="360">
        <f t="shared" ca="1" si="360"/>
        <v>-125.35126412985402</v>
      </c>
      <c r="I834" s="357">
        <f t="shared" ca="1" si="361"/>
        <v>128.58475159997261</v>
      </c>
      <c r="J834" s="359">
        <f t="shared" ca="1" si="362"/>
        <v>1517.6935480210559</v>
      </c>
      <c r="K834" s="360">
        <f t="shared" ca="1" si="363"/>
        <v>1679.6322129740126</v>
      </c>
      <c r="L834" s="357">
        <f t="shared" ca="1" si="348"/>
        <v>2263.748677871446</v>
      </c>
      <c r="M834" s="359">
        <f t="shared" ca="1" si="364"/>
        <v>-1.3460616085034489</v>
      </c>
      <c r="N834" s="357">
        <f t="shared" ca="1" si="365"/>
        <v>-77.123649131838548</v>
      </c>
      <c r="O834" s="343"/>
      <c r="P834" s="363">
        <f t="shared" ca="1" si="366"/>
        <v>23</v>
      </c>
      <c r="Q834" s="357">
        <f t="shared" ca="1" si="367"/>
        <v>0</v>
      </c>
      <c r="R834" s="359">
        <f t="shared" ca="1" si="368"/>
        <v>0</v>
      </c>
      <c r="S834" s="360">
        <f t="shared" ca="1" si="369"/>
        <v>9.637999999999975</v>
      </c>
      <c r="T834" s="357">
        <f t="shared" ca="1" si="349"/>
        <v>94.548779999999766</v>
      </c>
      <c r="U834" s="364">
        <f t="shared" ca="1" si="350"/>
        <v>0</v>
      </c>
      <c r="V834" s="359">
        <f t="shared" ca="1" si="351"/>
        <v>1.035185944052885</v>
      </c>
      <c r="W834" s="357">
        <f t="shared" ca="1" si="352"/>
        <v>39.083860057141571</v>
      </c>
      <c r="X834" s="343"/>
      <c r="Y834" s="367" t="str">
        <f t="shared" ca="1" si="370"/>
        <v/>
      </c>
      <c r="Z834" s="368" t="str">
        <f t="shared" ca="1" si="371"/>
        <v/>
      </c>
      <c r="AA834" s="369" t="str">
        <f t="shared" ca="1" si="372"/>
        <v/>
      </c>
      <c r="AB834" s="344"/>
      <c r="AC834" s="363">
        <f t="shared" ca="1" si="373"/>
        <v>38.000000000000206</v>
      </c>
      <c r="AD834" s="376">
        <f t="shared" ca="1" si="374"/>
        <v>1517.6935480210559</v>
      </c>
      <c r="AE834" s="377" t="e">
        <f t="shared" ca="1" si="353"/>
        <v>#N/A</v>
      </c>
      <c r="AF834" s="344"/>
      <c r="AG834" s="359">
        <f t="shared" ca="1" si="375"/>
        <v>5.5443354313313824</v>
      </c>
      <c r="AH834" s="357">
        <f t="shared" ca="1" si="376"/>
        <v>-4.0152163987854257</v>
      </c>
    </row>
    <row r="835" spans="1:34" x14ac:dyDescent="0.25">
      <c r="A835" s="402">
        <f t="shared" ca="1" si="354"/>
        <v>0.1</v>
      </c>
      <c r="B835" s="357">
        <f t="shared" ca="1" si="355"/>
        <v>38.100000000000207</v>
      </c>
      <c r="C835" s="342"/>
      <c r="D835" s="359">
        <f t="shared" ca="1" si="356"/>
        <v>-0.90368859059024709</v>
      </c>
      <c r="E835" s="360">
        <f t="shared" ca="1" si="357"/>
        <v>-5.8567909998568304</v>
      </c>
      <c r="F835" s="357">
        <f t="shared" ca="1" si="358"/>
        <v>5.9260993819515848</v>
      </c>
      <c r="G835" s="359">
        <f t="shared" ca="1" si="359"/>
        <v>28.564454907180256</v>
      </c>
      <c r="H835" s="360">
        <f t="shared" ca="1" si="360"/>
        <v>-125.9369432298397</v>
      </c>
      <c r="I835" s="357">
        <f t="shared" ca="1" si="361"/>
        <v>129.13574932690096</v>
      </c>
      <c r="J835" s="359">
        <f t="shared" ca="1" si="362"/>
        <v>1520.5545119547269</v>
      </c>
      <c r="K835" s="360">
        <f t="shared" ca="1" si="363"/>
        <v>1667.067802606028</v>
      </c>
      <c r="L835" s="357">
        <f t="shared" ca="1" si="348"/>
        <v>2256.3690040220745</v>
      </c>
      <c r="M835" s="359">
        <f t="shared" ca="1" si="364"/>
        <v>-1.3477545073124397</v>
      </c>
      <c r="N835" s="357">
        <f t="shared" ca="1" si="365"/>
        <v>-77.220645088736447</v>
      </c>
      <c r="O835" s="343"/>
      <c r="P835" s="363">
        <f t="shared" ca="1" si="366"/>
        <v>23</v>
      </c>
      <c r="Q835" s="357">
        <f t="shared" ca="1" si="367"/>
        <v>0</v>
      </c>
      <c r="R835" s="359">
        <f t="shared" ca="1" si="368"/>
        <v>0</v>
      </c>
      <c r="S835" s="360">
        <f t="shared" ca="1" si="369"/>
        <v>9.637999999999975</v>
      </c>
      <c r="T835" s="357">
        <f t="shared" ca="1" si="349"/>
        <v>94.548779999999766</v>
      </c>
      <c r="U835" s="364">
        <f t="shared" ca="1" si="350"/>
        <v>0</v>
      </c>
      <c r="V835" s="359">
        <f t="shared" ca="1" si="351"/>
        <v>1.0364965922664664</v>
      </c>
      <c r="W835" s="357">
        <f t="shared" ca="1" si="352"/>
        <v>39.469442776641884</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5.5081268148876807</v>
      </c>
      <c r="AH835" s="357">
        <f t="shared" ca="1" si="376"/>
        <v>-4.0551836539885526</v>
      </c>
    </row>
    <row r="836" spans="1:34" x14ac:dyDescent="0.25">
      <c r="A836" s="402">
        <f t="shared" ca="1" si="354"/>
        <v>0.1</v>
      </c>
      <c r="B836" s="357">
        <f t="shared" ca="1" si="355"/>
        <v>38.200000000000209</v>
      </c>
      <c r="C836" s="342"/>
      <c r="D836" s="359">
        <f t="shared" ca="1" si="356"/>
        <v>-0.90584423999186137</v>
      </c>
      <c r="E836" s="360">
        <f t="shared" ca="1" si="357"/>
        <v>-5.8162513008691725</v>
      </c>
      <c r="F836" s="357">
        <f t="shared" ca="1" si="358"/>
        <v>5.8863684035225639</v>
      </c>
      <c r="G836" s="359">
        <f t="shared" ca="1" si="359"/>
        <v>28.47387048318107</v>
      </c>
      <c r="H836" s="360">
        <f t="shared" ca="1" si="360"/>
        <v>-126.51856835992662</v>
      </c>
      <c r="I836" s="357">
        <f t="shared" ca="1" si="361"/>
        <v>129.68311162267196</v>
      </c>
      <c r="J836" s="359">
        <f t="shared" ca="1" si="362"/>
        <v>1523.406428224245</v>
      </c>
      <c r="K836" s="360">
        <f t="shared" ca="1" si="363"/>
        <v>1654.4450270265397</v>
      </c>
      <c r="L836" s="357">
        <f t="shared" ref="L836:L899" ca="1" si="377">SQRT(pos_x^2+pos_z^2)</f>
        <v>2248.9898828157943</v>
      </c>
      <c r="M836" s="359">
        <f t="shared" ca="1" si="364"/>
        <v>-1.3494277742951255</v>
      </c>
      <c r="N836" s="357">
        <f t="shared" ca="1" si="365"/>
        <v>-77.316516224842928</v>
      </c>
      <c r="O836" s="343"/>
      <c r="P836" s="363">
        <f t="shared" ca="1" si="366"/>
        <v>23</v>
      </c>
      <c r="Q836" s="357">
        <f t="shared" ca="1" si="367"/>
        <v>0</v>
      </c>
      <c r="R836" s="359">
        <f t="shared" ca="1" si="368"/>
        <v>0</v>
      </c>
      <c r="S836" s="360">
        <f t="shared" ca="1" si="369"/>
        <v>9.637999999999975</v>
      </c>
      <c r="T836" s="357">
        <f t="shared" ref="T836:T899" ca="1" si="378">m*g</f>
        <v>94.548779999999766</v>
      </c>
      <c r="U836" s="364">
        <f t="shared" ref="U836:U899" ca="1" si="379">IF(pos_xz&lt;L_rampe,Poids*COS(Beta),0)</f>
        <v>0</v>
      </c>
      <c r="V836" s="359">
        <f t="shared" ref="V836:V899" ca="1" si="380">Rho_moyen*(20000-Alt_rampe-pos_z)/(20000+Alt_rampe+pos_z)</f>
        <v>1.0378148603597988</v>
      </c>
      <c r="W836" s="357">
        <f t="shared" ref="W836:W899" ca="1" si="381">1/2*Rho*Sref*Cx*vit_xz^2</f>
        <v>39.855372507228829</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5.4718075097324652</v>
      </c>
      <c r="AH836" s="357">
        <f t="shared" ca="1" si="376"/>
        <v>-4.0951901615108932</v>
      </c>
    </row>
    <row r="837" spans="1:34" x14ac:dyDescent="0.25">
      <c r="A837" s="402">
        <f t="shared" ref="A837:A900" ca="1" si="383">IF(B836+0.01&lt;=T_ini+ROUNDUP(Temps_fin_propu,0), 0.01, IF(K836&gt;0, 0.1, 0.0001))</f>
        <v>0.1</v>
      </c>
      <c r="B837" s="357">
        <f t="shared" ref="B837:B900" ca="1" si="384">B836+pas</f>
        <v>38.30000000000021</v>
      </c>
      <c r="C837" s="342"/>
      <c r="D837" s="359">
        <f t="shared" ref="D837:D900" ca="1" si="385">IF(AND(L836&lt;L_rampe,Poussee&lt;Poids*SIN(M836)),0,(-W836+Poussee)/m*COS(M836)-U836/m*SIN(M836))</f>
        <v>-0.90795230072640187</v>
      </c>
      <c r="E837" s="360">
        <f t="shared" ref="E837:E900" ca="1" si="386">IF(AND(L836&lt;L_rampe,Poussee&lt;Poids*SIN(M836)),0,(-W836+Poussee)/m*SIN(M836)+U836/m*COS(M836)-Poids/m)</f>
        <v>-5.7756757835272552</v>
      </c>
      <c r="F837" s="357">
        <f t="shared" ref="F837:F900" ca="1" si="387">SQRT(acc_x^2+acc_z^2)</f>
        <v>5.8466065488296319</v>
      </c>
      <c r="G837" s="359">
        <f t="shared" ref="G837:G900" ca="1" si="388">G836+acc_x*pas</f>
        <v>28.38307525310843</v>
      </c>
      <c r="H837" s="360">
        <f t="shared" ref="H837:H900" ca="1" si="389">H836+acc_z*pas</f>
        <v>-127.09613593827935</v>
      </c>
      <c r="I837" s="357">
        <f t="shared" ref="I837:I900" ca="1" si="390">SQRT(vit_x^2+vit_z^2)</f>
        <v>130.2268280012425</v>
      </c>
      <c r="J837" s="359">
        <f t="shared" ref="J837:J900" ca="1" si="391">J836+0.5*(vit_x+G836)*pas*(K836&gt;=0)</f>
        <v>1526.2492755110595</v>
      </c>
      <c r="K837" s="360">
        <f t="shared" ref="K837:K900" ca="1" si="392">K836+0.5*(vit_z+H836)*pas</f>
        <v>1641.7642918116294</v>
      </c>
      <c r="L837" s="357">
        <f t="shared" ca="1" si="377"/>
        <v>2241.6125536911536</v>
      </c>
      <c r="M837" s="359">
        <f t="shared" ref="M837:M900" ca="1" si="393">IF(AND(L836&gt;L_rampe,G837&gt;0),ATAN2(G837,H837),$M$4)</f>
        <v>-1.3510817602824026</v>
      </c>
      <c r="N837" s="357">
        <f t="shared" ref="N837:N900" ca="1" si="394">DEGREES(Beta)</f>
        <v>-77.411282641287684</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9.637999999999975</v>
      </c>
      <c r="T837" s="357">
        <f t="shared" ca="1" si="378"/>
        <v>94.548779999999766</v>
      </c>
      <c r="U837" s="364">
        <f t="shared" ca="1" si="379"/>
        <v>0</v>
      </c>
      <c r="V837" s="359">
        <f t="shared" ca="1" si="380"/>
        <v>1.0391407299006405</v>
      </c>
      <c r="W837" s="357">
        <f t="shared" ca="1" si="381"/>
        <v>40.241618087009932</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5.435382498209159</v>
      </c>
      <c r="AH837" s="357">
        <f t="shared" ref="AH837:AH900" ca="1" si="405">IF(AND(L836&lt;L_rampe,Poussee&lt;Poids*SIN(M836)), g*SIN(M836), (-W836+Poussee)/m)</f>
        <v>-4.1352326735037286</v>
      </c>
    </row>
    <row r="838" spans="1:34" x14ac:dyDescent="0.25">
      <c r="A838" s="402">
        <f t="shared" ca="1" si="383"/>
        <v>0.1</v>
      </c>
      <c r="B838" s="357">
        <f t="shared" ca="1" si="384"/>
        <v>38.400000000000212</v>
      </c>
      <c r="C838" s="342"/>
      <c r="D838" s="359">
        <f t="shared" ca="1" si="385"/>
        <v>-0.91001279659346057</v>
      </c>
      <c r="E838" s="360">
        <f t="shared" ca="1" si="386"/>
        <v>-5.7350677007330413</v>
      </c>
      <c r="F838" s="357">
        <f t="shared" ca="1" si="387"/>
        <v>5.8068170990616901</v>
      </c>
      <c r="G838" s="359">
        <f t="shared" ca="1" si="388"/>
        <v>28.292073973449085</v>
      </c>
      <c r="H838" s="360">
        <f t="shared" ca="1" si="389"/>
        <v>-127.66964270835265</v>
      </c>
      <c r="I838" s="357">
        <f t="shared" ca="1" si="390"/>
        <v>130.76688846568746</v>
      </c>
      <c r="J838" s="359">
        <f t="shared" ca="1" si="391"/>
        <v>1529.0830329723874</v>
      </c>
      <c r="K838" s="360">
        <f t="shared" ca="1" si="392"/>
        <v>1629.0260028792977</v>
      </c>
      <c r="L838" s="357">
        <f t="shared" ca="1" si="377"/>
        <v>2234.2382683547735</v>
      </c>
      <c r="M838" s="359">
        <f t="shared" ca="1" si="393"/>
        <v>-1.3527168078698288</v>
      </c>
      <c r="N838" s="357">
        <f t="shared" ca="1" si="394"/>
        <v>-77.50496396735025</v>
      </c>
      <c r="O838" s="343"/>
      <c r="P838" s="363">
        <f t="shared" ca="1" si="395"/>
        <v>23</v>
      </c>
      <c r="Q838" s="357">
        <f t="shared" ca="1" si="396"/>
        <v>0</v>
      </c>
      <c r="R838" s="359">
        <f t="shared" ca="1" si="397"/>
        <v>0</v>
      </c>
      <c r="S838" s="360">
        <f t="shared" ca="1" si="398"/>
        <v>9.637999999999975</v>
      </c>
      <c r="T838" s="357">
        <f t="shared" ca="1" si="378"/>
        <v>94.548779999999766</v>
      </c>
      <c r="U838" s="364">
        <f t="shared" ca="1" si="379"/>
        <v>0</v>
      </c>
      <c r="V838" s="359">
        <f t="shared" ca="1" si="380"/>
        <v>1.0404741824008639</v>
      </c>
      <c r="W838" s="357">
        <f t="shared" ca="1" si="381"/>
        <v>40.628148499131839</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5.398856696516404</v>
      </c>
      <c r="AH838" s="357">
        <f t="shared" ca="1" si="405"/>
        <v>-4.1753079567348035</v>
      </c>
    </row>
    <row r="839" spans="1:34" x14ac:dyDescent="0.25">
      <c r="A839" s="402">
        <f t="shared" ca="1" si="383"/>
        <v>0.1</v>
      </c>
      <c r="B839" s="357">
        <f t="shared" ca="1" si="384"/>
        <v>38.500000000000213</v>
      </c>
      <c r="C839" s="342"/>
      <c r="D839" s="359">
        <f t="shared" ca="1" si="385"/>
        <v>-0.91202575795825147</v>
      </c>
      <c r="E839" s="360">
        <f t="shared" ca="1" si="386"/>
        <v>-5.6944302906666877</v>
      </c>
      <c r="F839" s="357">
        <f t="shared" ca="1" si="387"/>
        <v>5.767003322215241</v>
      </c>
      <c r="G839" s="359">
        <f t="shared" ca="1" si="388"/>
        <v>28.200871397653259</v>
      </c>
      <c r="H839" s="360">
        <f t="shared" ca="1" si="389"/>
        <v>-128.23908573741932</v>
      </c>
      <c r="I839" s="357">
        <f t="shared" ca="1" si="390"/>
        <v>131.30328350180798</v>
      </c>
      <c r="J839" s="359">
        <f t="shared" ca="1" si="391"/>
        <v>1531.9076802409425</v>
      </c>
      <c r="K839" s="360">
        <f t="shared" ca="1" si="392"/>
        <v>1616.2305664570092</v>
      </c>
      <c r="L839" s="357">
        <f t="shared" ca="1" si="377"/>
        <v>2226.8682908360634</v>
      </c>
      <c r="M839" s="359">
        <f t="shared" ca="1" si="393"/>
        <v>-1.3543332516511362</v>
      </c>
      <c r="N839" s="357">
        <f t="shared" ca="1" si="394"/>
        <v>-77.597579373839338</v>
      </c>
      <c r="O839" s="343"/>
      <c r="P839" s="363">
        <f t="shared" ca="1" si="395"/>
        <v>23</v>
      </c>
      <c r="Q839" s="357">
        <f t="shared" ca="1" si="396"/>
        <v>0</v>
      </c>
      <c r="R839" s="359">
        <f t="shared" ca="1" si="397"/>
        <v>0</v>
      </c>
      <c r="S839" s="360">
        <f t="shared" ca="1" si="398"/>
        <v>9.637999999999975</v>
      </c>
      <c r="T839" s="357">
        <f t="shared" ca="1" si="378"/>
        <v>94.548779999999766</v>
      </c>
      <c r="U839" s="364">
        <f t="shared" ca="1" si="379"/>
        <v>0</v>
      </c>
      <c r="V839" s="359">
        <f t="shared" ca="1" si="380"/>
        <v>1.0418151993176721</v>
      </c>
      <c r="W839" s="357">
        <f t="shared" ca="1" si="381"/>
        <v>41.014932875894814</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5.3622349560698082</v>
      </c>
      <c r="AH839" s="357">
        <f t="shared" ca="1" si="405"/>
        <v>-4.2154127930205378</v>
      </c>
    </row>
    <row r="840" spans="1:34" x14ac:dyDescent="0.25">
      <c r="A840" s="402">
        <f t="shared" ca="1" si="383"/>
        <v>0.1</v>
      </c>
      <c r="B840" s="357">
        <f t="shared" ca="1" si="384"/>
        <v>38.600000000000215</v>
      </c>
      <c r="C840" s="342"/>
      <c r="D840" s="359">
        <f t="shared" ca="1" si="385"/>
        <v>-0.91399122167114166</v>
      </c>
      <c r="E840" s="360">
        <f t="shared" ca="1" si="386"/>
        <v>-5.653766776338415</v>
      </c>
      <c r="F840" s="357">
        <f t="shared" ca="1" si="387"/>
        <v>5.727168472685257</v>
      </c>
      <c r="G840" s="359">
        <f t="shared" ca="1" si="388"/>
        <v>28.109472275486144</v>
      </c>
      <c r="H840" s="360">
        <f t="shared" ca="1" si="389"/>
        <v>-128.80446241505317</v>
      </c>
      <c r="I840" s="357">
        <f t="shared" ca="1" si="390"/>
        <v>131.83600407186637</v>
      </c>
      <c r="J840" s="359">
        <f t="shared" ca="1" si="391"/>
        <v>1534.7231974245994</v>
      </c>
      <c r="K840" s="360">
        <f t="shared" ca="1" si="392"/>
        <v>1603.3783890493855</v>
      </c>
      <c r="L840" s="357">
        <f t="shared" ca="1" si="377"/>
        <v>2219.5038975374177</v>
      </c>
      <c r="M840" s="359">
        <f t="shared" ca="1" si="393"/>
        <v>-1.3559314184440534</v>
      </c>
      <c r="N840" s="357">
        <f t="shared" ca="1" si="394"/>
        <v>-77.689147586031453</v>
      </c>
      <c r="O840" s="343"/>
      <c r="P840" s="363">
        <f t="shared" ca="1" si="395"/>
        <v>23</v>
      </c>
      <c r="Q840" s="357">
        <f t="shared" ca="1" si="396"/>
        <v>0</v>
      </c>
      <c r="R840" s="359">
        <f t="shared" ca="1" si="397"/>
        <v>0</v>
      </c>
      <c r="S840" s="360">
        <f t="shared" ca="1" si="398"/>
        <v>9.637999999999975</v>
      </c>
      <c r="T840" s="357">
        <f t="shared" ca="1" si="378"/>
        <v>94.548779999999766</v>
      </c>
      <c r="U840" s="364">
        <f t="shared" ca="1" si="379"/>
        <v>0</v>
      </c>
      <c r="V840" s="359">
        <f t="shared" ca="1" si="380"/>
        <v>1.0431637620548175</v>
      </c>
      <c r="W840" s="357">
        <f t="shared" ca="1" si="381"/>
        <v>41.401940502815037</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5.3255220647979806</v>
      </c>
      <c r="AH840" s="357">
        <f t="shared" ca="1" si="405"/>
        <v>-4.255543979652928</v>
      </c>
    </row>
    <row r="841" spans="1:34" x14ac:dyDescent="0.25">
      <c r="A841" s="402">
        <f t="shared" ca="1" si="383"/>
        <v>0.1</v>
      </c>
      <c r="B841" s="357">
        <f t="shared" ca="1" si="384"/>
        <v>38.700000000000216</v>
      </c>
      <c r="C841" s="342"/>
      <c r="D841" s="359">
        <f t="shared" ca="1" si="385"/>
        <v>-0.91590923098771626</v>
      </c>
      <c r="E841" s="360">
        <f t="shared" ca="1" si="386"/>
        <v>-5.6130803651465131</v>
      </c>
      <c r="F841" s="357">
        <f t="shared" ca="1" si="387"/>
        <v>5.6873157908631926</v>
      </c>
      <c r="G841" s="359">
        <f t="shared" ca="1" si="388"/>
        <v>28.017881352387374</v>
      </c>
      <c r="H841" s="360">
        <f t="shared" ca="1" si="389"/>
        <v>-129.36577045156781</v>
      </c>
      <c r="I841" s="357">
        <f t="shared" ca="1" si="390"/>
        <v>132.36504160844052</v>
      </c>
      <c r="J841" s="359">
        <f t="shared" ca="1" si="391"/>
        <v>1537.529565105993</v>
      </c>
      <c r="K841" s="360">
        <f t="shared" ca="1" si="392"/>
        <v>1590.4698774060546</v>
      </c>
      <c r="L841" s="357">
        <f t="shared" ca="1" si="377"/>
        <v>2212.1463772795537</v>
      </c>
      <c r="M841" s="359">
        <f t="shared" ca="1" si="393"/>
        <v>-1.357511627508734</v>
      </c>
      <c r="N841" s="357">
        <f t="shared" ca="1" si="394"/>
        <v>-77.779686896185964</v>
      </c>
      <c r="O841" s="343"/>
      <c r="P841" s="363">
        <f t="shared" ca="1" si="395"/>
        <v>23</v>
      </c>
      <c r="Q841" s="357">
        <f t="shared" ca="1" si="396"/>
        <v>0</v>
      </c>
      <c r="R841" s="359">
        <f t="shared" ca="1" si="397"/>
        <v>0</v>
      </c>
      <c r="S841" s="360">
        <f t="shared" ca="1" si="398"/>
        <v>9.637999999999975</v>
      </c>
      <c r="T841" s="357">
        <f t="shared" ca="1" si="378"/>
        <v>94.548779999999766</v>
      </c>
      <c r="U841" s="364">
        <f t="shared" ca="1" si="379"/>
        <v>0</v>
      </c>
      <c r="V841" s="359">
        <f t="shared" ca="1" si="380"/>
        <v>1.0445198519638244</v>
      </c>
      <c r="W841" s="357">
        <f t="shared" ca="1" si="381"/>
        <v>41.789140822633478</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5.2887227483760419</v>
      </c>
      <c r="AH841" s="357">
        <f t="shared" ca="1" si="405"/>
        <v>-4.2956983298210361</v>
      </c>
    </row>
    <row r="842" spans="1:34" x14ac:dyDescent="0.25">
      <c r="A842" s="402">
        <f t="shared" ca="1" si="383"/>
        <v>0.1</v>
      </c>
      <c r="B842" s="357">
        <f t="shared" ca="1" si="384"/>
        <v>38.800000000000217</v>
      </c>
      <c r="C842" s="342"/>
      <c r="D842" s="359">
        <f t="shared" ca="1" si="385"/>
        <v>-0.91777983548928777</v>
      </c>
      <c r="E842" s="360">
        <f t="shared" ca="1" si="386"/>
        <v>-5.5723742484415899</v>
      </c>
      <c r="F842" s="357">
        <f t="shared" ca="1" si="387"/>
        <v>5.647448502742253</v>
      </c>
      <c r="G842" s="359">
        <f t="shared" ca="1" si="388"/>
        <v>27.926103368838444</v>
      </c>
      <c r="H842" s="360">
        <f t="shared" ca="1" si="389"/>
        <v>-129.92300787641196</v>
      </c>
      <c r="I842" s="357">
        <f t="shared" ca="1" si="390"/>
        <v>132.89038800839305</v>
      </c>
      <c r="J842" s="359">
        <f t="shared" ca="1" si="391"/>
        <v>1540.3267643420543</v>
      </c>
      <c r="K842" s="360">
        <f t="shared" ca="1" si="392"/>
        <v>1577.5054384896557</v>
      </c>
      <c r="L842" s="357">
        <f t="shared" ca="1" si="377"/>
        <v>2204.7970313416386</v>
      </c>
      <c r="M842" s="359">
        <f t="shared" ca="1" si="393"/>
        <v>-1.3590741907590516</v>
      </c>
      <c r="N842" s="357">
        <f t="shared" ca="1" si="394"/>
        <v>-77.869215175651405</v>
      </c>
      <c r="O842" s="343"/>
      <c r="P842" s="363">
        <f t="shared" ca="1" si="395"/>
        <v>23</v>
      </c>
      <c r="Q842" s="357">
        <f t="shared" ca="1" si="396"/>
        <v>0</v>
      </c>
      <c r="R842" s="359">
        <f t="shared" ca="1" si="397"/>
        <v>0</v>
      </c>
      <c r="S842" s="360">
        <f t="shared" ca="1" si="398"/>
        <v>9.637999999999975</v>
      </c>
      <c r="T842" s="357">
        <f t="shared" ca="1" si="378"/>
        <v>94.548779999999766</v>
      </c>
      <c r="U842" s="364">
        <f t="shared" ca="1" si="379"/>
        <v>0</v>
      </c>
      <c r="V842" s="359">
        <f t="shared" ca="1" si="380"/>
        <v>1.0458834503452135</v>
      </c>
      <c r="W842" s="357">
        <f t="shared" ca="1" si="381"/>
        <v>42.176503439270867</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5.2518416713997524</v>
      </c>
      <c r="AH842" s="357">
        <f t="shared" ca="1" si="405"/>
        <v>-4.3358726730269339</v>
      </c>
    </row>
    <row r="843" spans="1:34" x14ac:dyDescent="0.25">
      <c r="A843" s="402">
        <f t="shared" ca="1" si="383"/>
        <v>0.1</v>
      </c>
      <c r="B843" s="357">
        <f t="shared" ca="1" si="384"/>
        <v>38.900000000000219</v>
      </c>
      <c r="C843" s="342"/>
      <c r="D843" s="359">
        <f t="shared" ca="1" si="385"/>
        <v>-0.91960309100385951</v>
      </c>
      <c r="E843" s="360">
        <f t="shared" ca="1" si="386"/>
        <v>-5.5316516010970842</v>
      </c>
      <c r="F843" s="357">
        <f t="shared" ca="1" si="387"/>
        <v>5.6075698195300063</v>
      </c>
      <c r="G843" s="359">
        <f t="shared" ca="1" si="388"/>
        <v>27.834143059738057</v>
      </c>
      <c r="H843" s="360">
        <f t="shared" ca="1" si="389"/>
        <v>-130.47617303652166</v>
      </c>
      <c r="I843" s="357">
        <f t="shared" ca="1" si="390"/>
        <v>133.41203562694898</v>
      </c>
      <c r="J843" s="359">
        <f t="shared" ca="1" si="391"/>
        <v>1543.1147766634831</v>
      </c>
      <c r="K843" s="360">
        <f t="shared" ca="1" si="392"/>
        <v>1564.4854794440091</v>
      </c>
      <c r="L843" s="357">
        <f t="shared" ca="1" si="377"/>
        <v>2197.4571734958436</v>
      </c>
      <c r="M843" s="359">
        <f t="shared" ca="1" si="393"/>
        <v>-1.3606194129670328</v>
      </c>
      <c r="N843" s="357">
        <f t="shared" ca="1" si="394"/>
        <v>-77.957749886578611</v>
      </c>
      <c r="O843" s="343"/>
      <c r="P843" s="363">
        <f t="shared" ca="1" si="395"/>
        <v>23</v>
      </c>
      <c r="Q843" s="357">
        <f t="shared" ca="1" si="396"/>
        <v>0</v>
      </c>
      <c r="R843" s="359">
        <f t="shared" ca="1" si="397"/>
        <v>0</v>
      </c>
      <c r="S843" s="360">
        <f t="shared" ca="1" si="398"/>
        <v>9.637999999999975</v>
      </c>
      <c r="T843" s="357">
        <f t="shared" ca="1" si="378"/>
        <v>94.548779999999766</v>
      </c>
      <c r="U843" s="364">
        <f t="shared" ca="1" si="379"/>
        <v>0</v>
      </c>
      <c r="V843" s="359">
        <f t="shared" ca="1" si="380"/>
        <v>1.047254538449732</v>
      </c>
      <c r="W843" s="357">
        <f t="shared" ca="1" si="381"/>
        <v>42.56399812172765</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5.2148834385031488</v>
      </c>
      <c r="AH843" s="357">
        <f t="shared" ca="1" si="405"/>
        <v>-4.3760638554960547</v>
      </c>
    </row>
    <row r="844" spans="1:34" x14ac:dyDescent="0.25">
      <c r="A844" s="402">
        <f t="shared" ca="1" si="383"/>
        <v>0.1</v>
      </c>
      <c r="B844" s="357">
        <f t="shared" ca="1" si="384"/>
        <v>39.00000000000022</v>
      </c>
      <c r="C844" s="342"/>
      <c r="D844" s="359">
        <f t="shared" ca="1" si="385"/>
        <v>-0.92137905952747368</v>
      </c>
      <c r="E844" s="360">
        <f t="shared" ca="1" si="386"/>
        <v>-5.4909155810861305</v>
      </c>
      <c r="F844" s="357">
        <f t="shared" ca="1" si="387"/>
        <v>5.5676829372684447</v>
      </c>
      <c r="G844" s="359">
        <f t="shared" ca="1" si="388"/>
        <v>27.742005153785311</v>
      </c>
      <c r="H844" s="360">
        <f t="shared" ca="1" si="389"/>
        <v>-131.02526459463027</v>
      </c>
      <c r="I844" s="357">
        <f t="shared" ca="1" si="390"/>
        <v>133.92997727187714</v>
      </c>
      <c r="J844" s="359">
        <f t="shared" ca="1" si="391"/>
        <v>1545.8935840741592</v>
      </c>
      <c r="K844" s="360">
        <f t="shared" ca="1" si="392"/>
        <v>1551.4104075624516</v>
      </c>
      <c r="L844" s="357">
        <f t="shared" ca="1" si="377"/>
        <v>2190.1281300359442</v>
      </c>
      <c r="M844" s="359">
        <f t="shared" ca="1" si="393"/>
        <v>-1.362147591960674</v>
      </c>
      <c r="N844" s="357">
        <f t="shared" ca="1" si="394"/>
        <v>-78.045308093254803</v>
      </c>
      <c r="O844" s="343"/>
      <c r="P844" s="363">
        <f t="shared" ca="1" si="395"/>
        <v>23</v>
      </c>
      <c r="Q844" s="357">
        <f t="shared" ca="1" si="396"/>
        <v>0</v>
      </c>
      <c r="R844" s="359">
        <f t="shared" ca="1" si="397"/>
        <v>0</v>
      </c>
      <c r="S844" s="360">
        <f t="shared" ca="1" si="398"/>
        <v>9.637999999999975</v>
      </c>
      <c r="T844" s="357">
        <f t="shared" ca="1" si="378"/>
        <v>94.548779999999766</v>
      </c>
      <c r="U844" s="364">
        <f t="shared" ca="1" si="379"/>
        <v>0</v>
      </c>
      <c r="V844" s="359">
        <f t="shared" ca="1" si="380"/>
        <v>1.0486330974795859</v>
      </c>
      <c r="W844" s="357">
        <f t="shared" ca="1" si="381"/>
        <v>42.951594807928345</v>
      </c>
      <c r="X844" s="343"/>
      <c r="Y844" s="367" t="str">
        <f t="shared" ca="1" si="399"/>
        <v/>
      </c>
      <c r="Z844" s="368" t="str">
        <f t="shared" ca="1" si="400"/>
        <v/>
      </c>
      <c r="AA844" s="369" t="str">
        <f t="shared" ca="1" si="401"/>
        <v/>
      </c>
      <c r="AB844" s="344"/>
      <c r="AC844" s="363">
        <f t="shared" ca="1" si="402"/>
        <v>39.00000000000022</v>
      </c>
      <c r="AD844" s="376">
        <f t="shared" ca="1" si="403"/>
        <v>1545.8935840741592</v>
      </c>
      <c r="AE844" s="377" t="e">
        <f t="shared" ca="1" si="382"/>
        <v>#N/A</v>
      </c>
      <c r="AF844" s="344"/>
      <c r="AG844" s="359">
        <f t="shared" ca="1" si="404"/>
        <v>5.1778525954224648</v>
      </c>
      <c r="AH844" s="357">
        <f t="shared" ca="1" si="405"/>
        <v>-4.4162687405818382</v>
      </c>
    </row>
    <row r="845" spans="1:34" x14ac:dyDescent="0.25">
      <c r="A845" s="402">
        <f t="shared" ca="1" si="383"/>
        <v>0.1</v>
      </c>
      <c r="B845" s="357">
        <f t="shared" ca="1" si="384"/>
        <v>39.100000000000222</v>
      </c>
      <c r="C845" s="342"/>
      <c r="D845" s="359">
        <f t="shared" ca="1" si="385"/>
        <v>-0.9231078091459346</v>
      </c>
      <c r="E845" s="360">
        <f t="shared" ca="1" si="386"/>
        <v>-5.4501693290648019</v>
      </c>
      <c r="F845" s="357">
        <f t="shared" ca="1" si="387"/>
        <v>5.5277910364615703</v>
      </c>
      <c r="G845" s="359">
        <f t="shared" ca="1" si="388"/>
        <v>27.649694372870716</v>
      </c>
      <c r="H845" s="360">
        <f t="shared" ca="1" si="389"/>
        <v>-131.57028152753676</v>
      </c>
      <c r="I845" s="357">
        <f t="shared" ca="1" si="390"/>
        <v>134.44420619776977</v>
      </c>
      <c r="J845" s="359">
        <f t="shared" ca="1" si="391"/>
        <v>1548.6631690504921</v>
      </c>
      <c r="K845" s="360">
        <f t="shared" ca="1" si="392"/>
        <v>1538.2806302563433</v>
      </c>
      <c r="L845" s="357">
        <f t="shared" ca="1" si="377"/>
        <v>2182.8112397995769</v>
      </c>
      <c r="M845" s="359">
        <f t="shared" ca="1" si="393"/>
        <v>-1.3636590188153845</v>
      </c>
      <c r="N845" s="357">
        <f t="shared" ca="1" si="394"/>
        <v>-78.131906473072448</v>
      </c>
      <c r="O845" s="343"/>
      <c r="P845" s="363">
        <f t="shared" ca="1" si="395"/>
        <v>23</v>
      </c>
      <c r="Q845" s="357">
        <f t="shared" ca="1" si="396"/>
        <v>0</v>
      </c>
      <c r="R845" s="359">
        <f t="shared" ca="1" si="397"/>
        <v>0</v>
      </c>
      <c r="S845" s="360">
        <f t="shared" ca="1" si="398"/>
        <v>9.637999999999975</v>
      </c>
      <c r="T845" s="357">
        <f t="shared" ca="1" si="378"/>
        <v>94.548779999999766</v>
      </c>
      <c r="U845" s="364">
        <f t="shared" ca="1" si="379"/>
        <v>0</v>
      </c>
      <c r="V845" s="359">
        <f t="shared" ca="1" si="380"/>
        <v>1.0500191085896726</v>
      </c>
      <c r="W845" s="357">
        <f t="shared" ca="1" si="381"/>
        <v>43.339263608508972</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5.1407536300090237</v>
      </c>
      <c r="AH845" s="357">
        <f t="shared" ca="1" si="405"/>
        <v>-4.4564842091646044</v>
      </c>
    </row>
    <row r="846" spans="1:34" x14ac:dyDescent="0.25">
      <c r="A846" s="402">
        <f t="shared" ca="1" si="383"/>
        <v>0.1</v>
      </c>
      <c r="B846" s="357">
        <f t="shared" ca="1" si="384"/>
        <v>39.200000000000223</v>
      </c>
      <c r="C846" s="342"/>
      <c r="D846" s="359">
        <f t="shared" ca="1" si="385"/>
        <v>-0.92478941395685754</v>
      </c>
      <c r="E846" s="360">
        <f t="shared" ca="1" si="386"/>
        <v>-5.409415967961869</v>
      </c>
      <c r="F846" s="357">
        <f t="shared" ca="1" si="387"/>
        <v>5.4878972817106835</v>
      </c>
      <c r="G846" s="359">
        <f t="shared" ca="1" si="388"/>
        <v>27.557215431475029</v>
      </c>
      <c r="H846" s="360">
        <f t="shared" ca="1" si="389"/>
        <v>-132.11122312433295</v>
      </c>
      <c r="I846" s="357">
        <f t="shared" ca="1" si="390"/>
        <v>134.95471610041648</v>
      </c>
      <c r="J846" s="359">
        <f t="shared" ca="1" si="391"/>
        <v>1551.4235145407094</v>
      </c>
      <c r="K846" s="360">
        <f t="shared" ca="1" si="392"/>
        <v>1525.0965550237499</v>
      </c>
      <c r="L846" s="357">
        <f t="shared" ca="1" si="377"/>
        <v>2175.5078541837438</v>
      </c>
      <c r="M846" s="359">
        <f t="shared" ca="1" si="393"/>
        <v>-1.3651539780392883</v>
      </c>
      <c r="N846" s="357">
        <f t="shared" ca="1" si="394"/>
        <v>-78.217561327146285</v>
      </c>
      <c r="O846" s="343"/>
      <c r="P846" s="363">
        <f t="shared" ca="1" si="395"/>
        <v>23</v>
      </c>
      <c r="Q846" s="357">
        <f t="shared" ca="1" si="396"/>
        <v>0</v>
      </c>
      <c r="R846" s="359">
        <f t="shared" ca="1" si="397"/>
        <v>0</v>
      </c>
      <c r="S846" s="360">
        <f t="shared" ca="1" si="398"/>
        <v>9.637999999999975</v>
      </c>
      <c r="T846" s="357">
        <f t="shared" ca="1" si="378"/>
        <v>94.548779999999766</v>
      </c>
      <c r="U846" s="364">
        <f t="shared" ca="1" si="379"/>
        <v>0</v>
      </c>
      <c r="V846" s="359">
        <f t="shared" ca="1" si="380"/>
        <v>1.0514125528888221</v>
      </c>
      <c r="W846" s="357">
        <f t="shared" ca="1" si="381"/>
        <v>43.726974810547595</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5.1035909731936409</v>
      </c>
      <c r="AH846" s="357">
        <f t="shared" ca="1" si="405"/>
        <v>-4.4967071600445196</v>
      </c>
    </row>
    <row r="847" spans="1:34" x14ac:dyDescent="0.25">
      <c r="A847" s="402">
        <f t="shared" ca="1" si="383"/>
        <v>0.1</v>
      </c>
      <c r="B847" s="357">
        <f t="shared" ca="1" si="384"/>
        <v>39.300000000000225</v>
      </c>
      <c r="C847" s="342"/>
      <c r="D847" s="359">
        <f t="shared" ca="1" si="385"/>
        <v>-0.92642395399203847</v>
      </c>
      <c r="E847" s="360">
        <f t="shared" ca="1" si="386"/>
        <v>-5.3686586025750067</v>
      </c>
      <c r="F847" s="357">
        <f t="shared" ca="1" si="387"/>
        <v>5.448004821357344</v>
      </c>
      <c r="G847" s="359">
        <f t="shared" ca="1" si="388"/>
        <v>27.464573036075826</v>
      </c>
      <c r="H847" s="360">
        <f t="shared" ca="1" si="389"/>
        <v>-132.64808898459046</v>
      </c>
      <c r="I847" s="357">
        <f t="shared" ca="1" si="390"/>
        <v>135.46150111126693</v>
      </c>
      <c r="J847" s="359">
        <f t="shared" ca="1" si="391"/>
        <v>1554.1746039640871</v>
      </c>
      <c r="K847" s="360">
        <f t="shared" ca="1" si="392"/>
        <v>1511.8585894183038</v>
      </c>
      <c r="L847" s="357">
        <f t="shared" ca="1" si="377"/>
        <v>2168.2193371531466</v>
      </c>
      <c r="M847" s="359">
        <f t="shared" ca="1" si="393"/>
        <v>-1.3666327477526057</v>
      </c>
      <c r="N847" s="357">
        <f t="shared" ca="1" si="394"/>
        <v>-78.302288590591147</v>
      </c>
      <c r="O847" s="343"/>
      <c r="P847" s="363">
        <f t="shared" ca="1" si="395"/>
        <v>23</v>
      </c>
      <c r="Q847" s="357">
        <f t="shared" ca="1" si="396"/>
        <v>0</v>
      </c>
      <c r="R847" s="359">
        <f t="shared" ca="1" si="397"/>
        <v>0</v>
      </c>
      <c r="S847" s="360">
        <f t="shared" ca="1" si="398"/>
        <v>9.637999999999975</v>
      </c>
      <c r="T847" s="357">
        <f t="shared" ca="1" si="378"/>
        <v>94.548779999999766</v>
      </c>
      <c r="U847" s="364">
        <f t="shared" ca="1" si="379"/>
        <v>0</v>
      </c>
      <c r="V847" s="359">
        <f t="shared" ca="1" si="380"/>
        <v>1.0528134114410332</v>
      </c>
      <c r="W847" s="357">
        <f t="shared" ca="1" si="381"/>
        <v>44.114698881236173</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5.0663689999049151</v>
      </c>
      <c r="AH847" s="357">
        <f t="shared" ca="1" si="405"/>
        <v>-4.5369345103286687</v>
      </c>
    </row>
    <row r="848" spans="1:34" x14ac:dyDescent="0.25">
      <c r="A848" s="402">
        <f t="shared" ca="1" si="383"/>
        <v>0.1</v>
      </c>
      <c r="B848" s="357">
        <f t="shared" ca="1" si="384"/>
        <v>39.400000000000226</v>
      </c>
      <c r="C848" s="342"/>
      <c r="D848" s="359">
        <f t="shared" ca="1" si="385"/>
        <v>-0.92801151514008851</v>
      </c>
      <c r="E848" s="360">
        <f t="shared" ca="1" si="386"/>
        <v>-5.3279003191736649</v>
      </c>
      <c r="F848" s="357">
        <f t="shared" ca="1" si="387"/>
        <v>5.408116787134265</v>
      </c>
      <c r="G848" s="359">
        <f t="shared" ca="1" si="388"/>
        <v>27.371771884561817</v>
      </c>
      <c r="H848" s="360">
        <f t="shared" ca="1" si="389"/>
        <v>-133.18087901650782</v>
      </c>
      <c r="I848" s="357">
        <f t="shared" ca="1" si="390"/>
        <v>135.96455579197905</v>
      </c>
      <c r="J848" s="359">
        <f t="shared" ca="1" si="391"/>
        <v>1556.9164212101189</v>
      </c>
      <c r="K848" s="360">
        <f t="shared" ca="1" si="392"/>
        <v>1498.567141018249</v>
      </c>
      <c r="L848" s="357">
        <f t="shared" ca="1" si="377"/>
        <v>2160.9470652409173</v>
      </c>
      <c r="M848" s="359">
        <f t="shared" ca="1" si="393"/>
        <v>-1.3680955998613293</v>
      </c>
      <c r="N848" s="357">
        <f t="shared" ca="1" si="394"/>
        <v>-78.386103842472821</v>
      </c>
      <c r="O848" s="343"/>
      <c r="P848" s="363">
        <f t="shared" ca="1" si="395"/>
        <v>23</v>
      </c>
      <c r="Q848" s="357">
        <f t="shared" ca="1" si="396"/>
        <v>0</v>
      </c>
      <c r="R848" s="359">
        <f t="shared" ca="1" si="397"/>
        <v>0</v>
      </c>
      <c r="S848" s="360">
        <f t="shared" ca="1" si="398"/>
        <v>9.637999999999975</v>
      </c>
      <c r="T848" s="357">
        <f t="shared" ca="1" si="378"/>
        <v>94.548779999999766</v>
      </c>
      <c r="U848" s="364">
        <f t="shared" ca="1" si="379"/>
        <v>0</v>
      </c>
      <c r="V848" s="359">
        <f t="shared" ca="1" si="380"/>
        <v>1.0542216652667202</v>
      </c>
      <c r="W848" s="357">
        <f t="shared" ca="1" si="381"/>
        <v>44.502406471494091</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5.0290920299437731</v>
      </c>
      <c r="AH848" s="357">
        <f t="shared" ca="1" si="405"/>
        <v>-4.577163195812024</v>
      </c>
    </row>
    <row r="849" spans="1:34" x14ac:dyDescent="0.25">
      <c r="A849" s="402">
        <f t="shared" ca="1" si="383"/>
        <v>0.1</v>
      </c>
      <c r="B849" s="357">
        <f t="shared" ca="1" si="384"/>
        <v>39.500000000000227</v>
      </c>
      <c r="C849" s="342"/>
      <c r="D849" s="359">
        <f t="shared" ca="1" si="385"/>
        <v>-0.92955218906934367</v>
      </c>
      <c r="E849" s="360">
        <f t="shared" ca="1" si="386"/>
        <v>-5.2871441851084926</v>
      </c>
      <c r="F849" s="357">
        <f t="shared" ca="1" si="387"/>
        <v>5.3682362938240855</v>
      </c>
      <c r="G849" s="359">
        <f t="shared" ca="1" si="388"/>
        <v>27.278816665654883</v>
      </c>
      <c r="H849" s="360">
        <f t="shared" ca="1" si="389"/>
        <v>-133.70959343501866</v>
      </c>
      <c r="I849" s="357">
        <f t="shared" ca="1" si="390"/>
        <v>136.46387512904798</v>
      </c>
      <c r="J849" s="359">
        <f t="shared" ca="1" si="391"/>
        <v>1559.6489506376297</v>
      </c>
      <c r="K849" s="360">
        <f t="shared" ca="1" si="392"/>
        <v>1485.2226173956726</v>
      </c>
      <c r="L849" s="357">
        <f t="shared" ca="1" si="377"/>
        <v>2153.6924275412939</v>
      </c>
      <c r="M849" s="359">
        <f t="shared" ca="1" si="393"/>
        <v>-1.369542800225398</v>
      </c>
      <c r="N849" s="357">
        <f t="shared" ca="1" si="394"/>
        <v>-78.469022315443752</v>
      </c>
      <c r="O849" s="343"/>
      <c r="P849" s="363">
        <f t="shared" ca="1" si="395"/>
        <v>23</v>
      </c>
      <c r="Q849" s="357">
        <f t="shared" ca="1" si="396"/>
        <v>0</v>
      </c>
      <c r="R849" s="359">
        <f t="shared" ca="1" si="397"/>
        <v>0</v>
      </c>
      <c r="S849" s="360">
        <f t="shared" ca="1" si="398"/>
        <v>9.637999999999975</v>
      </c>
      <c r="T849" s="357">
        <f t="shared" ca="1" si="378"/>
        <v>94.548779999999766</v>
      </c>
      <c r="U849" s="364">
        <f t="shared" ca="1" si="379"/>
        <v>0</v>
      </c>
      <c r="V849" s="359">
        <f t="shared" ca="1" si="380"/>
        <v>1.0556372953439535</v>
      </c>
      <c r="W849" s="357">
        <f t="shared" ca="1" si="381"/>
        <v>44.890068419521505</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4.9917643288163829</v>
      </c>
      <c r="AH849" s="357">
        <f t="shared" ca="1" si="405"/>
        <v>-4.6173901713523771</v>
      </c>
    </row>
    <row r="850" spans="1:34" x14ac:dyDescent="0.25">
      <c r="A850" s="402">
        <f t="shared" ca="1" si="383"/>
        <v>0.1</v>
      </c>
      <c r="B850" s="357">
        <f t="shared" ca="1" si="384"/>
        <v>39.600000000000229</v>
      </c>
      <c r="C850" s="342"/>
      <c r="D850" s="359">
        <f t="shared" ca="1" si="385"/>
        <v>-0.93104607315099497</v>
      </c>
      <c r="E850" s="360">
        <f t="shared" ca="1" si="386"/>
        <v>-5.2463932484275322</v>
      </c>
      <c r="F850" s="357">
        <f t="shared" ca="1" si="387"/>
        <v>5.3283664389262757</v>
      </c>
      <c r="G850" s="359">
        <f t="shared" ca="1" si="388"/>
        <v>27.185712058339785</v>
      </c>
      <c r="H850" s="360">
        <f t="shared" ca="1" si="389"/>
        <v>-134.23423275986141</v>
      </c>
      <c r="I850" s="357">
        <f t="shared" ca="1" si="390"/>
        <v>136.95945452851225</v>
      </c>
      <c r="J850" s="359">
        <f t="shared" ca="1" si="391"/>
        <v>1562.3721770738293</v>
      </c>
      <c r="K850" s="360">
        <f t="shared" ca="1" si="392"/>
        <v>1471.8254260859287</v>
      </c>
      <c r="L850" s="357">
        <f t="shared" ca="1" si="377"/>
        <v>2146.4568256937855</v>
      </c>
      <c r="M850" s="359">
        <f t="shared" ca="1" si="393"/>
        <v>-1.3709746088215673</v>
      </c>
      <c r="N850" s="357">
        <f t="shared" ca="1" si="394"/>
        <v>-78.551058905074811</v>
      </c>
      <c r="O850" s="343"/>
      <c r="P850" s="363">
        <f t="shared" ca="1" si="395"/>
        <v>23</v>
      </c>
      <c r="Q850" s="357">
        <f t="shared" ca="1" si="396"/>
        <v>0</v>
      </c>
      <c r="R850" s="359">
        <f t="shared" ca="1" si="397"/>
        <v>0</v>
      </c>
      <c r="S850" s="360">
        <f t="shared" ca="1" si="398"/>
        <v>9.637999999999975</v>
      </c>
      <c r="T850" s="357">
        <f t="shared" ca="1" si="378"/>
        <v>94.548779999999766</v>
      </c>
      <c r="U850" s="364">
        <f t="shared" ca="1" si="379"/>
        <v>0</v>
      </c>
      <c r="V850" s="359">
        <f t="shared" ca="1" si="380"/>
        <v>1.0570602826097095</v>
      </c>
      <c r="W850" s="357">
        <f t="shared" ca="1" si="381"/>
        <v>45.277655754293015</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4.9543901085276545</v>
      </c>
      <c r="AH850" s="357">
        <f t="shared" ca="1" si="405"/>
        <v>-4.6576124112390147</v>
      </c>
    </row>
    <row r="851" spans="1:34" x14ac:dyDescent="0.25">
      <c r="A851" s="402">
        <f t="shared" ca="1" si="383"/>
        <v>0.1</v>
      </c>
      <c r="B851" s="357">
        <f t="shared" ca="1" si="384"/>
        <v>39.70000000000023</v>
      </c>
      <c r="C851" s="342"/>
      <c r="D851" s="359">
        <f t="shared" ca="1" si="385"/>
        <v>-0.93249327038244556</v>
      </c>
      <c r="E851" s="360">
        <f t="shared" ca="1" si="386"/>
        <v>-5.2056505374990794</v>
      </c>
      <c r="F851" s="357">
        <f t="shared" ca="1" si="387"/>
        <v>5.2885103023321225</v>
      </c>
      <c r="G851" s="359">
        <f t="shared" ca="1" si="388"/>
        <v>27.092462731301541</v>
      </c>
      <c r="H851" s="360">
        <f t="shared" ca="1" si="389"/>
        <v>-134.75479781361133</v>
      </c>
      <c r="I851" s="357">
        <f t="shared" ca="1" si="390"/>
        <v>137.45128981073344</v>
      </c>
      <c r="J851" s="359">
        <f t="shared" ca="1" si="391"/>
        <v>1565.0860858133115</v>
      </c>
      <c r="K851" s="360">
        <f t="shared" ca="1" si="392"/>
        <v>1458.3759745572552</v>
      </c>
      <c r="L851" s="357">
        <f t="shared" ca="1" si="377"/>
        <v>2139.2416738583456</v>
      </c>
      <c r="M851" s="359">
        <f t="shared" ca="1" si="393"/>
        <v>-1.3723912799011642</v>
      </c>
      <c r="N851" s="357">
        <f t="shared" ca="1" si="394"/>
        <v>-78.632228178893953</v>
      </c>
      <c r="O851" s="343"/>
      <c r="P851" s="363">
        <f t="shared" ca="1" si="395"/>
        <v>23</v>
      </c>
      <c r="Q851" s="357">
        <f t="shared" ca="1" si="396"/>
        <v>0</v>
      </c>
      <c r="R851" s="359">
        <f t="shared" ca="1" si="397"/>
        <v>0</v>
      </c>
      <c r="S851" s="360">
        <f t="shared" ca="1" si="398"/>
        <v>9.637999999999975</v>
      </c>
      <c r="T851" s="357">
        <f t="shared" ca="1" si="378"/>
        <v>94.548779999999766</v>
      </c>
      <c r="U851" s="364">
        <f t="shared" ca="1" si="379"/>
        <v>0</v>
      </c>
      <c r="V851" s="359">
        <f t="shared" ca="1" si="380"/>
        <v>1.0584906079611185</v>
      </c>
      <c r="W851" s="357">
        <f t="shared" ca="1" si="381"/>
        <v>45.665139698989798</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4.9169735283371656</v>
      </c>
      <c r="AH851" s="357">
        <f t="shared" ca="1" si="405"/>
        <v>-4.6978269095552116</v>
      </c>
    </row>
    <row r="852" spans="1:34" x14ac:dyDescent="0.25">
      <c r="A852" s="402">
        <f t="shared" ca="1" si="383"/>
        <v>0.1</v>
      </c>
      <c r="B852" s="357">
        <f t="shared" ca="1" si="384"/>
        <v>39.800000000000232</v>
      </c>
      <c r="C852" s="342"/>
      <c r="D852" s="359">
        <f t="shared" ca="1" si="385"/>
        <v>-0.93389388931085837</v>
      </c>
      <c r="E852" s="360">
        <f t="shared" ca="1" si="386"/>
        <v>-5.1649190606414095</v>
      </c>
      <c r="F852" s="357">
        <f t="shared" ca="1" si="387"/>
        <v>5.2486709460080556</v>
      </c>
      <c r="G852" s="359">
        <f t="shared" ca="1" si="388"/>
        <v>26.999073342370455</v>
      </c>
      <c r="H852" s="360">
        <f t="shared" ca="1" si="389"/>
        <v>-135.27128971967548</v>
      </c>
      <c r="I852" s="357">
        <f t="shared" ca="1" si="390"/>
        <v>137.93937720524579</v>
      </c>
      <c r="J852" s="359">
        <f t="shared" ca="1" si="391"/>
        <v>1567.790662616995</v>
      </c>
      <c r="K852" s="360">
        <f t="shared" ca="1" si="392"/>
        <v>1444.8746701805908</v>
      </c>
      <c r="L852" s="357">
        <f t="shared" ca="1" si="377"/>
        <v>2132.0483986810682</v>
      </c>
      <c r="M852" s="359">
        <f t="shared" ca="1" si="393"/>
        <v>-1.3737930621429086</v>
      </c>
      <c r="N852" s="357">
        <f t="shared" ca="1" si="394"/>
        <v>-78.712544385142294</v>
      </c>
      <c r="O852" s="343"/>
      <c r="P852" s="363">
        <f t="shared" ca="1" si="395"/>
        <v>23</v>
      </c>
      <c r="Q852" s="357">
        <f t="shared" ca="1" si="396"/>
        <v>0</v>
      </c>
      <c r="R852" s="359">
        <f t="shared" ca="1" si="397"/>
        <v>0</v>
      </c>
      <c r="S852" s="360">
        <f t="shared" ca="1" si="398"/>
        <v>9.637999999999975</v>
      </c>
      <c r="T852" s="357">
        <f t="shared" ca="1" si="378"/>
        <v>94.548779999999766</v>
      </c>
      <c r="U852" s="364">
        <f t="shared" ca="1" si="379"/>
        <v>0</v>
      </c>
      <c r="V852" s="359">
        <f t="shared" ca="1" si="380"/>
        <v>1.0599282522567135</v>
      </c>
      <c r="W852" s="357">
        <f t="shared" ca="1" si="381"/>
        <v>46.052491674370444</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4.8795186954795806</v>
      </c>
      <c r="AH852" s="357">
        <f t="shared" ca="1" si="405"/>
        <v>-4.7380306805343348</v>
      </c>
    </row>
    <row r="853" spans="1:34" x14ac:dyDescent="0.25">
      <c r="A853" s="402">
        <f t="shared" ca="1" si="383"/>
        <v>0.1</v>
      </c>
      <c r="B853" s="357">
        <f t="shared" ca="1" si="384"/>
        <v>39.900000000000233</v>
      </c>
      <c r="C853" s="342"/>
      <c r="D853" s="359">
        <f t="shared" ca="1" si="385"/>
        <v>-0.93524804395688388</v>
      </c>
      <c r="E853" s="360">
        <f t="shared" ca="1" si="386"/>
        <v>-5.1242018057593119</v>
      </c>
      <c r="F853" s="357">
        <f t="shared" ca="1" si="387"/>
        <v>5.2088514136872988</v>
      </c>
      <c r="G853" s="359">
        <f t="shared" ca="1" si="388"/>
        <v>26.905548537974767</v>
      </c>
      <c r="H853" s="360">
        <f t="shared" ca="1" si="389"/>
        <v>-135.78370990025141</v>
      </c>
      <c r="I853" s="357">
        <f t="shared" ca="1" si="390"/>
        <v>138.42371334567264</v>
      </c>
      <c r="J853" s="359">
        <f t="shared" ca="1" si="391"/>
        <v>1570.4858937110123</v>
      </c>
      <c r="K853" s="360">
        <f t="shared" ca="1" si="392"/>
        <v>1431.3219201995944</v>
      </c>
      <c r="L853" s="357">
        <f t="shared" ca="1" si="377"/>
        <v>2124.8784392499097</v>
      </c>
      <c r="M853" s="359">
        <f t="shared" ca="1" si="393"/>
        <v>-1.3751801988009758</v>
      </c>
      <c r="N853" s="357">
        <f t="shared" ca="1" si="394"/>
        <v>-78.79202146125742</v>
      </c>
      <c r="O853" s="343"/>
      <c r="P853" s="363">
        <f t="shared" ca="1" si="395"/>
        <v>23</v>
      </c>
      <c r="Q853" s="357">
        <f t="shared" ca="1" si="396"/>
        <v>0</v>
      </c>
      <c r="R853" s="359">
        <f t="shared" ca="1" si="397"/>
        <v>0</v>
      </c>
      <c r="S853" s="360">
        <f t="shared" ca="1" si="398"/>
        <v>9.637999999999975</v>
      </c>
      <c r="T853" s="357">
        <f t="shared" ca="1" si="378"/>
        <v>94.548779999999766</v>
      </c>
      <c r="U853" s="364">
        <f t="shared" ca="1" si="379"/>
        <v>0</v>
      </c>
      <c r="V853" s="359">
        <f t="shared" ca="1" si="380"/>
        <v>1.0613731963176842</v>
      </c>
      <c r="W853" s="357">
        <f t="shared" ca="1" si="381"/>
        <v>46.439683302079587</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4.8420296658512942</v>
      </c>
      <c r="AH853" s="357">
        <f t="shared" ca="1" si="405"/>
        <v>-4.7782207589095833</v>
      </c>
    </row>
    <row r="854" spans="1:34" x14ac:dyDescent="0.25">
      <c r="A854" s="402">
        <f t="shared" ca="1" si="383"/>
        <v>0.1</v>
      </c>
      <c r="B854" s="357">
        <f t="shared" ca="1" si="384"/>
        <v>40.000000000000234</v>
      </c>
      <c r="C854" s="342"/>
      <c r="D854" s="359">
        <f t="shared" ca="1" si="385"/>
        <v>-0.93655585373856187</v>
      </c>
      <c r="E854" s="360">
        <f t="shared" ca="1" si="386"/>
        <v>-5.083501739987514</v>
      </c>
      <c r="F854" s="357">
        <f t="shared" ca="1" si="387"/>
        <v>5.1690547305699956</v>
      </c>
      <c r="G854" s="359">
        <f t="shared" ca="1" si="388"/>
        <v>26.81189295260091</v>
      </c>
      <c r="H854" s="360">
        <f t="shared" ca="1" si="389"/>
        <v>-136.29206007425017</v>
      </c>
      <c r="I854" s="357">
        <f t="shared" ca="1" si="390"/>
        <v>138.90429526470646</v>
      </c>
      <c r="J854" s="359">
        <f t="shared" ca="1" si="391"/>
        <v>1573.1717657855411</v>
      </c>
      <c r="K854" s="360">
        <f t="shared" ca="1" si="392"/>
        <v>1417.7181317008692</v>
      </c>
      <c r="L854" s="357">
        <f t="shared" ca="1" si="377"/>
        <v>2117.7332470399101</v>
      </c>
      <c r="M854" s="359">
        <f t="shared" ca="1" si="393"/>
        <v>-1.3765529278484669</v>
      </c>
      <c r="N854" s="357">
        <f t="shared" ca="1" si="394"/>
        <v>-78.870673042093685</v>
      </c>
      <c r="O854" s="343"/>
      <c r="P854" s="363">
        <f t="shared" ca="1" si="395"/>
        <v>23</v>
      </c>
      <c r="Q854" s="357">
        <f t="shared" ca="1" si="396"/>
        <v>0</v>
      </c>
      <c r="R854" s="359">
        <f t="shared" ca="1" si="397"/>
        <v>0</v>
      </c>
      <c r="S854" s="360">
        <f t="shared" ca="1" si="398"/>
        <v>9.637999999999975</v>
      </c>
      <c r="T854" s="357">
        <f t="shared" ca="1" si="378"/>
        <v>94.548779999999766</v>
      </c>
      <c r="U854" s="364">
        <f t="shared" ca="1" si="379"/>
        <v>0</v>
      </c>
      <c r="V854" s="359">
        <f t="shared" ca="1" si="380"/>
        <v>1.0628254209291301</v>
      </c>
      <c r="W854" s="357">
        <f t="shared" ca="1" si="381"/>
        <v>46.826686407893597</v>
      </c>
      <c r="X854" s="343"/>
      <c r="Y854" s="367" t="str">
        <f t="shared" ca="1" si="399"/>
        <v/>
      </c>
      <c r="Z854" s="368" t="str">
        <f t="shared" ca="1" si="400"/>
        <v/>
      </c>
      <c r="AA854" s="369" t="str">
        <f t="shared" ca="1" si="401"/>
        <v/>
      </c>
      <c r="AB854" s="344"/>
      <c r="AC854" s="363">
        <f t="shared" ca="1" si="402"/>
        <v>40.000000000000234</v>
      </c>
      <c r="AD854" s="376">
        <f t="shared" ca="1" si="403"/>
        <v>1573.1717657855411</v>
      </c>
      <c r="AE854" s="377" t="e">
        <f t="shared" ca="1" si="382"/>
        <v>#N/A</v>
      </c>
      <c r="AF854" s="344"/>
      <c r="AG854" s="359">
        <f t="shared" ca="1" si="404"/>
        <v>4.8045104446650182</v>
      </c>
      <c r="AH854" s="357">
        <f t="shared" ca="1" si="405"/>
        <v>-4.8183942002572842</v>
      </c>
    </row>
    <row r="855" spans="1:34" x14ac:dyDescent="0.25">
      <c r="A855" s="402">
        <f t="shared" ca="1" si="383"/>
        <v>0.1</v>
      </c>
      <c r="B855" s="357">
        <f t="shared" ca="1" si="384"/>
        <v>40.100000000000236</v>
      </c>
      <c r="C855" s="342"/>
      <c r="D855" s="359">
        <f t="shared" ca="1" si="385"/>
        <v>-0.93781744339536821</v>
      </c>
      <c r="E855" s="360">
        <f t="shared" ca="1" si="386"/>
        <v>-5.0428218093410582</v>
      </c>
      <c r="F855" s="357">
        <f t="shared" ca="1" si="387"/>
        <v>5.1292839030319275</v>
      </c>
      <c r="G855" s="359">
        <f t="shared" ca="1" si="388"/>
        <v>26.718111208261373</v>
      </c>
      <c r="H855" s="360">
        <f t="shared" ca="1" si="389"/>
        <v>-136.79634225518427</v>
      </c>
      <c r="I855" s="357">
        <f t="shared" ca="1" si="390"/>
        <v>139.38112038914932</v>
      </c>
      <c r="J855" s="359">
        <f t="shared" ca="1" si="391"/>
        <v>1575.8482659935842</v>
      </c>
      <c r="K855" s="360">
        <f t="shared" ca="1" si="392"/>
        <v>1404.0637115843974</v>
      </c>
      <c r="L855" s="357">
        <f t="shared" ca="1" si="377"/>
        <v>2110.6142858474022</v>
      </c>
      <c r="M855" s="359">
        <f t="shared" ca="1" si="393"/>
        <v>-1.3779114821164524</v>
      </c>
      <c r="N855" s="357">
        <f t="shared" ca="1" si="394"/>
        <v>-78.948512467888733</v>
      </c>
      <c r="O855" s="343"/>
      <c r="P855" s="363">
        <f t="shared" ca="1" si="395"/>
        <v>23</v>
      </c>
      <c r="Q855" s="357">
        <f t="shared" ca="1" si="396"/>
        <v>0</v>
      </c>
      <c r="R855" s="359">
        <f t="shared" ca="1" si="397"/>
        <v>0</v>
      </c>
      <c r="S855" s="360">
        <f t="shared" ca="1" si="398"/>
        <v>9.637999999999975</v>
      </c>
      <c r="T855" s="357">
        <f t="shared" ca="1" si="378"/>
        <v>94.548779999999766</v>
      </c>
      <c r="U855" s="364">
        <f t="shared" ca="1" si="379"/>
        <v>0</v>
      </c>
      <c r="V855" s="359">
        <f t="shared" ca="1" si="380"/>
        <v>1.0642849068413125</v>
      </c>
      <c r="W855" s="357">
        <f t="shared" ca="1" si="381"/>
        <v>47.213473024902768</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4.766964987074056</v>
      </c>
      <c r="AH855" s="357">
        <f t="shared" ca="1" si="405"/>
        <v>-4.8585480813336499</v>
      </c>
    </row>
    <row r="856" spans="1:34" x14ac:dyDescent="0.25">
      <c r="A856" s="402">
        <f t="shared" ca="1" si="383"/>
        <v>0.1</v>
      </c>
      <c r="B856" s="357">
        <f t="shared" ca="1" si="384"/>
        <v>40.200000000000237</v>
      </c>
      <c r="C856" s="342"/>
      <c r="D856" s="359">
        <f t="shared" ca="1" si="385"/>
        <v>-0.93903294291239447</v>
      </c>
      <c r="E856" s="360">
        <f t="shared" ca="1" si="386"/>
        <v>-5.0021649383726823</v>
      </c>
      <c r="F856" s="357">
        <f t="shared" ca="1" si="387"/>
        <v>5.0895419183419337</v>
      </c>
      <c r="G856" s="359">
        <f t="shared" ca="1" si="388"/>
        <v>26.624207913970132</v>
      </c>
      <c r="H856" s="360">
        <f t="shared" ca="1" si="389"/>
        <v>-137.29655874902153</v>
      </c>
      <c r="I856" s="357">
        <f t="shared" ca="1" si="390"/>
        <v>139.85418653501162</v>
      </c>
      <c r="J856" s="359">
        <f t="shared" ca="1" si="391"/>
        <v>1578.5153819496957</v>
      </c>
      <c r="K856" s="360">
        <f t="shared" ca="1" si="392"/>
        <v>1390.3590665341871</v>
      </c>
      <c r="L856" s="357">
        <f t="shared" ca="1" si="377"/>
        <v>2103.5230317126575</v>
      </c>
      <c r="M856" s="359">
        <f t="shared" ca="1" si="393"/>
        <v>-1.3792560894287369</v>
      </c>
      <c r="N856" s="357">
        <f t="shared" ca="1" si="394"/>
        <v>-79.025552791985064</v>
      </c>
      <c r="O856" s="343"/>
      <c r="P856" s="363">
        <f t="shared" ca="1" si="395"/>
        <v>23</v>
      </c>
      <c r="Q856" s="357">
        <f t="shared" ca="1" si="396"/>
        <v>0</v>
      </c>
      <c r="R856" s="359">
        <f t="shared" ca="1" si="397"/>
        <v>0</v>
      </c>
      <c r="S856" s="360">
        <f t="shared" ca="1" si="398"/>
        <v>9.637999999999975</v>
      </c>
      <c r="T856" s="357">
        <f t="shared" ca="1" si="378"/>
        <v>94.548779999999766</v>
      </c>
      <c r="U856" s="364">
        <f t="shared" ca="1" si="379"/>
        <v>0</v>
      </c>
      <c r="V856" s="359">
        <f t="shared" ca="1" si="380"/>
        <v>1.0657516347709126</v>
      </c>
      <c r="W856" s="357">
        <f t="shared" ca="1" si="381"/>
        <v>47.600015396629971</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4.7293971987677841</v>
      </c>
      <c r="AH856" s="357">
        <f t="shared" ca="1" si="405"/>
        <v>-4.8986795004049482</v>
      </c>
    </row>
    <row r="857" spans="1:34" x14ac:dyDescent="0.25">
      <c r="A857" s="402">
        <f t="shared" ca="1" si="383"/>
        <v>0.1</v>
      </c>
      <c r="B857" s="357">
        <f t="shared" ca="1" si="384"/>
        <v>40.300000000000239</v>
      </c>
      <c r="C857" s="342"/>
      <c r="D857" s="359">
        <f t="shared" ca="1" si="385"/>
        <v>-0.94020248744467494</v>
      </c>
      <c r="E857" s="360">
        <f t="shared" ca="1" si="386"/>
        <v>-4.9615340298371722</v>
      </c>
      <c r="F857" s="357">
        <f t="shared" ca="1" si="387"/>
        <v>5.0498317443880687</v>
      </c>
      <c r="G857" s="359">
        <f t="shared" ca="1" si="388"/>
        <v>26.530187665225665</v>
      </c>
      <c r="H857" s="360">
        <f t="shared" ca="1" si="389"/>
        <v>-137.79271215200524</v>
      </c>
      <c r="I857" s="357">
        <f t="shared" ca="1" si="390"/>
        <v>140.32349190266564</v>
      </c>
      <c r="J857" s="359">
        <f t="shared" ca="1" si="391"/>
        <v>1581.1731017286554</v>
      </c>
      <c r="K857" s="360">
        <f t="shared" ca="1" si="392"/>
        <v>1376.6046029891359</v>
      </c>
      <c r="L857" s="357">
        <f t="shared" ca="1" si="377"/>
        <v>2096.4609728304254</v>
      </c>
      <c r="M857" s="359">
        <f t="shared" ca="1" si="393"/>
        <v>-1.3805869727325004</v>
      </c>
      <c r="N857" s="357">
        <f t="shared" ca="1" si="394"/>
        <v>-79.101806788315145</v>
      </c>
      <c r="O857" s="343"/>
      <c r="P857" s="363">
        <f t="shared" ca="1" si="395"/>
        <v>23</v>
      </c>
      <c r="Q857" s="357">
        <f t="shared" ca="1" si="396"/>
        <v>0</v>
      </c>
      <c r="R857" s="359">
        <f t="shared" ca="1" si="397"/>
        <v>0</v>
      </c>
      <c r="S857" s="360">
        <f t="shared" ca="1" si="398"/>
        <v>9.637999999999975</v>
      </c>
      <c r="T857" s="357">
        <f t="shared" ca="1" si="378"/>
        <v>94.548779999999766</v>
      </c>
      <c r="U857" s="364">
        <f t="shared" ca="1" si="379"/>
        <v>0</v>
      </c>
      <c r="V857" s="359">
        <f t="shared" ca="1" si="380"/>
        <v>1.0672255854022872</v>
      </c>
      <c r="W857" s="357">
        <f t="shared" ca="1" si="381"/>
        <v>47.986285980084524</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4.6918109365398371</v>
      </c>
      <c r="AH857" s="357">
        <f t="shared" ca="1" si="405"/>
        <v>-4.9387855775710827</v>
      </c>
    </row>
    <row r="858" spans="1:34" x14ac:dyDescent="0.25">
      <c r="A858" s="402">
        <f t="shared" ca="1" si="383"/>
        <v>0.1</v>
      </c>
      <c r="B858" s="357">
        <f t="shared" ca="1" si="384"/>
        <v>40.40000000000024</v>
      </c>
      <c r="C858" s="342"/>
      <c r="D858" s="359">
        <f t="shared" ca="1" si="385"/>
        <v>-0.9413262172416198</v>
      </c>
      <c r="E858" s="360">
        <f t="shared" ca="1" si="386"/>
        <v>-4.9209319643628273</v>
      </c>
      <c r="F858" s="357">
        <f t="shared" ca="1" si="387"/>
        <v>5.0101563294127072</v>
      </c>
      <c r="G858" s="359">
        <f t="shared" ca="1" si="388"/>
        <v>26.436055043501504</v>
      </c>
      <c r="H858" s="360">
        <f t="shared" ca="1" si="389"/>
        <v>-138.28480534844152</v>
      </c>
      <c r="I858" s="357">
        <f t="shared" ca="1" si="390"/>
        <v>140.78903507205169</v>
      </c>
      <c r="J858" s="359">
        <f t="shared" ca="1" si="391"/>
        <v>1583.8214138640917</v>
      </c>
      <c r="K858" s="360">
        <f t="shared" ca="1" si="392"/>
        <v>1362.8007271141134</v>
      </c>
      <c r="L858" s="357">
        <f t="shared" ca="1" si="377"/>
        <v>2089.429609447805</v>
      </c>
      <c r="M858" s="359">
        <f t="shared" ca="1" si="393"/>
        <v>-1.3819043502249575</v>
      </c>
      <c r="N858" s="357">
        <f t="shared" ca="1" si="394"/>
        <v>-79.177286958658456</v>
      </c>
      <c r="O858" s="343"/>
      <c r="P858" s="363">
        <f t="shared" ca="1" si="395"/>
        <v>23</v>
      </c>
      <c r="Q858" s="357">
        <f t="shared" ca="1" si="396"/>
        <v>0</v>
      </c>
      <c r="R858" s="359">
        <f t="shared" ca="1" si="397"/>
        <v>0</v>
      </c>
      <c r="S858" s="360">
        <f t="shared" ca="1" si="398"/>
        <v>9.637999999999975</v>
      </c>
      <c r="T858" s="357">
        <f t="shared" ca="1" si="378"/>
        <v>94.548779999999766</v>
      </c>
      <c r="U858" s="364">
        <f t="shared" ca="1" si="379"/>
        <v>0</v>
      </c>
      <c r="V858" s="359">
        <f t="shared" ca="1" si="380"/>
        <v>1.0687067393887251</v>
      </c>
      <c r="W858" s="357">
        <f t="shared" ca="1" si="381"/>
        <v>48.372257448751064</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4.6542100088304972</v>
      </c>
      <c r="AH858" s="357">
        <f t="shared" ca="1" si="405"/>
        <v>-4.9788634550824495</v>
      </c>
    </row>
    <row r="859" spans="1:34" x14ac:dyDescent="0.25">
      <c r="A859" s="402">
        <f t="shared" ca="1" si="383"/>
        <v>0.1</v>
      </c>
      <c r="B859" s="357">
        <f t="shared" ca="1" si="384"/>
        <v>40.500000000000242</v>
      </c>
      <c r="C859" s="342"/>
      <c r="D859" s="359">
        <f t="shared" ca="1" si="385"/>
        <v>-0.94240427757155565</v>
      </c>
      <c r="E859" s="360">
        <f t="shared" ca="1" si="386"/>
        <v>-4.8803616001300316</v>
      </c>
      <c r="F859" s="357">
        <f t="shared" ca="1" si="387"/>
        <v>4.9705186017566545</v>
      </c>
      <c r="G859" s="359">
        <f t="shared" ca="1" si="388"/>
        <v>26.341814615744347</v>
      </c>
      <c r="H859" s="360">
        <f t="shared" ca="1" si="389"/>
        <v>-138.77284150845452</v>
      </c>
      <c r="I859" s="357">
        <f t="shared" ca="1" si="390"/>
        <v>141.25081499793507</v>
      </c>
      <c r="J859" s="359">
        <f t="shared" ca="1" si="391"/>
        <v>1586.4603073470539</v>
      </c>
      <c r="K859" s="360">
        <f t="shared" ca="1" si="392"/>
        <v>1348.9478447712686</v>
      </c>
      <c r="L859" s="357">
        <f t="shared" ca="1" si="377"/>
        <v>2082.4304537488783</v>
      </c>
      <c r="M859" s="359">
        <f t="shared" ca="1" si="393"/>
        <v>-1.3832084354761691</v>
      </c>
      <c r="N859" s="357">
        <f t="shared" ca="1" si="394"/>
        <v>-79.252005539678137</v>
      </c>
      <c r="O859" s="343"/>
      <c r="P859" s="363">
        <f t="shared" ca="1" si="395"/>
        <v>23</v>
      </c>
      <c r="Q859" s="357">
        <f t="shared" ca="1" si="396"/>
        <v>0</v>
      </c>
      <c r="R859" s="359">
        <f t="shared" ca="1" si="397"/>
        <v>0</v>
      </c>
      <c r="S859" s="360">
        <f t="shared" ca="1" si="398"/>
        <v>9.637999999999975</v>
      </c>
      <c r="T859" s="357">
        <f t="shared" ca="1" si="378"/>
        <v>94.548779999999766</v>
      </c>
      <c r="U859" s="364">
        <f t="shared" ca="1" si="379"/>
        <v>0</v>
      </c>
      <c r="V859" s="359">
        <f t="shared" ca="1" si="380"/>
        <v>1.070195077353705</v>
      </c>
      <c r="W859" s="357">
        <f t="shared" ca="1" si="381"/>
        <v>48.757902695513451</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4.6165981762446435</v>
      </c>
      <c r="AH859" s="357">
        <f t="shared" ca="1" si="405"/>
        <v>-5.0189102976500504</v>
      </c>
    </row>
    <row r="860" spans="1:34" x14ac:dyDescent="0.25">
      <c r="A860" s="402">
        <f t="shared" ca="1" si="383"/>
        <v>0.1</v>
      </c>
      <c r="B860" s="357">
        <f t="shared" ca="1" si="384"/>
        <v>40.600000000000243</v>
      </c>
      <c r="C860" s="342"/>
      <c r="D860" s="359">
        <f t="shared" ca="1" si="385"/>
        <v>-0.94343681864638951</v>
      </c>
      <c r="E860" s="360">
        <f t="shared" ca="1" si="386"/>
        <v>-4.8398257725569209</v>
      </c>
      <c r="F860" s="357">
        <f t="shared" ca="1" si="387"/>
        <v>4.93092146961233</v>
      </c>
      <c r="G860" s="359">
        <f t="shared" ca="1" si="388"/>
        <v>26.247470933879708</v>
      </c>
      <c r="H860" s="360">
        <f t="shared" ca="1" si="389"/>
        <v>-139.25682408571021</v>
      </c>
      <c r="I860" s="357">
        <f t="shared" ca="1" si="390"/>
        <v>141.70883100521047</v>
      </c>
      <c r="J860" s="359">
        <f t="shared" ca="1" si="391"/>
        <v>1589.0897716245352</v>
      </c>
      <c r="K860" s="360">
        <f t="shared" ca="1" si="392"/>
        <v>1335.0463614915604</v>
      </c>
      <c r="L860" s="357">
        <f t="shared" ca="1" si="377"/>
        <v>2075.4650297255243</v>
      </c>
      <c r="M860" s="359">
        <f t="shared" ca="1" si="393"/>
        <v>-1.3844994375481441</v>
      </c>
      <c r="N860" s="357">
        <f t="shared" ca="1" si="394"/>
        <v>-79.325974509744952</v>
      </c>
      <c r="O860" s="343"/>
      <c r="P860" s="363">
        <f t="shared" ca="1" si="395"/>
        <v>23</v>
      </c>
      <c r="Q860" s="357">
        <f t="shared" ca="1" si="396"/>
        <v>0</v>
      </c>
      <c r="R860" s="359">
        <f t="shared" ca="1" si="397"/>
        <v>0</v>
      </c>
      <c r="S860" s="360">
        <f t="shared" ca="1" si="398"/>
        <v>9.637999999999975</v>
      </c>
      <c r="T860" s="357">
        <f t="shared" ca="1" si="378"/>
        <v>94.548779999999766</v>
      </c>
      <c r="U860" s="364">
        <f t="shared" ca="1" si="379"/>
        <v>0</v>
      </c>
      <c r="V860" s="359">
        <f t="shared" ca="1" si="380"/>
        <v>1.0716905798921521</v>
      </c>
      <c r="W860" s="357">
        <f t="shared" ca="1" si="381"/>
        <v>49.143194835512311</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4.5789791520465162</v>
      </c>
      <c r="AH860" s="357">
        <f t="shared" ca="1" si="405"/>
        <v>-5.058923292748867</v>
      </c>
    </row>
    <row r="861" spans="1:34" x14ac:dyDescent="0.25">
      <c r="A861" s="402">
        <f t="shared" ca="1" si="383"/>
        <v>0.1</v>
      </c>
      <c r="B861" s="357">
        <f t="shared" ca="1" si="384"/>
        <v>40.700000000000244</v>
      </c>
      <c r="C861" s="342"/>
      <c r="D861" s="359">
        <f t="shared" ca="1" si="385"/>
        <v>-0.94442399554635248</v>
      </c>
      <c r="E861" s="360">
        <f t="shared" ca="1" si="386"/>
        <v>-4.7993272939922855</v>
      </c>
      <c r="F861" s="357">
        <f t="shared" ca="1" si="387"/>
        <v>4.8913678207862317</v>
      </c>
      <c r="G861" s="359">
        <f t="shared" ca="1" si="388"/>
        <v>26.153028534325074</v>
      </c>
      <c r="H861" s="360">
        <f t="shared" ca="1" si="389"/>
        <v>-139.73675681510943</v>
      </c>
      <c r="I861" s="357">
        <f t="shared" ca="1" si="390"/>
        <v>142.16308278425257</v>
      </c>
      <c r="J861" s="359">
        <f t="shared" ca="1" si="391"/>
        <v>1591.7097965979453</v>
      </c>
      <c r="K861" s="360">
        <f t="shared" ca="1" si="392"/>
        <v>1321.0966824465195</v>
      </c>
      <c r="L861" s="357">
        <f t="shared" ca="1" si="377"/>
        <v>2068.5348730338274</v>
      </c>
      <c r="M861" s="359">
        <f t="shared" ca="1" si="393"/>
        <v>-1.385777561110356</v>
      </c>
      <c r="N861" s="357">
        <f t="shared" ca="1" si="394"/>
        <v>-79.399205595555927</v>
      </c>
      <c r="O861" s="343"/>
      <c r="P861" s="363">
        <f t="shared" ca="1" si="395"/>
        <v>23</v>
      </c>
      <c r="Q861" s="357">
        <f t="shared" ca="1" si="396"/>
        <v>0</v>
      </c>
      <c r="R861" s="359">
        <f t="shared" ca="1" si="397"/>
        <v>0</v>
      </c>
      <c r="S861" s="360">
        <f t="shared" ca="1" si="398"/>
        <v>9.637999999999975</v>
      </c>
      <c r="T861" s="357">
        <f t="shared" ca="1" si="378"/>
        <v>94.548779999999766</v>
      </c>
      <c r="U861" s="364">
        <f t="shared" ca="1" si="379"/>
        <v>0</v>
      </c>
      <c r="V861" s="359">
        <f t="shared" ca="1" si="380"/>
        <v>1.0731932275716984</v>
      </c>
      <c r="W861" s="357">
        <f t="shared" ca="1" si="381"/>
        <v>49.528107208936738</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4.5413566026326704</v>
      </c>
      <c r="AH861" s="357">
        <f t="shared" ca="1" si="405"/>
        <v>-5.0988996509143432</v>
      </c>
    </row>
    <row r="862" spans="1:34" x14ac:dyDescent="0.25">
      <c r="A862" s="402">
        <f t="shared" ca="1" si="383"/>
        <v>0.1</v>
      </c>
      <c r="B862" s="357">
        <f t="shared" ca="1" si="384"/>
        <v>40.800000000000246</v>
      </c>
      <c r="C862" s="342"/>
      <c r="D862" s="359">
        <f t="shared" ca="1" si="385"/>
        <v>-0.94536596814484319</v>
      </c>
      <c r="E862" s="360">
        <f t="shared" ca="1" si="386"/>
        <v>-4.7588689534156288</v>
      </c>
      <c r="F862" s="357">
        <f t="shared" ca="1" si="387"/>
        <v>4.8518605224706945</v>
      </c>
      <c r="G862" s="359">
        <f t="shared" ca="1" si="388"/>
        <v>26.058491937510588</v>
      </c>
      <c r="H862" s="360">
        <f t="shared" ca="1" si="389"/>
        <v>-140.212643710451</v>
      </c>
      <c r="I862" s="357">
        <f t="shared" ca="1" si="390"/>
        <v>142.61357038631064</v>
      </c>
      <c r="J862" s="359">
        <f t="shared" ca="1" si="391"/>
        <v>1594.3203726215372</v>
      </c>
      <c r="K862" s="360">
        <f t="shared" ca="1" si="392"/>
        <v>1307.0992124202414</v>
      </c>
      <c r="L862" s="357">
        <f t="shared" ca="1" si="377"/>
        <v>2061.6415308354876</v>
      </c>
      <c r="M862" s="359">
        <f t="shared" ca="1" si="393"/>
        <v>-1.3870430065517958</v>
      </c>
      <c r="N862" s="357">
        <f t="shared" ca="1" si="394"/>
        <v>-79.471710278554497</v>
      </c>
      <c r="O862" s="343"/>
      <c r="P862" s="363">
        <f t="shared" ca="1" si="395"/>
        <v>23</v>
      </c>
      <c r="Q862" s="357">
        <f t="shared" ca="1" si="396"/>
        <v>0</v>
      </c>
      <c r="R862" s="359">
        <f t="shared" ca="1" si="397"/>
        <v>0</v>
      </c>
      <c r="S862" s="360">
        <f t="shared" ca="1" si="398"/>
        <v>9.637999999999975</v>
      </c>
      <c r="T862" s="357">
        <f t="shared" ca="1" si="378"/>
        <v>94.548779999999766</v>
      </c>
      <c r="U862" s="364">
        <f t="shared" ca="1" si="379"/>
        <v>0</v>
      </c>
      <c r="V862" s="359">
        <f t="shared" ca="1" si="380"/>
        <v>1.0747030009339391</v>
      </c>
      <c r="W862" s="357">
        <f t="shared" ca="1" si="381"/>
        <v>49.912613383749239</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4.5037341479841917</v>
      </c>
      <c r="AH862" s="357">
        <f t="shared" ca="1" si="405"/>
        <v>-5.1388366060320472</v>
      </c>
    </row>
    <row r="863" spans="1:34" x14ac:dyDescent="0.25">
      <c r="A863" s="402">
        <f t="shared" ca="1" si="383"/>
        <v>0.1</v>
      </c>
      <c r="B863" s="357">
        <f t="shared" ca="1" si="384"/>
        <v>40.900000000000247</v>
      </c>
      <c r="C863" s="342"/>
      <c r="D863" s="359">
        <f t="shared" ca="1" si="385"/>
        <v>-0.94626290103336907</v>
      </c>
      <c r="E863" s="360">
        <f t="shared" ca="1" si="386"/>
        <v>-4.7184535161444785</v>
      </c>
      <c r="F863" s="357">
        <f t="shared" ca="1" si="387"/>
        <v>4.8124024210251033</v>
      </c>
      <c r="G863" s="359">
        <f t="shared" ca="1" si="388"/>
        <v>25.96386564740725</v>
      </c>
      <c r="H863" s="360">
        <f t="shared" ca="1" si="389"/>
        <v>-140.68448906206544</v>
      </c>
      <c r="I863" s="357">
        <f t="shared" ca="1" si="390"/>
        <v>143.0602942189447</v>
      </c>
      <c r="J863" s="359">
        <f t="shared" ca="1" si="391"/>
        <v>1596.9214905007832</v>
      </c>
      <c r="K863" s="360">
        <f t="shared" ca="1" si="392"/>
        <v>1293.0543557816156</v>
      </c>
      <c r="L863" s="357">
        <f t="shared" ca="1" si="377"/>
        <v>2054.7865616236281</v>
      </c>
      <c r="M863" s="359">
        <f t="shared" ca="1" si="393"/>
        <v>-1.3882959700896813</v>
      </c>
      <c r="N863" s="357">
        <f t="shared" ca="1" si="394"/>
        <v>-79.543499801159115</v>
      </c>
      <c r="O863" s="343"/>
      <c r="P863" s="363">
        <f t="shared" ca="1" si="395"/>
        <v>23</v>
      </c>
      <c r="Q863" s="357">
        <f t="shared" ca="1" si="396"/>
        <v>0</v>
      </c>
      <c r="R863" s="359">
        <f t="shared" ca="1" si="397"/>
        <v>0</v>
      </c>
      <c r="S863" s="360">
        <f t="shared" ca="1" si="398"/>
        <v>9.637999999999975</v>
      </c>
      <c r="T863" s="357">
        <f t="shared" ca="1" si="378"/>
        <v>94.548779999999766</v>
      </c>
      <c r="U863" s="364">
        <f t="shared" ca="1" si="379"/>
        <v>0</v>
      </c>
      <c r="V863" s="359">
        <f t="shared" ca="1" si="380"/>
        <v>1.07621988049569</v>
      </c>
      <c r="W863" s="357">
        <f t="shared" ca="1" si="381"/>
        <v>50.296687158343438</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4.4661153620994076</v>
      </c>
      <c r="AH863" s="357">
        <f t="shared" ca="1" si="405"/>
        <v>-5.178731415620395</v>
      </c>
    </row>
    <row r="864" spans="1:34" x14ac:dyDescent="0.25">
      <c r="A864" s="402">
        <f t="shared" ca="1" si="383"/>
        <v>0.1</v>
      </c>
      <c r="B864" s="357">
        <f t="shared" ca="1" si="384"/>
        <v>41.000000000000249</v>
      </c>
      <c r="C864" s="342"/>
      <c r="D864" s="359">
        <f t="shared" ca="1" si="385"/>
        <v>-0.94711496344656354</v>
      </c>
      <c r="E864" s="360">
        <f t="shared" ca="1" si="386"/>
        <v>-4.6780837235489869</v>
      </c>
      <c r="F864" s="357">
        <f t="shared" ca="1" si="387"/>
        <v>4.7729963417667038</v>
      </c>
      <c r="G864" s="359">
        <f t="shared" ca="1" si="388"/>
        <v>25.869154151062592</v>
      </c>
      <c r="H864" s="360">
        <f t="shared" ca="1" si="389"/>
        <v>-141.15229743442035</v>
      </c>
      <c r="I864" s="357">
        <f t="shared" ca="1" si="390"/>
        <v>143.50325504150248</v>
      </c>
      <c r="J864" s="359">
        <f t="shared" ca="1" si="391"/>
        <v>1599.5131414907066</v>
      </c>
      <c r="K864" s="360">
        <f t="shared" ca="1" si="392"/>
        <v>1278.9625164567913</v>
      </c>
      <c r="L864" s="357">
        <f t="shared" ca="1" si="377"/>
        <v>2047.9715350323982</v>
      </c>
      <c r="M864" s="359">
        <f t="shared" ca="1" si="393"/>
        <v>-1.3895366438749359</v>
      </c>
      <c r="N864" s="357">
        <f t="shared" ca="1" si="394"/>
        <v>-79.614585172806727</v>
      </c>
      <c r="O864" s="343"/>
      <c r="P864" s="363">
        <f t="shared" ca="1" si="395"/>
        <v>23</v>
      </c>
      <c r="Q864" s="357">
        <f t="shared" ca="1" si="396"/>
        <v>0</v>
      </c>
      <c r="R864" s="359">
        <f t="shared" ca="1" si="397"/>
        <v>0</v>
      </c>
      <c r="S864" s="360">
        <f t="shared" ca="1" si="398"/>
        <v>9.637999999999975</v>
      </c>
      <c r="T864" s="357">
        <f t="shared" ca="1" si="378"/>
        <v>94.548779999999766</v>
      </c>
      <c r="U864" s="364">
        <f t="shared" ca="1" si="379"/>
        <v>0</v>
      </c>
      <c r="V864" s="359">
        <f t="shared" ca="1" si="380"/>
        <v>1.0777438467502458</v>
      </c>
      <c r="W864" s="357">
        <f t="shared" ca="1" si="381"/>
        <v>50.680302564134955</v>
      </c>
      <c r="X864" s="343"/>
      <c r="Y864" s="367" t="str">
        <f t="shared" ca="1" si="399"/>
        <v/>
      </c>
      <c r="Z864" s="368" t="str">
        <f t="shared" ca="1" si="400"/>
        <v/>
      </c>
      <c r="AA864" s="369" t="str">
        <f t="shared" ca="1" si="401"/>
        <v/>
      </c>
      <c r="AB864" s="344"/>
      <c r="AC864" s="363">
        <f t="shared" ca="1" si="402"/>
        <v>41.000000000000249</v>
      </c>
      <c r="AD864" s="376">
        <f t="shared" ca="1" si="403"/>
        <v>1599.5131414907066</v>
      </c>
      <c r="AE864" s="377" t="e">
        <f t="shared" ca="1" si="382"/>
        <v>#N/A</v>
      </c>
      <c r="AF864" s="344"/>
      <c r="AG864" s="359">
        <f t="shared" ca="1" si="404"/>
        <v>4.4285037734081598</v>
      </c>
      <c r="AH864" s="357">
        <f t="shared" ca="1" si="405"/>
        <v>-5.2185813611064091</v>
      </c>
    </row>
    <row r="865" spans="1:34" x14ac:dyDescent="0.25">
      <c r="A865" s="402">
        <f t="shared" ca="1" si="383"/>
        <v>0.1</v>
      </c>
      <c r="B865" s="357">
        <f t="shared" ca="1" si="384"/>
        <v>41.10000000000025</v>
      </c>
      <c r="C865" s="342"/>
      <c r="D865" s="359">
        <f t="shared" ca="1" si="385"/>
        <v>-0.94792232918729658</v>
      </c>
      <c r="E865" s="360">
        <f t="shared" ca="1" si="386"/>
        <v>-4.6377622927737736</v>
      </c>
      <c r="F865" s="357">
        <f t="shared" ca="1" si="387"/>
        <v>4.7336450887710333</v>
      </c>
      <c r="G865" s="359">
        <f t="shared" ca="1" si="388"/>
        <v>25.77436191814386</v>
      </c>
      <c r="H865" s="360">
        <f t="shared" ca="1" si="389"/>
        <v>-141.61607366369773</v>
      </c>
      <c r="I865" s="357">
        <f t="shared" ca="1" si="390"/>
        <v>143.94245396063431</v>
      </c>
      <c r="J865" s="359">
        <f t="shared" ca="1" si="391"/>
        <v>1602.095317294167</v>
      </c>
      <c r="K865" s="360">
        <f t="shared" ca="1" si="392"/>
        <v>1264.8240979018854</v>
      </c>
      <c r="L865" s="357">
        <f t="shared" ca="1" si="377"/>
        <v>2041.1980316297622</v>
      </c>
      <c r="M865" s="359">
        <f t="shared" ca="1" si="393"/>
        <v>-1.3907652160945452</v>
      </c>
      <c r="N865" s="357">
        <f t="shared" ca="1" si="394"/>
        <v>-79.684977175817352</v>
      </c>
      <c r="O865" s="343"/>
      <c r="P865" s="363">
        <f t="shared" ca="1" si="395"/>
        <v>23</v>
      </c>
      <c r="Q865" s="357">
        <f t="shared" ca="1" si="396"/>
        <v>0</v>
      </c>
      <c r="R865" s="359">
        <f t="shared" ca="1" si="397"/>
        <v>0</v>
      </c>
      <c r="S865" s="360">
        <f t="shared" ca="1" si="398"/>
        <v>9.637999999999975</v>
      </c>
      <c r="T865" s="357">
        <f t="shared" ca="1" si="378"/>
        <v>94.548779999999766</v>
      </c>
      <c r="U865" s="364">
        <f t="shared" ca="1" si="379"/>
        <v>0</v>
      </c>
      <c r="V865" s="359">
        <f t="shared" ca="1" si="380"/>
        <v>1.0792748801686367</v>
      </c>
      <c r="W865" s="357">
        <f t="shared" ca="1" si="381"/>
        <v>51.063433868084232</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4.3909028651686626</v>
      </c>
      <c r="AH865" s="357">
        <f t="shared" ca="1" si="405"/>
        <v>-5.2583837480945306</v>
      </c>
    </row>
    <row r="866" spans="1:34" x14ac:dyDescent="0.25">
      <c r="A866" s="402">
        <f t="shared" ca="1" si="383"/>
        <v>0.1</v>
      </c>
      <c r="B866" s="357">
        <f t="shared" ca="1" si="384"/>
        <v>41.200000000000252</v>
      </c>
      <c r="C866" s="342"/>
      <c r="D866" s="359">
        <f t="shared" ca="1" si="385"/>
        <v>-0.94868517655186657</v>
      </c>
      <c r="E866" s="360">
        <f t="shared" ca="1" si="386"/>
        <v>-4.59749191646711</v>
      </c>
      <c r="F866" s="357">
        <f t="shared" ca="1" si="387"/>
        <v>4.6943514446821792</v>
      </c>
      <c r="G866" s="359">
        <f t="shared" ca="1" si="388"/>
        <v>25.679493400488674</v>
      </c>
      <c r="H866" s="360">
        <f t="shared" ca="1" si="389"/>
        <v>-142.07582285534446</v>
      </c>
      <c r="I866" s="357">
        <f t="shared" ca="1" si="390"/>
        <v>144.37789242584532</v>
      </c>
      <c r="J866" s="359">
        <f t="shared" ca="1" si="391"/>
        <v>1604.6680100600986</v>
      </c>
      <c r="K866" s="360">
        <f t="shared" ca="1" si="392"/>
        <v>1250.6395030759331</v>
      </c>
      <c r="L866" s="357">
        <f t="shared" ca="1" si="377"/>
        <v>2034.4676426928627</v>
      </c>
      <c r="M866" s="359">
        <f t="shared" ca="1" si="393"/>
        <v>-1.3919818710708971</v>
      </c>
      <c r="N866" s="357">
        <f t="shared" ca="1" si="394"/>
        <v>-79.75468637108591</v>
      </c>
      <c r="O866" s="343"/>
      <c r="P866" s="363">
        <f t="shared" ca="1" si="395"/>
        <v>23</v>
      </c>
      <c r="Q866" s="357">
        <f t="shared" ca="1" si="396"/>
        <v>0</v>
      </c>
      <c r="R866" s="359">
        <f t="shared" ca="1" si="397"/>
        <v>0</v>
      </c>
      <c r="S866" s="360">
        <f t="shared" ca="1" si="398"/>
        <v>9.637999999999975</v>
      </c>
      <c r="T866" s="357">
        <f t="shared" ca="1" si="378"/>
        <v>94.548779999999766</v>
      </c>
      <c r="U866" s="364">
        <f t="shared" ca="1" si="379"/>
        <v>0</v>
      </c>
      <c r="V866" s="359">
        <f t="shared" ca="1" si="380"/>
        <v>1.0808129612008839</v>
      </c>
      <c r="W866" s="357">
        <f t="shared" ca="1" si="381"/>
        <v>51.446055575151604</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4.3533160758479665</v>
      </c>
      <c r="AH866" s="357">
        <f t="shared" ca="1" si="405"/>
        <v>-5.2981359066283842</v>
      </c>
    </row>
    <row r="867" spans="1:34" x14ac:dyDescent="0.25">
      <c r="A867" s="402">
        <f t="shared" ca="1" si="383"/>
        <v>0.1</v>
      </c>
      <c r="B867" s="357">
        <f t="shared" ca="1" si="384"/>
        <v>41.300000000000253</v>
      </c>
      <c r="C867" s="342"/>
      <c r="D867" s="359">
        <f t="shared" ca="1" si="385"/>
        <v>-0.9494036882552751</v>
      </c>
      <c r="E867" s="360">
        <f t="shared" ca="1" si="386"/>
        <v>-4.5572752625174333</v>
      </c>
      <c r="F867" s="357">
        <f t="shared" ca="1" si="387"/>
        <v>4.6551181705329521</v>
      </c>
      <c r="G867" s="359">
        <f t="shared" ca="1" si="388"/>
        <v>25.584553031663148</v>
      </c>
      <c r="H867" s="360">
        <f t="shared" ca="1" si="389"/>
        <v>-142.53155038159619</v>
      </c>
      <c r="I867" s="357">
        <f t="shared" ca="1" si="390"/>
        <v>144.80957222508283</v>
      </c>
      <c r="J867" s="359">
        <f t="shared" ca="1" si="391"/>
        <v>1607.2312123817062</v>
      </c>
      <c r="K867" s="360">
        <f t="shared" ca="1" si="392"/>
        <v>1236.4091344140861</v>
      </c>
      <c r="L867" s="357">
        <f t="shared" ca="1" si="377"/>
        <v>2027.7819699653508</v>
      </c>
      <c r="M867" s="359">
        <f t="shared" ca="1" si="393"/>
        <v>-1.3931867893582057</v>
      </c>
      <c r="N867" s="357">
        <f t="shared" ca="1" si="394"/>
        <v>-79.823723103606824</v>
      </c>
      <c r="O867" s="343"/>
      <c r="P867" s="363">
        <f t="shared" ca="1" si="395"/>
        <v>23</v>
      </c>
      <c r="Q867" s="357">
        <f t="shared" ca="1" si="396"/>
        <v>0</v>
      </c>
      <c r="R867" s="359">
        <f t="shared" ca="1" si="397"/>
        <v>0</v>
      </c>
      <c r="S867" s="360">
        <f t="shared" ca="1" si="398"/>
        <v>9.637999999999975</v>
      </c>
      <c r="T867" s="357">
        <f t="shared" ca="1" si="378"/>
        <v>94.548779999999766</v>
      </c>
      <c r="U867" s="364">
        <f t="shared" ca="1" si="379"/>
        <v>0</v>
      </c>
      <c r="V867" s="359">
        <f t="shared" ca="1" si="380"/>
        <v>1.0823580702772568</v>
      </c>
      <c r="W867" s="357">
        <f t="shared" ca="1" si="381"/>
        <v>51.828142430684274</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4.3157467994869938</v>
      </c>
      <c r="AH867" s="357">
        <f t="shared" ca="1" si="405"/>
        <v>-5.3378351914455004</v>
      </c>
    </row>
    <row r="868" spans="1:34" x14ac:dyDescent="0.25">
      <c r="A868" s="402">
        <f t="shared" ca="1" si="383"/>
        <v>0.1</v>
      </c>
      <c r="B868" s="357">
        <f t="shared" ca="1" si="384"/>
        <v>41.400000000000254</v>
      </c>
      <c r="C868" s="342"/>
      <c r="D868" s="359">
        <f t="shared" ca="1" si="385"/>
        <v>-0.95007805135659751</v>
      </c>
      <c r="E868" s="360">
        <f t="shared" ca="1" si="386"/>
        <v>-4.5171149737971916</v>
      </c>
      <c r="F868" s="357">
        <f t="shared" ca="1" si="387"/>
        <v>4.6159480055750581</v>
      </c>
      <c r="G868" s="359">
        <f t="shared" ca="1" si="388"/>
        <v>25.48954522652749</v>
      </c>
      <c r="H868" s="360">
        <f t="shared" ca="1" si="389"/>
        <v>-142.9832618789759</v>
      </c>
      <c r="I868" s="357">
        <f t="shared" ca="1" si="390"/>
        <v>145.23749548035795</v>
      </c>
      <c r="J868" s="359">
        <f t="shared" ca="1" si="391"/>
        <v>1609.7849172946158</v>
      </c>
      <c r="K868" s="360">
        <f t="shared" ca="1" si="392"/>
        <v>1222.1333938010575</v>
      </c>
      <c r="L868" s="357">
        <f t="shared" ca="1" si="377"/>
        <v>2021.1426253960713</v>
      </c>
      <c r="M868" s="359">
        <f t="shared" ca="1" si="393"/>
        <v>-1.3943801478361197</v>
      </c>
      <c r="N868" s="357">
        <f t="shared" ca="1" si="394"/>
        <v>-79.892097507837448</v>
      </c>
      <c r="O868" s="343"/>
      <c r="P868" s="363">
        <f t="shared" ca="1" si="395"/>
        <v>23</v>
      </c>
      <c r="Q868" s="357">
        <f t="shared" ca="1" si="396"/>
        <v>0</v>
      </c>
      <c r="R868" s="359">
        <f t="shared" ca="1" si="397"/>
        <v>0</v>
      </c>
      <c r="S868" s="360">
        <f t="shared" ca="1" si="398"/>
        <v>9.637999999999975</v>
      </c>
      <c r="T868" s="357">
        <f t="shared" ca="1" si="378"/>
        <v>94.548779999999766</v>
      </c>
      <c r="U868" s="364">
        <f t="shared" ca="1" si="379"/>
        <v>0</v>
      </c>
      <c r="V868" s="359">
        <f t="shared" ca="1" si="380"/>
        <v>1.0839101878095254</v>
      </c>
      <c r="W868" s="357">
        <f t="shared" ca="1" si="381"/>
        <v>52.209669422734876</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4.2781983860509998</v>
      </c>
      <c r="AH868" s="357">
        <f t="shared" ca="1" si="405"/>
        <v>-5.3774789822249849</v>
      </c>
    </row>
    <row r="869" spans="1:34" x14ac:dyDescent="0.25">
      <c r="A869" s="402">
        <f t="shared" ca="1" si="383"/>
        <v>0.1</v>
      </c>
      <c r="B869" s="357">
        <f t="shared" ca="1" si="384"/>
        <v>41.500000000000256</v>
      </c>
      <c r="C869" s="342"/>
      <c r="D869" s="359">
        <f t="shared" ca="1" si="385"/>
        <v>-0.95070845718442243</v>
      </c>
      <c r="E869" s="360">
        <f t="shared" ca="1" si="386"/>
        <v>-4.4770136679140649</v>
      </c>
      <c r="F869" s="357">
        <f t="shared" ca="1" si="387"/>
        <v>4.5768436671194408</v>
      </c>
      <c r="G869" s="359">
        <f t="shared" ca="1" si="388"/>
        <v>25.394474380809047</v>
      </c>
      <c r="H869" s="360">
        <f t="shared" ca="1" si="389"/>
        <v>-143.43096324576732</v>
      </c>
      <c r="I869" s="357">
        <f t="shared" ca="1" si="390"/>
        <v>145.66166464339966</v>
      </c>
      <c r="J869" s="359">
        <f t="shared" ca="1" si="391"/>
        <v>1612.3291182749826</v>
      </c>
      <c r="K869" s="360">
        <f t="shared" ca="1" si="392"/>
        <v>1207.8126825448203</v>
      </c>
      <c r="L869" s="357">
        <f t="shared" ca="1" si="377"/>
        <v>2014.5512308585</v>
      </c>
      <c r="M869" s="359">
        <f t="shared" ca="1" si="393"/>
        <v>-1.3955621198006032</v>
      </c>
      <c r="N869" s="357">
        <f t="shared" ca="1" si="394"/>
        <v>-79.959819512905142</v>
      </c>
      <c r="O869" s="343"/>
      <c r="P869" s="363">
        <f t="shared" ca="1" si="395"/>
        <v>23</v>
      </c>
      <c r="Q869" s="357">
        <f t="shared" ca="1" si="396"/>
        <v>0</v>
      </c>
      <c r="R869" s="359">
        <f t="shared" ca="1" si="397"/>
        <v>0</v>
      </c>
      <c r="S869" s="360">
        <f t="shared" ca="1" si="398"/>
        <v>9.637999999999975</v>
      </c>
      <c r="T869" s="357">
        <f t="shared" ca="1" si="378"/>
        <v>94.548779999999766</v>
      </c>
      <c r="U869" s="364">
        <f t="shared" ca="1" si="379"/>
        <v>0</v>
      </c>
      <c r="V869" s="359">
        <f t="shared" ca="1" si="380"/>
        <v>1.0854692941922133</v>
      </c>
      <c r="W869" s="357">
        <f t="shared" ca="1" si="381"/>
        <v>52.590611784311356</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4.24067414176639</v>
      </c>
      <c r="AH869" s="357">
        <f t="shared" ca="1" si="405"/>
        <v>-5.4170646838280776</v>
      </c>
    </row>
    <row r="870" spans="1:34" x14ac:dyDescent="0.25">
      <c r="A870" s="402">
        <f t="shared" ca="1" si="383"/>
        <v>0.1</v>
      </c>
      <c r="B870" s="357">
        <f t="shared" ca="1" si="384"/>
        <v>41.600000000000257</v>
      </c>
      <c r="C870" s="342"/>
      <c r="D870" s="359">
        <f t="shared" ca="1" si="385"/>
        <v>-0.95129510126239791</v>
      </c>
      <c r="E870" s="360">
        <f t="shared" ca="1" si="386"/>
        <v>-4.4369739369695695</v>
      </c>
      <c r="F870" s="357">
        <f t="shared" ca="1" si="387"/>
        <v>4.537807850386911</v>
      </c>
      <c r="G870" s="359">
        <f t="shared" ca="1" si="388"/>
        <v>25.299344870682809</v>
      </c>
      <c r="H870" s="360">
        <f t="shared" ca="1" si="389"/>
        <v>-143.87466063946428</v>
      </c>
      <c r="I870" s="357">
        <f t="shared" ca="1" si="390"/>
        <v>146.08208249134032</v>
      </c>
      <c r="J870" s="359">
        <f t="shared" ca="1" si="391"/>
        <v>1614.8638092375572</v>
      </c>
      <c r="K870" s="360">
        <f t="shared" ca="1" si="392"/>
        <v>1193.4474013505587</v>
      </c>
      <c r="L870" s="357">
        <f t="shared" ca="1" si="377"/>
        <v>2008.0094178503334</v>
      </c>
      <c r="M870" s="359">
        <f t="shared" ca="1" si="393"/>
        <v>-1.3967328750521848</v>
      </c>
      <c r="N870" s="357">
        <f t="shared" ca="1" si="394"/>
        <v>-80.026898847663546</v>
      </c>
      <c r="O870" s="343"/>
      <c r="P870" s="363">
        <f t="shared" ca="1" si="395"/>
        <v>23</v>
      </c>
      <c r="Q870" s="357">
        <f t="shared" ca="1" si="396"/>
        <v>0</v>
      </c>
      <c r="R870" s="359">
        <f t="shared" ca="1" si="397"/>
        <v>0</v>
      </c>
      <c r="S870" s="360">
        <f t="shared" ca="1" si="398"/>
        <v>9.637999999999975</v>
      </c>
      <c r="T870" s="357">
        <f t="shared" ca="1" si="378"/>
        <v>94.548779999999766</v>
      </c>
      <c r="U870" s="364">
        <f t="shared" ca="1" si="379"/>
        <v>0</v>
      </c>
      <c r="V870" s="359">
        <f t="shared" ca="1" si="380"/>
        <v>1.0870353698038506</v>
      </c>
      <c r="W870" s="357">
        <f t="shared" ca="1" si="381"/>
        <v>52.970944995558114</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4.2031773294446921</v>
      </c>
      <c r="AH870" s="357">
        <f t="shared" ca="1" si="405"/>
        <v>-5.4565897265315932</v>
      </c>
    </row>
    <row r="871" spans="1:34" x14ac:dyDescent="0.25">
      <c r="A871" s="402">
        <f t="shared" ca="1" si="383"/>
        <v>0.1</v>
      </c>
      <c r="B871" s="357">
        <f t="shared" ca="1" si="384"/>
        <v>41.700000000000259</v>
      </c>
      <c r="C871" s="342"/>
      <c r="D871" s="359">
        <f t="shared" ca="1" si="385"/>
        <v>-0.95183818323485858</v>
      </c>
      <c r="E871" s="360">
        <f t="shared" ca="1" si="386"/>
        <v>-4.3969983473250531</v>
      </c>
      <c r="F871" s="357">
        <f t="shared" ca="1" si="387"/>
        <v>4.4988432283691644</v>
      </c>
      <c r="G871" s="359">
        <f t="shared" ca="1" si="388"/>
        <v>25.204161052359325</v>
      </c>
      <c r="H871" s="360">
        <f t="shared" ca="1" si="389"/>
        <v>-144.31436047419677</v>
      </c>
      <c r="I871" s="357">
        <f t="shared" ca="1" si="390"/>
        <v>146.49875212243165</v>
      </c>
      <c r="J871" s="359">
        <f t="shared" ca="1" si="391"/>
        <v>1617.3889845337094</v>
      </c>
      <c r="K871" s="360">
        <f t="shared" ca="1" si="392"/>
        <v>1179.0379502948756</v>
      </c>
      <c r="L871" s="357">
        <f t="shared" ca="1" si="377"/>
        <v>2001.5188271726363</v>
      </c>
      <c r="M871" s="359">
        <f t="shared" ca="1" si="393"/>
        <v>-1.3978925799816602</v>
      </c>
      <c r="N871" s="357">
        <f t="shared" ca="1" si="394"/>
        <v>-80.093345045603002</v>
      </c>
      <c r="O871" s="343"/>
      <c r="P871" s="363">
        <f t="shared" ca="1" si="395"/>
        <v>23</v>
      </c>
      <c r="Q871" s="357">
        <f t="shared" ca="1" si="396"/>
        <v>0</v>
      </c>
      <c r="R871" s="359">
        <f t="shared" ca="1" si="397"/>
        <v>0</v>
      </c>
      <c r="S871" s="360">
        <f t="shared" ca="1" si="398"/>
        <v>9.637999999999975</v>
      </c>
      <c r="T871" s="357">
        <f t="shared" ca="1" si="378"/>
        <v>94.548779999999766</v>
      </c>
      <c r="U871" s="364">
        <f t="shared" ca="1" si="379"/>
        <v>0</v>
      </c>
      <c r="V871" s="359">
        <f t="shared" ca="1" si="380"/>
        <v>1.0886083950082246</v>
      </c>
      <c r="W871" s="357">
        <f t="shared" ca="1" si="381"/>
        <v>53.350644785868511</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4.1657111687944903</v>
      </c>
      <c r="AH871" s="357">
        <f t="shared" ca="1" si="405"/>
        <v>-5.496051566254228</v>
      </c>
    </row>
    <row r="872" spans="1:34" x14ac:dyDescent="0.25">
      <c r="A872" s="402">
        <f t="shared" ca="1" si="383"/>
        <v>0.1</v>
      </c>
      <c r="B872" s="357">
        <f t="shared" ca="1" si="384"/>
        <v>41.80000000000026</v>
      </c>
      <c r="C872" s="342"/>
      <c r="D872" s="359">
        <f t="shared" ca="1" si="385"/>
        <v>-0.95233790679255192</v>
      </c>
      <c r="E872" s="360">
        <f t="shared" ca="1" si="386"/>
        <v>-4.3570894393750459</v>
      </c>
      <c r="F872" s="357">
        <f t="shared" ca="1" si="387"/>
        <v>4.4599524517003069</v>
      </c>
      <c r="G872" s="359">
        <f t="shared" ca="1" si="388"/>
        <v>25.108927261680069</v>
      </c>
      <c r="H872" s="360">
        <f t="shared" ca="1" si="389"/>
        <v>-144.75006941813427</v>
      </c>
      <c r="I872" s="357">
        <f t="shared" ca="1" si="390"/>
        <v>146.91167695178973</v>
      </c>
      <c r="J872" s="359">
        <f t="shared" ca="1" si="391"/>
        <v>1619.9046389494113</v>
      </c>
      <c r="K872" s="360">
        <f t="shared" ca="1" si="392"/>
        <v>1164.584728800259</v>
      </c>
      <c r="L872" s="357">
        <f t="shared" ca="1" si="377"/>
        <v>1995.0811085879679</v>
      </c>
      <c r="M872" s="359">
        <f t="shared" ca="1" si="393"/>
        <v>-1.39904139765333</v>
      </c>
      <c r="N872" s="357">
        <f t="shared" ca="1" si="394"/>
        <v>-80.15916744961973</v>
      </c>
      <c r="O872" s="343"/>
      <c r="P872" s="363">
        <f t="shared" ca="1" si="395"/>
        <v>23</v>
      </c>
      <c r="Q872" s="357">
        <f t="shared" ca="1" si="396"/>
        <v>0</v>
      </c>
      <c r="R872" s="359">
        <f t="shared" ca="1" si="397"/>
        <v>0</v>
      </c>
      <c r="S872" s="360">
        <f t="shared" ca="1" si="398"/>
        <v>9.637999999999975</v>
      </c>
      <c r="T872" s="357">
        <f t="shared" ca="1" si="378"/>
        <v>94.548779999999766</v>
      </c>
      <c r="U872" s="364">
        <f t="shared" ca="1" si="379"/>
        <v>0</v>
      </c>
      <c r="V872" s="359">
        <f t="shared" ca="1" si="380"/>
        <v>1.0901883501556247</v>
      </c>
      <c r="W872" s="357">
        <f t="shared" ca="1" si="381"/>
        <v>53.729687135927882</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4.1282788367220231</v>
      </c>
      <c r="AH872" s="357">
        <f t="shared" ca="1" si="405"/>
        <v>-5.5354476847757468</v>
      </c>
    </row>
    <row r="873" spans="1:34" x14ac:dyDescent="0.25">
      <c r="A873" s="402">
        <f t="shared" ca="1" si="383"/>
        <v>0.1</v>
      </c>
      <c r="B873" s="357">
        <f t="shared" ca="1" si="384"/>
        <v>41.900000000000261</v>
      </c>
      <c r="C873" s="342"/>
      <c r="D873" s="359">
        <f t="shared" ca="1" si="385"/>
        <v>-0.95279447959846175</v>
      </c>
      <c r="E873" s="360">
        <f t="shared" ca="1" si="386"/>
        <v>-4.3172497273280843</v>
      </c>
      <c r="F873" s="357">
        <f t="shared" ca="1" si="387"/>
        <v>4.4211381485390975</v>
      </c>
      <c r="G873" s="359">
        <f t="shared" ca="1" si="388"/>
        <v>25.013647813720223</v>
      </c>
      <c r="H873" s="360">
        <f t="shared" ca="1" si="389"/>
        <v>-145.18179439086708</v>
      </c>
      <c r="I873" s="357">
        <f t="shared" ca="1" si="390"/>
        <v>147.32086070716812</v>
      </c>
      <c r="J873" s="359">
        <f t="shared" ca="1" si="391"/>
        <v>1622.4107677031814</v>
      </c>
      <c r="K873" s="360">
        <f t="shared" ca="1" si="392"/>
        <v>1150.0881356098089</v>
      </c>
      <c r="L873" s="357">
        <f t="shared" ca="1" si="377"/>
        <v>1988.6979204569186</v>
      </c>
      <c r="M873" s="359">
        <f t="shared" ca="1" si="393"/>
        <v>-1.4001794878858562</v>
      </c>
      <c r="N873" s="357">
        <f t="shared" ca="1" si="394"/>
        <v>-80.224375216648539</v>
      </c>
      <c r="O873" s="343"/>
      <c r="P873" s="363">
        <f t="shared" ca="1" si="395"/>
        <v>23</v>
      </c>
      <c r="Q873" s="357">
        <f t="shared" ca="1" si="396"/>
        <v>0</v>
      </c>
      <c r="R873" s="359">
        <f t="shared" ca="1" si="397"/>
        <v>0</v>
      </c>
      <c r="S873" s="360">
        <f t="shared" ca="1" si="398"/>
        <v>9.637999999999975</v>
      </c>
      <c r="T873" s="357">
        <f t="shared" ca="1" si="378"/>
        <v>94.548779999999766</v>
      </c>
      <c r="U873" s="364">
        <f t="shared" ca="1" si="379"/>
        <v>0</v>
      </c>
      <c r="V873" s="359">
        <f t="shared" ca="1" si="380"/>
        <v>1.0917752155840936</v>
      </c>
      <c r="W873" s="357">
        <f t="shared" ca="1" si="381"/>
        <v>54.1080482796879</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4.0908834676212713</v>
      </c>
      <c r="AH873" s="357">
        <f t="shared" ca="1" si="405"/>
        <v>-5.5747755899489544</v>
      </c>
    </row>
    <row r="874" spans="1:34" x14ac:dyDescent="0.25">
      <c r="A874" s="402">
        <f t="shared" ca="1" si="383"/>
        <v>0.1</v>
      </c>
      <c r="B874" s="357">
        <f t="shared" ca="1" si="384"/>
        <v>42.000000000000263</v>
      </c>
      <c r="C874" s="342"/>
      <c r="D874" s="359">
        <f t="shared" ca="1" si="385"/>
        <v>-0.9532081132137431</v>
      </c>
      <c r="E874" s="360">
        <f t="shared" ca="1" si="386"/>
        <v>-4.2774816989948743</v>
      </c>
      <c r="F874" s="357">
        <f t="shared" ca="1" si="387"/>
        <v>4.3824029244619416</v>
      </c>
      <c r="G874" s="359">
        <f t="shared" ca="1" si="388"/>
        <v>24.918327002398847</v>
      </c>
      <c r="H874" s="360">
        <f t="shared" ca="1" si="389"/>
        <v>-145.60954256076656</v>
      </c>
      <c r="I874" s="357">
        <f t="shared" ca="1" si="390"/>
        <v>147.7263074247582</v>
      </c>
      <c r="J874" s="359">
        <f t="shared" ca="1" si="391"/>
        <v>1624.9073664439873</v>
      </c>
      <c r="K874" s="360">
        <f t="shared" ca="1" si="392"/>
        <v>1135.5485687622272</v>
      </c>
      <c r="L874" s="357">
        <f t="shared" ca="1" si="377"/>
        <v>1982.3709293524955</v>
      </c>
      <c r="M874" s="359">
        <f t="shared" ca="1" si="393"/>
        <v>-1.4013070073308145</v>
      </c>
      <c r="N874" s="357">
        <f t="shared" ca="1" si="394"/>
        <v>-80.288977322163575</v>
      </c>
      <c r="O874" s="343"/>
      <c r="P874" s="363">
        <f t="shared" ca="1" si="395"/>
        <v>23</v>
      </c>
      <c r="Q874" s="357">
        <f t="shared" ca="1" si="396"/>
        <v>0</v>
      </c>
      <c r="R874" s="359">
        <f t="shared" ca="1" si="397"/>
        <v>0</v>
      </c>
      <c r="S874" s="360">
        <f t="shared" ca="1" si="398"/>
        <v>9.637999999999975</v>
      </c>
      <c r="T874" s="357">
        <f t="shared" ca="1" si="378"/>
        <v>94.548779999999766</v>
      </c>
      <c r="U874" s="364">
        <f t="shared" ca="1" si="379"/>
        <v>0</v>
      </c>
      <c r="V874" s="359">
        <f t="shared" ca="1" si="380"/>
        <v>1.0933689716206696</v>
      </c>
      <c r="W874" s="357">
        <f t="shared" ca="1" si="381"/>
        <v>54.485704706271434</v>
      </c>
      <c r="X874" s="343"/>
      <c r="Y874" s="367" t="str">
        <f t="shared" ca="1" si="399"/>
        <v/>
      </c>
      <c r="Z874" s="368" t="str">
        <f t="shared" ca="1" si="400"/>
        <v/>
      </c>
      <c r="AA874" s="369" t="str">
        <f t="shared" ca="1" si="401"/>
        <v/>
      </c>
      <c r="AB874" s="344"/>
      <c r="AC874" s="363">
        <f t="shared" ca="1" si="402"/>
        <v>42.000000000000263</v>
      </c>
      <c r="AD874" s="376">
        <f t="shared" ca="1" si="403"/>
        <v>1624.9073664439873</v>
      </c>
      <c r="AE874" s="377" t="e">
        <f t="shared" ca="1" si="382"/>
        <v>#N/A</v>
      </c>
      <c r="AF874" s="344"/>
      <c r="AG874" s="359">
        <f t="shared" ca="1" si="404"/>
        <v>4.053528153654109</v>
      </c>
      <c r="AH874" s="357">
        <f t="shared" ca="1" si="405"/>
        <v>-5.6140328159045483</v>
      </c>
    </row>
    <row r="875" spans="1:34" x14ac:dyDescent="0.25">
      <c r="A875" s="402">
        <f t="shared" ca="1" si="383"/>
        <v>0.1</v>
      </c>
      <c r="B875" s="357">
        <f t="shared" ca="1" si="384"/>
        <v>42.100000000000264</v>
      </c>
      <c r="C875" s="342"/>
      <c r="D875" s="359">
        <f t="shared" ca="1" si="385"/>
        <v>-0.95357902302375463</v>
      </c>
      <c r="E875" s="360">
        <f t="shared" ca="1" si="386"/>
        <v>-4.2377878155838991</v>
      </c>
      <c r="F875" s="357">
        <f t="shared" ca="1" si="387"/>
        <v>4.343749362366836</v>
      </c>
      <c r="G875" s="359">
        <f t="shared" ca="1" si="388"/>
        <v>24.822969100096472</v>
      </c>
      <c r="H875" s="360">
        <f t="shared" ca="1" si="389"/>
        <v>-146.03332134232494</v>
      </c>
      <c r="I875" s="357">
        <f t="shared" ca="1" si="390"/>
        <v>148.12802144501586</v>
      </c>
      <c r="J875" s="359">
        <f t="shared" ca="1" si="391"/>
        <v>1627.3944312491121</v>
      </c>
      <c r="K875" s="360">
        <f t="shared" ca="1" si="392"/>
        <v>1120.9664255670725</v>
      </c>
      <c r="L875" s="357">
        <f t="shared" ca="1" si="377"/>
        <v>1976.1018096518308</v>
      </c>
      <c r="M875" s="359">
        <f t="shared" ca="1" si="393"/>
        <v>-1.4024241095490158</v>
      </c>
      <c r="N875" s="357">
        <f t="shared" ca="1" si="394"/>
        <v>-80.352982564551212</v>
      </c>
      <c r="O875" s="343"/>
      <c r="P875" s="363">
        <f t="shared" ca="1" si="395"/>
        <v>23</v>
      </c>
      <c r="Q875" s="357">
        <f t="shared" ca="1" si="396"/>
        <v>0</v>
      </c>
      <c r="R875" s="359">
        <f t="shared" ca="1" si="397"/>
        <v>0</v>
      </c>
      <c r="S875" s="360">
        <f t="shared" ca="1" si="398"/>
        <v>9.637999999999975</v>
      </c>
      <c r="T875" s="357">
        <f t="shared" ca="1" si="378"/>
        <v>94.548779999999766</v>
      </c>
      <c r="U875" s="364">
        <f t="shared" ca="1" si="379"/>
        <v>0</v>
      </c>
      <c r="V875" s="359">
        <f t="shared" ca="1" si="380"/>
        <v>1.0949695985826278</v>
      </c>
      <c r="W875" s="357">
        <f t="shared" ca="1" si="381"/>
        <v>54.862633161808219</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4.01621594502127</v>
      </c>
      <c r="AH875" s="357">
        <f t="shared" ca="1" si="405"/>
        <v>-5.6532169232487623</v>
      </c>
    </row>
    <row r="876" spans="1:34" x14ac:dyDescent="0.25">
      <c r="A876" s="402">
        <f t="shared" ca="1" si="383"/>
        <v>0.1</v>
      </c>
      <c r="B876" s="357">
        <f t="shared" ca="1" si="384"/>
        <v>42.200000000000266</v>
      </c>
      <c r="C876" s="342"/>
      <c r="D876" s="359">
        <f t="shared" ca="1" si="385"/>
        <v>-0.95390742816421537</v>
      </c>
      <c r="E876" s="360">
        <f t="shared" ca="1" si="386"/>
        <v>-4.1981705115044319</v>
      </c>
      <c r="F876" s="357">
        <f t="shared" ca="1" si="387"/>
        <v>4.3051800223884076</v>
      </c>
      <c r="G876" s="359">
        <f t="shared" ca="1" si="388"/>
        <v>24.727578357280052</v>
      </c>
      <c r="H876" s="360">
        <f t="shared" ca="1" si="389"/>
        <v>-146.45313839347537</v>
      </c>
      <c r="I876" s="357">
        <f t="shared" ca="1" si="390"/>
        <v>148.52600740851375</v>
      </c>
      <c r="J876" s="359">
        <f t="shared" ca="1" si="391"/>
        <v>1629.8719586219809</v>
      </c>
      <c r="K876" s="360">
        <f t="shared" ca="1" si="392"/>
        <v>1106.3421025802825</v>
      </c>
      <c r="L876" s="357">
        <f t="shared" ca="1" si="377"/>
        <v>1969.8922431046863</v>
      </c>
      <c r="M876" s="359">
        <f t="shared" ca="1" si="393"/>
        <v>-1.4035309450846714</v>
      </c>
      <c r="N876" s="357">
        <f t="shared" ca="1" si="394"/>
        <v>-80.416399569359385</v>
      </c>
      <c r="O876" s="343"/>
      <c r="P876" s="363">
        <f t="shared" ca="1" si="395"/>
        <v>23</v>
      </c>
      <c r="Q876" s="357">
        <f t="shared" ca="1" si="396"/>
        <v>0</v>
      </c>
      <c r="R876" s="359">
        <f t="shared" ca="1" si="397"/>
        <v>0</v>
      </c>
      <c r="S876" s="360">
        <f t="shared" ca="1" si="398"/>
        <v>9.637999999999975</v>
      </c>
      <c r="T876" s="357">
        <f t="shared" ca="1" si="378"/>
        <v>94.548779999999766</v>
      </c>
      <c r="U876" s="364">
        <f t="shared" ca="1" si="379"/>
        <v>0</v>
      </c>
      <c r="V876" s="359">
        <f t="shared" ca="1" si="380"/>
        <v>1.0965770767787224</v>
      </c>
      <c r="W876" s="357">
        <f t="shared" ca="1" si="381"/>
        <v>55.238810651201554</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3.9789498502246978</v>
      </c>
      <c r="AH876" s="357">
        <f t="shared" ca="1" si="405"/>
        <v>-5.6923254992538244</v>
      </c>
    </row>
    <row r="877" spans="1:34" x14ac:dyDescent="0.25">
      <c r="A877" s="402">
        <f t="shared" ca="1" si="383"/>
        <v>0.1</v>
      </c>
      <c r="B877" s="357">
        <f t="shared" ca="1" si="384"/>
        <v>42.300000000000267</v>
      </c>
      <c r="C877" s="342"/>
      <c r="D877" s="359">
        <f t="shared" ca="1" si="385"/>
        <v>-0.95419355144748252</v>
      </c>
      <c r="E877" s="360">
        <f t="shared" ca="1" si="386"/>
        <v>-4.1586321941769224</v>
      </c>
      <c r="F877" s="357">
        <f t="shared" ca="1" si="387"/>
        <v>4.2666974418241477</v>
      </c>
      <c r="G877" s="359">
        <f t="shared" ca="1" si="388"/>
        <v>24.632159002135303</v>
      </c>
      <c r="H877" s="360">
        <f t="shared" ca="1" si="389"/>
        <v>-146.86900161289307</v>
      </c>
      <c r="I877" s="357">
        <f t="shared" ca="1" si="390"/>
        <v>148.92027025181784</v>
      </c>
      <c r="J877" s="359">
        <f t="shared" ca="1" si="391"/>
        <v>1632.3399454899516</v>
      </c>
      <c r="K877" s="360">
        <f t="shared" ca="1" si="392"/>
        <v>1091.6759955799641</v>
      </c>
      <c r="L877" s="357">
        <f t="shared" ca="1" si="377"/>
        <v>1963.7439183782706</v>
      </c>
      <c r="M877" s="359">
        <f t="shared" ca="1" si="393"/>
        <v>-1.4046276615374702</v>
      </c>
      <c r="N877" s="357">
        <f t="shared" ca="1" si="394"/>
        <v>-80.479236793427319</v>
      </c>
      <c r="O877" s="343"/>
      <c r="P877" s="363">
        <f t="shared" ca="1" si="395"/>
        <v>23</v>
      </c>
      <c r="Q877" s="357">
        <f t="shared" ca="1" si="396"/>
        <v>0</v>
      </c>
      <c r="R877" s="359">
        <f t="shared" ca="1" si="397"/>
        <v>0</v>
      </c>
      <c r="S877" s="360">
        <f t="shared" ca="1" si="398"/>
        <v>9.637999999999975</v>
      </c>
      <c r="T877" s="357">
        <f t="shared" ca="1" si="378"/>
        <v>94.548779999999766</v>
      </c>
      <c r="U877" s="364">
        <f t="shared" ca="1" si="379"/>
        <v>0</v>
      </c>
      <c r="V877" s="359">
        <f t="shared" ca="1" si="380"/>
        <v>1.098191386510422</v>
      </c>
      <c r="W877" s="357">
        <f t="shared" ca="1" si="381"/>
        <v>55.614214439825254</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3.9417328363218846</v>
      </c>
      <c r="AH877" s="357">
        <f t="shared" ca="1" si="405"/>
        <v>-5.7313561580412635</v>
      </c>
    </row>
    <row r="878" spans="1:34" x14ac:dyDescent="0.25">
      <c r="A878" s="402">
        <f t="shared" ca="1" si="383"/>
        <v>0.1</v>
      </c>
      <c r="B878" s="357">
        <f t="shared" ca="1" si="384"/>
        <v>42.400000000000269</v>
      </c>
      <c r="C878" s="342"/>
      <c r="D878" s="359">
        <f t="shared" ca="1" si="385"/>
        <v>-0.95443761928894855</v>
      </c>
      <c r="E878" s="360">
        <f t="shared" ca="1" si="386"/>
        <v>-4.1191752438508225</v>
      </c>
      <c r="F878" s="357">
        <f t="shared" ca="1" si="387"/>
        <v>4.2283041350720554</v>
      </c>
      <c r="G878" s="359">
        <f t="shared" ca="1" si="388"/>
        <v>24.536715240206409</v>
      </c>
      <c r="H878" s="360">
        <f t="shared" ca="1" si="389"/>
        <v>-147.28091913727815</v>
      </c>
      <c r="I878" s="357">
        <f t="shared" ca="1" si="390"/>
        <v>149.31081520338853</v>
      </c>
      <c r="J878" s="359">
        <f t="shared" ca="1" si="391"/>
        <v>1634.7983892020686</v>
      </c>
      <c r="K878" s="360">
        <f t="shared" ca="1" si="392"/>
        <v>1076.9684995424557</v>
      </c>
      <c r="L878" s="357">
        <f t="shared" ca="1" si="377"/>
        <v>1957.6585305778958</v>
      </c>
      <c r="M878" s="359">
        <f t="shared" ca="1" si="393"/>
        <v>-1.4057144036326352</v>
      </c>
      <c r="N878" s="357">
        <f t="shared" ca="1" si="394"/>
        <v>-80.541502528899471</v>
      </c>
      <c r="O878" s="343"/>
      <c r="P878" s="363">
        <f t="shared" ca="1" si="395"/>
        <v>23</v>
      </c>
      <c r="Q878" s="357">
        <f t="shared" ca="1" si="396"/>
        <v>0</v>
      </c>
      <c r="R878" s="359">
        <f t="shared" ca="1" si="397"/>
        <v>0</v>
      </c>
      <c r="S878" s="360">
        <f t="shared" ca="1" si="398"/>
        <v>9.637999999999975</v>
      </c>
      <c r="T878" s="357">
        <f t="shared" ca="1" si="378"/>
        <v>94.548779999999766</v>
      </c>
      <c r="U878" s="364">
        <f t="shared" ca="1" si="379"/>
        <v>0</v>
      </c>
      <c r="V878" s="359">
        <f t="shared" ca="1" si="380"/>
        <v>1.0998125080731467</v>
      </c>
      <c r="W878" s="357">
        <f t="shared" ca="1" si="381"/>
        <v>55.988822055151999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3.9045678291728247</v>
      </c>
      <c r="AH878" s="357">
        <f t="shared" ca="1" si="405"/>
        <v>-5.7703065407579786</v>
      </c>
    </row>
    <row r="879" spans="1:34" x14ac:dyDescent="0.25">
      <c r="A879" s="402">
        <f t="shared" ca="1" si="383"/>
        <v>0.1</v>
      </c>
      <c r="B879" s="357">
        <f t="shared" ca="1" si="384"/>
        <v>42.50000000000027</v>
      </c>
      <c r="C879" s="342"/>
      <c r="D879" s="359">
        <f t="shared" ca="1" si="385"/>
        <v>-0.9546398616335855</v>
      </c>
      <c r="E879" s="360">
        <f t="shared" ca="1" si="386"/>
        <v>-4.0798020134297452</v>
      </c>
      <c r="F879" s="357">
        <f t="shared" ca="1" si="387"/>
        <v>4.1900025935797691</v>
      </c>
      <c r="G879" s="359">
        <f t="shared" ca="1" si="388"/>
        <v>24.441251254043049</v>
      </c>
      <c r="H879" s="360">
        <f t="shared" ca="1" si="389"/>
        <v>-147.68889933862113</v>
      </c>
      <c r="I879" s="357">
        <f t="shared" ca="1" si="390"/>
        <v>149.69764777950462</v>
      </c>
      <c r="J879" s="359">
        <f t="shared" ca="1" si="391"/>
        <v>1637.2472875267811</v>
      </c>
      <c r="K879" s="360">
        <f t="shared" ca="1" si="392"/>
        <v>1062.2200086186608</v>
      </c>
      <c r="L879" s="357">
        <f t="shared" ca="1" si="377"/>
        <v>1951.6377807430429</v>
      </c>
      <c r="M879" s="359">
        <f t="shared" ca="1" si="393"/>
        <v>-1.406791313289024</v>
      </c>
      <c r="N879" s="357">
        <f t="shared" ca="1" si="394"/>
        <v>-80.603204907127434</v>
      </c>
      <c r="O879" s="343"/>
      <c r="P879" s="363">
        <f t="shared" ca="1" si="395"/>
        <v>23</v>
      </c>
      <c r="Q879" s="357">
        <f t="shared" ca="1" si="396"/>
        <v>0</v>
      </c>
      <c r="R879" s="359">
        <f t="shared" ca="1" si="397"/>
        <v>0</v>
      </c>
      <c r="S879" s="360">
        <f t="shared" ca="1" si="398"/>
        <v>9.637999999999975</v>
      </c>
      <c r="T879" s="357">
        <f t="shared" ca="1" si="378"/>
        <v>94.548779999999766</v>
      </c>
      <c r="U879" s="364">
        <f t="shared" ca="1" si="379"/>
        <v>0</v>
      </c>
      <c r="V879" s="359">
        <f t="shared" ca="1" si="380"/>
        <v>1.1014404217574976</v>
      </c>
      <c r="W879" s="357">
        <f t="shared" ca="1" si="381"/>
        <v>56.362611288311989</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3.8674577136800234</v>
      </c>
      <c r="AH879" s="357">
        <f t="shared" ca="1" si="405"/>
        <v>-5.8091743157451905</v>
      </c>
    </row>
    <row r="880" spans="1:34" x14ac:dyDescent="0.25">
      <c r="A880" s="402">
        <f t="shared" ca="1" si="383"/>
        <v>0.1</v>
      </c>
      <c r="B880" s="357">
        <f t="shared" ca="1" si="384"/>
        <v>42.600000000000271</v>
      </c>
      <c r="C880" s="342"/>
      <c r="D880" s="359">
        <f t="shared" ca="1" si="385"/>
        <v>-0.95480051188262161</v>
      </c>
      <c r="E880" s="360">
        <f t="shared" ca="1" si="386"/>
        <v>-4.0405148283040528</v>
      </c>
      <c r="F880" s="357">
        <f t="shared" ca="1" si="387"/>
        <v>4.151795285805437</v>
      </c>
      <c r="G880" s="359">
        <f t="shared" ca="1" si="388"/>
        <v>24.345771202854788</v>
      </c>
      <c r="H880" s="360">
        <f t="shared" ca="1" si="389"/>
        <v>-148.09295082145152</v>
      </c>
      <c r="I880" s="357">
        <f t="shared" ca="1" si="390"/>
        <v>150.08077378021014</v>
      </c>
      <c r="J880" s="359">
        <f t="shared" ca="1" si="391"/>
        <v>1639.686638649626</v>
      </c>
      <c r="K880" s="360">
        <f t="shared" ca="1" si="392"/>
        <v>1047.4309161106571</v>
      </c>
      <c r="L880" s="357">
        <f t="shared" ca="1" si="377"/>
        <v>1945.6833753184303</v>
      </c>
      <c r="M880" s="359">
        <f t="shared" ca="1" si="393"/>
        <v>-1.4078585296853356</v>
      </c>
      <c r="N880" s="357">
        <f t="shared" ca="1" si="394"/>
        <v>-80.664351902463252</v>
      </c>
      <c r="O880" s="343"/>
      <c r="P880" s="363">
        <f t="shared" ca="1" si="395"/>
        <v>23</v>
      </c>
      <c r="Q880" s="357">
        <f t="shared" ca="1" si="396"/>
        <v>0</v>
      </c>
      <c r="R880" s="359">
        <f t="shared" ca="1" si="397"/>
        <v>0</v>
      </c>
      <c r="S880" s="360">
        <f t="shared" ca="1" si="398"/>
        <v>9.637999999999975</v>
      </c>
      <c r="T880" s="357">
        <f t="shared" ca="1" si="378"/>
        <v>94.548779999999766</v>
      </c>
      <c r="U880" s="364">
        <f t="shared" ca="1" si="379"/>
        <v>0</v>
      </c>
      <c r="V880" s="359">
        <f t="shared" ca="1" si="380"/>
        <v>1.1030751078504872</v>
      </c>
      <c r="W880" s="357">
        <f t="shared" ca="1" si="381"/>
        <v>56.735560195582806</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3.8304053340222026</v>
      </c>
      <c r="AH880" s="357">
        <f t="shared" ca="1" si="405"/>
        <v>-5.8479571787001596</v>
      </c>
    </row>
    <row r="881" spans="1:34" x14ac:dyDescent="0.25">
      <c r="A881" s="402">
        <f t="shared" ca="1" si="383"/>
        <v>0.1</v>
      </c>
      <c r="B881" s="357">
        <f t="shared" ca="1" si="384"/>
        <v>42.700000000000273</v>
      </c>
      <c r="C881" s="342"/>
      <c r="D881" s="359">
        <f t="shared" ca="1" si="385"/>
        <v>-0.95491980682037225</v>
      </c>
      <c r="E881" s="360">
        <f t="shared" ca="1" si="386"/>
        <v>-4.0013159861907814</v>
      </c>
      <c r="F881" s="357">
        <f t="shared" ca="1" si="387"/>
        <v>4.113684657190408</v>
      </c>
      <c r="G881" s="359">
        <f t="shared" ca="1" si="388"/>
        <v>24.25027922217275</v>
      </c>
      <c r="H881" s="360">
        <f t="shared" ca="1" si="389"/>
        <v>-148.49308242007061</v>
      </c>
      <c r="I881" s="357">
        <f t="shared" ca="1" si="390"/>
        <v>150.46019928528349</v>
      </c>
      <c r="J881" s="359">
        <f t="shared" ca="1" si="391"/>
        <v>1642.1164411708774</v>
      </c>
      <c r="K881" s="360">
        <f t="shared" ca="1" si="392"/>
        <v>1032.6016144485809</v>
      </c>
      <c r="L881" s="357">
        <f t="shared" ca="1" si="377"/>
        <v>1939.7970255997207</v>
      </c>
      <c r="M881" s="359">
        <f t="shared" ca="1" si="393"/>
        <v>-1.4089161893244846</v>
      </c>
      <c r="N881" s="357">
        <f t="shared" ca="1" si="394"/>
        <v>-80.724951335947821</v>
      </c>
      <c r="O881" s="343"/>
      <c r="P881" s="363">
        <f t="shared" ca="1" si="395"/>
        <v>23</v>
      </c>
      <c r="Q881" s="357">
        <f t="shared" ca="1" si="396"/>
        <v>0</v>
      </c>
      <c r="R881" s="359">
        <f t="shared" ca="1" si="397"/>
        <v>0</v>
      </c>
      <c r="S881" s="360">
        <f t="shared" ca="1" si="398"/>
        <v>9.637999999999975</v>
      </c>
      <c r="T881" s="357">
        <f t="shared" ca="1" si="378"/>
        <v>94.548779999999766</v>
      </c>
      <c r="U881" s="364">
        <f t="shared" ca="1" si="379"/>
        <v>0</v>
      </c>
      <c r="V881" s="359">
        <f t="shared" ca="1" si="380"/>
        <v>1.1047165466367654</v>
      </c>
      <c r="W881" s="357">
        <f t="shared" ca="1" si="381"/>
        <v>57.10764709981045</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3.7934134938821007</v>
      </c>
      <c r="AH881" s="357">
        <f t="shared" ca="1" si="405"/>
        <v>-5.8866528528307693</v>
      </c>
    </row>
    <row r="882" spans="1:34" x14ac:dyDescent="0.25">
      <c r="A882" s="402">
        <f t="shared" ca="1" si="383"/>
        <v>0.1</v>
      </c>
      <c r="B882" s="357">
        <f t="shared" ca="1" si="384"/>
        <v>42.800000000000274</v>
      </c>
      <c r="C882" s="342"/>
      <c r="D882" s="359">
        <f t="shared" ca="1" si="385"/>
        <v>-0.95499798654123624</v>
      </c>
      <c r="E882" s="360">
        <f t="shared" ca="1" si="386"/>
        <v>-3.9622077569808916</v>
      </c>
      <c r="F882" s="357">
        <f t="shared" ca="1" si="387"/>
        <v>4.0756731301439473</v>
      </c>
      <c r="G882" s="359">
        <f t="shared" ca="1" si="388"/>
        <v>24.154779423518626</v>
      </c>
      <c r="H882" s="360">
        <f t="shared" ca="1" si="389"/>
        <v>-148.88930319576869</v>
      </c>
      <c r="I882" s="357">
        <f t="shared" ca="1" si="390"/>
        <v>150.83593065022794</v>
      </c>
      <c r="J882" s="359">
        <f t="shared" ca="1" si="391"/>
        <v>1644.5366941031618</v>
      </c>
      <c r="K882" s="360">
        <f t="shared" ca="1" si="392"/>
        <v>1017.7324951677889</v>
      </c>
      <c r="L882" s="357">
        <f t="shared" ca="1" si="377"/>
        <v>1933.9804471535408</v>
      </c>
      <c r="M882" s="359">
        <f t="shared" ca="1" si="393"/>
        <v>-1.4099644260961999</v>
      </c>
      <c r="N882" s="357">
        <f t="shared" ca="1" si="394"/>
        <v>-80.785010878897523</v>
      </c>
      <c r="O882" s="343"/>
      <c r="P882" s="363">
        <f t="shared" ca="1" si="395"/>
        <v>23</v>
      </c>
      <c r="Q882" s="357">
        <f t="shared" ca="1" si="396"/>
        <v>0</v>
      </c>
      <c r="R882" s="359">
        <f t="shared" ca="1" si="397"/>
        <v>0</v>
      </c>
      <c r="S882" s="360">
        <f t="shared" ca="1" si="398"/>
        <v>9.637999999999975</v>
      </c>
      <c r="T882" s="357">
        <f t="shared" ca="1" si="378"/>
        <v>94.548779999999766</v>
      </c>
      <c r="U882" s="364">
        <f t="shared" ca="1" si="379"/>
        <v>0</v>
      </c>
      <c r="V882" s="359">
        <f t="shared" ca="1" si="380"/>
        <v>1.1063647183998393</v>
      </c>
      <c r="W882" s="357">
        <f t="shared" ca="1" si="381"/>
        <v>57.478850591761102</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3.7564849566688796</v>
      </c>
      <c r="AH882" s="357">
        <f t="shared" ca="1" si="405"/>
        <v>-5.9252590890029673</v>
      </c>
    </row>
    <row r="883" spans="1:34" x14ac:dyDescent="0.25">
      <c r="A883" s="402">
        <f t="shared" ca="1" si="383"/>
        <v>0.1</v>
      </c>
      <c r="B883" s="357">
        <f t="shared" ca="1" si="384"/>
        <v>42.900000000000276</v>
      </c>
      <c r="C883" s="342"/>
      <c r="D883" s="359">
        <f t="shared" ca="1" si="385"/>
        <v>-0.95503529437683932</v>
      </c>
      <c r="E883" s="360">
        <f t="shared" ca="1" si="386"/>
        <v>-3.9231923825939026</v>
      </c>
      <c r="F883" s="357">
        <f t="shared" ca="1" si="387"/>
        <v>4.0377631040401907</v>
      </c>
      <c r="G883" s="359">
        <f t="shared" ca="1" si="388"/>
        <v>24.05927589408094</v>
      </c>
      <c r="H883" s="360">
        <f t="shared" ca="1" si="389"/>
        <v>-149.28162243402809</v>
      </c>
      <c r="I883" s="357">
        <f t="shared" ca="1" si="390"/>
        <v>151.20797450228352</v>
      </c>
      <c r="J883" s="359">
        <f t="shared" ca="1" si="391"/>
        <v>1646.9473968690418</v>
      </c>
      <c r="K883" s="360">
        <f t="shared" ca="1" si="392"/>
        <v>1002.823948886299</v>
      </c>
      <c r="L883" s="357">
        <f t="shared" ca="1" si="377"/>
        <v>1928.2353592115312</v>
      </c>
      <c r="M883" s="359">
        <f t="shared" ca="1" si="393"/>
        <v>-1.4110033713379033</v>
      </c>
      <c r="N883" s="357">
        <f t="shared" ca="1" si="394"/>
        <v>-80.844538056392324</v>
      </c>
      <c r="O883" s="343"/>
      <c r="P883" s="363">
        <f t="shared" ca="1" si="395"/>
        <v>23</v>
      </c>
      <c r="Q883" s="357">
        <f t="shared" ca="1" si="396"/>
        <v>0</v>
      </c>
      <c r="R883" s="359">
        <f t="shared" ca="1" si="397"/>
        <v>0</v>
      </c>
      <c r="S883" s="360">
        <f t="shared" ca="1" si="398"/>
        <v>9.637999999999975</v>
      </c>
      <c r="T883" s="357">
        <f t="shared" ca="1" si="378"/>
        <v>94.548779999999766</v>
      </c>
      <c r="U883" s="364">
        <f t="shared" ca="1" si="379"/>
        <v>0</v>
      </c>
      <c r="V883" s="359">
        <f t="shared" ca="1" si="380"/>
        <v>1.1080196034232952</v>
      </c>
      <c r="W883" s="357">
        <f t="shared" ca="1" si="381"/>
        <v>57.849149531404727</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3.7196224457356006</v>
      </c>
      <c r="AH883" s="357">
        <f t="shared" ca="1" si="405"/>
        <v>-5.9637736658810176</v>
      </c>
    </row>
    <row r="884" spans="1:34" x14ac:dyDescent="0.25">
      <c r="A884" s="402">
        <f t="shared" ca="1" si="383"/>
        <v>0.1</v>
      </c>
      <c r="B884" s="357">
        <f t="shared" ca="1" si="384"/>
        <v>43.000000000000277</v>
      </c>
      <c r="C884" s="342"/>
      <c r="D884" s="359">
        <f t="shared" ca="1" si="385"/>
        <v>-0.95503197682337826</v>
      </c>
      <c r="E884" s="360">
        <f t="shared" ca="1" si="386"/>
        <v>-3.8842720768397765</v>
      </c>
      <c r="F884" s="357">
        <f t="shared" ca="1" si="387"/>
        <v>3.9999569552274385</v>
      </c>
      <c r="G884" s="359">
        <f t="shared" ca="1" si="388"/>
        <v>23.963772696398603</v>
      </c>
      <c r="H884" s="360">
        <f t="shared" ca="1" si="389"/>
        <v>-149.67004964171207</v>
      </c>
      <c r="I884" s="357">
        <f t="shared" ca="1" si="390"/>
        <v>151.57633773645944</v>
      </c>
      <c r="J884" s="359">
        <f t="shared" ca="1" si="391"/>
        <v>1649.3485492985658</v>
      </c>
      <c r="K884" s="360">
        <f t="shared" ca="1" si="392"/>
        <v>987.87636528251198</v>
      </c>
      <c r="L884" s="357">
        <f t="shared" ca="1" si="377"/>
        <v>1922.5634840381917</v>
      </c>
      <c r="M884" s="359">
        <f t="shared" ca="1" si="393"/>
        <v>-1.4120331538939244</v>
      </c>
      <c r="N884" s="357">
        <f t="shared" ca="1" si="394"/>
        <v>-80.903540250668527</v>
      </c>
      <c r="O884" s="343"/>
      <c r="P884" s="363">
        <f t="shared" ca="1" si="395"/>
        <v>23</v>
      </c>
      <c r="Q884" s="357">
        <f t="shared" ca="1" si="396"/>
        <v>0</v>
      </c>
      <c r="R884" s="359">
        <f t="shared" ca="1" si="397"/>
        <v>0</v>
      </c>
      <c r="S884" s="360">
        <f t="shared" ca="1" si="398"/>
        <v>9.637999999999975</v>
      </c>
      <c r="T884" s="357">
        <f t="shared" ca="1" si="378"/>
        <v>94.548779999999766</v>
      </c>
      <c r="U884" s="364">
        <f t="shared" ca="1" si="379"/>
        <v>0</v>
      </c>
      <c r="V884" s="359">
        <f t="shared" ca="1" si="380"/>
        <v>1.1096811819920127</v>
      </c>
      <c r="W884" s="357">
        <f t="shared" ca="1" si="381"/>
        <v>58.218523049129828</v>
      </c>
      <c r="X884" s="343"/>
      <c r="Y884" s="367" t="str">
        <f t="shared" ca="1" si="399"/>
        <v/>
      </c>
      <c r="Z884" s="368" t="str">
        <f t="shared" ca="1" si="400"/>
        <v/>
      </c>
      <c r="AA884" s="369" t="str">
        <f t="shared" ca="1" si="401"/>
        <v/>
      </c>
      <c r="AB884" s="344"/>
      <c r="AC884" s="363">
        <f t="shared" ca="1" si="402"/>
        <v>43.000000000000277</v>
      </c>
      <c r="AD884" s="376">
        <f t="shared" ca="1" si="403"/>
        <v>1649.3485492985658</v>
      </c>
      <c r="AE884" s="377" t="e">
        <f t="shared" ca="1" si="382"/>
        <v>#N/A</v>
      </c>
      <c r="AF884" s="344"/>
      <c r="AG884" s="359">
        <f t="shared" ca="1" si="404"/>
        <v>3.682828644592159</v>
      </c>
      <c r="AH884" s="357">
        <f t="shared" ca="1" si="405"/>
        <v>-6.0021943900606844</v>
      </c>
    </row>
    <row r="885" spans="1:34" x14ac:dyDescent="0.25">
      <c r="A885" s="402">
        <f t="shared" ca="1" si="383"/>
        <v>0.1</v>
      </c>
      <c r="B885" s="357">
        <f t="shared" ca="1" si="384"/>
        <v>43.100000000000279</v>
      </c>
      <c r="C885" s="342"/>
      <c r="D885" s="359">
        <f t="shared" ca="1" si="385"/>
        <v>-0.95498828346912978</v>
      </c>
      <c r="E885" s="360">
        <f t="shared" ca="1" si="386"/>
        <v>-3.8454490252881266</v>
      </c>
      <c r="F885" s="357">
        <f t="shared" ca="1" si="387"/>
        <v>3.9622570370500596</v>
      </c>
      <c r="G885" s="359">
        <f t="shared" ca="1" si="388"/>
        <v>23.868273868051691</v>
      </c>
      <c r="H885" s="360">
        <f t="shared" ca="1" si="389"/>
        <v>-150.05459454424087</v>
      </c>
      <c r="I885" s="357">
        <f t="shared" ca="1" si="390"/>
        <v>151.94102751158701</v>
      </c>
      <c r="J885" s="359">
        <f t="shared" ca="1" si="391"/>
        <v>1651.7401516267882</v>
      </c>
      <c r="K885" s="360">
        <f t="shared" ca="1" si="392"/>
        <v>972.89013307321432</v>
      </c>
      <c r="L885" s="357">
        <f t="shared" ca="1" si="377"/>
        <v>1916.9665462723397</v>
      </c>
      <c r="M885" s="359">
        <f t="shared" ca="1" si="393"/>
        <v>-1.4130539001731008</v>
      </c>
      <c r="N885" s="357">
        <f t="shared" ca="1" si="394"/>
        <v>-80.962024704419022</v>
      </c>
      <c r="O885" s="343"/>
      <c r="P885" s="363">
        <f t="shared" ca="1" si="395"/>
        <v>23</v>
      </c>
      <c r="Q885" s="357">
        <f t="shared" ca="1" si="396"/>
        <v>0</v>
      </c>
      <c r="R885" s="359">
        <f t="shared" ca="1" si="397"/>
        <v>0</v>
      </c>
      <c r="S885" s="360">
        <f t="shared" ca="1" si="398"/>
        <v>9.637999999999975</v>
      </c>
      <c r="T885" s="357">
        <f t="shared" ca="1" si="378"/>
        <v>94.548779999999766</v>
      </c>
      <c r="U885" s="364">
        <f t="shared" ca="1" si="379"/>
        <v>0</v>
      </c>
      <c r="V885" s="359">
        <f t="shared" ca="1" si="380"/>
        <v>1.1113494343933752</v>
      </c>
      <c r="W885" s="357">
        <f t="shared" ca="1" si="381"/>
        <v>58.586950546890051</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3.6461061971141309</v>
      </c>
      <c r="AH885" s="357">
        <f t="shared" ca="1" si="405"/>
        <v>-6.0405190961952666</v>
      </c>
    </row>
    <row r="886" spans="1:34" x14ac:dyDescent="0.25">
      <c r="A886" s="402">
        <f t="shared" ca="1" si="383"/>
        <v>0.1</v>
      </c>
      <c r="B886" s="357">
        <f t="shared" ca="1" si="384"/>
        <v>43.20000000000028</v>
      </c>
      <c r="C886" s="342"/>
      <c r="D886" s="359">
        <f t="shared" ca="1" si="385"/>
        <v>-0.95490446692216202</v>
      </c>
      <c r="E886" s="360">
        <f t="shared" ca="1" si="386"/>
        <v>-3.806725385144671</v>
      </c>
      <c r="F886" s="357">
        <f t="shared" ca="1" si="387"/>
        <v>3.9246656798831592</v>
      </c>
      <c r="G886" s="359">
        <f t="shared" ca="1" si="388"/>
        <v>23.772783421359474</v>
      </c>
      <c r="H886" s="360">
        <f t="shared" ca="1" si="389"/>
        <v>-150.43526708275533</v>
      </c>
      <c r="I886" s="357">
        <f t="shared" ca="1" si="390"/>
        <v>152.30205124639258</v>
      </c>
      <c r="J886" s="359">
        <f t="shared" ca="1" si="391"/>
        <v>1654.1222044912588</v>
      </c>
      <c r="K886" s="360">
        <f t="shared" ca="1" si="392"/>
        <v>957.86563999186455</v>
      </c>
      <c r="L886" s="357">
        <f t="shared" ca="1" si="377"/>
        <v>1911.4462722420544</v>
      </c>
      <c r="M886" s="359">
        <f t="shared" ca="1" si="393"/>
        <v>-1.4140657342048168</v>
      </c>
      <c r="N886" s="357">
        <f t="shared" ca="1" si="394"/>
        <v>-81.019998524004052</v>
      </c>
      <c r="O886" s="343"/>
      <c r="P886" s="363">
        <f t="shared" ca="1" si="395"/>
        <v>23</v>
      </c>
      <c r="Q886" s="357">
        <f t="shared" ca="1" si="396"/>
        <v>0</v>
      </c>
      <c r="R886" s="359">
        <f t="shared" ca="1" si="397"/>
        <v>0</v>
      </c>
      <c r="S886" s="360">
        <f t="shared" ca="1" si="398"/>
        <v>9.637999999999975</v>
      </c>
      <c r="T886" s="357">
        <f t="shared" ca="1" si="378"/>
        <v>94.548779999999766</v>
      </c>
      <c r="U886" s="364">
        <f t="shared" ca="1" si="379"/>
        <v>0</v>
      </c>
      <c r="V886" s="359">
        <f t="shared" ca="1" si="380"/>
        <v>1.1130243409184781</v>
      </c>
      <c r="W886" s="357">
        <f t="shared" ca="1" si="381"/>
        <v>58.954411699282787</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3.6094577077478682</v>
      </c>
      <c r="AH886" s="357">
        <f t="shared" ca="1" si="405"/>
        <v>-6.0787456471145678</v>
      </c>
    </row>
    <row r="887" spans="1:34" x14ac:dyDescent="0.25">
      <c r="A887" s="402">
        <f t="shared" ca="1" si="383"/>
        <v>0.1</v>
      </c>
      <c r="B887" s="357">
        <f t="shared" ca="1" si="384"/>
        <v>43.300000000000281</v>
      </c>
      <c r="C887" s="342"/>
      <c r="D887" s="359">
        <f t="shared" ca="1" si="385"/>
        <v>-0.95478078273825095</v>
      </c>
      <c r="E887" s="360">
        <f t="shared" ca="1" si="386"/>
        <v>-3.768103285134913</v>
      </c>
      <c r="F887" s="357">
        <f t="shared" ca="1" si="387"/>
        <v>3.8871851911802184</v>
      </c>
      <c r="G887" s="359">
        <f t="shared" ca="1" si="388"/>
        <v>23.677305343085649</v>
      </c>
      <c r="H887" s="360">
        <f t="shared" ca="1" si="389"/>
        <v>-150.81207741126883</v>
      </c>
      <c r="I887" s="357">
        <f t="shared" ca="1" si="390"/>
        <v>152.65941661558992</v>
      </c>
      <c r="J887" s="359">
        <f t="shared" ca="1" si="391"/>
        <v>1656.494708929481</v>
      </c>
      <c r="K887" s="360">
        <f t="shared" ca="1" si="392"/>
        <v>942.80327276716332</v>
      </c>
      <c r="L887" s="357">
        <f t="shared" ca="1" si="377"/>
        <v>1906.0043892530364</v>
      </c>
      <c r="M887" s="359">
        <f t="shared" ca="1" si="393"/>
        <v>-1.4150687776935267</v>
      </c>
      <c r="N887" s="357">
        <f t="shared" ca="1" si="394"/>
        <v>-81.077468682575216</v>
      </c>
      <c r="O887" s="343"/>
      <c r="P887" s="363">
        <f t="shared" ca="1" si="395"/>
        <v>23</v>
      </c>
      <c r="Q887" s="357">
        <f t="shared" ca="1" si="396"/>
        <v>0</v>
      </c>
      <c r="R887" s="359">
        <f t="shared" ca="1" si="397"/>
        <v>0</v>
      </c>
      <c r="S887" s="360">
        <f t="shared" ca="1" si="398"/>
        <v>9.637999999999975</v>
      </c>
      <c r="T887" s="357">
        <f t="shared" ca="1" si="378"/>
        <v>94.548779999999766</v>
      </c>
      <c r="U887" s="364">
        <f t="shared" ca="1" si="379"/>
        <v>0</v>
      </c>
      <c r="V887" s="359">
        <f t="shared" ca="1" si="380"/>
        <v>1.1147058818633333</v>
      </c>
      <c r="W887" s="357">
        <f t="shared" ca="1" si="381"/>
        <v>59.320886454559904</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3.572885741712259</v>
      </c>
      <c r="AH887" s="357">
        <f t="shared" ca="1" si="405"/>
        <v>-6.1168719339368067</v>
      </c>
    </row>
    <row r="888" spans="1:34" x14ac:dyDescent="0.25">
      <c r="A888" s="402">
        <f t="shared" ca="1" si="383"/>
        <v>0.1</v>
      </c>
      <c r="B888" s="357">
        <f t="shared" ca="1" si="384"/>
        <v>43.400000000000283</v>
      </c>
      <c r="C888" s="342"/>
      <c r="D888" s="359">
        <f t="shared" ca="1" si="385"/>
        <v>-0.95461748934900492</v>
      </c>
      <c r="E888" s="360">
        <f t="shared" ca="1" si="386"/>
        <v>-3.7295848253950306</v>
      </c>
      <c r="F888" s="357">
        <f t="shared" ca="1" si="387"/>
        <v>3.8498178555339311</v>
      </c>
      <c r="G888" s="359">
        <f t="shared" ca="1" si="388"/>
        <v>23.581843594150747</v>
      </c>
      <c r="H888" s="360">
        <f t="shared" ca="1" si="389"/>
        <v>-151.18503589380833</v>
      </c>
      <c r="I888" s="357">
        <f t="shared" ca="1" si="390"/>
        <v>153.01313154599217</v>
      </c>
      <c r="J888" s="359">
        <f t="shared" ca="1" si="391"/>
        <v>1658.8576663763429</v>
      </c>
      <c r="K888" s="360">
        <f t="shared" ca="1" si="392"/>
        <v>927.70341710190951</v>
      </c>
      <c r="L888" s="357">
        <f t="shared" ca="1" si="377"/>
        <v>1900.6426248503756</v>
      </c>
      <c r="M888" s="359">
        <f t="shared" ca="1" si="393"/>
        <v>-1.4160631500718113</v>
      </c>
      <c r="N888" s="357">
        <f t="shared" ca="1" si="394"/>
        <v>-81.134442023115298</v>
      </c>
      <c r="O888" s="343"/>
      <c r="P888" s="363">
        <f t="shared" ca="1" si="395"/>
        <v>23</v>
      </c>
      <c r="Q888" s="357">
        <f t="shared" ca="1" si="396"/>
        <v>0</v>
      </c>
      <c r="R888" s="359">
        <f t="shared" ca="1" si="397"/>
        <v>0</v>
      </c>
      <c r="S888" s="360">
        <f t="shared" ca="1" si="398"/>
        <v>9.637999999999975</v>
      </c>
      <c r="T888" s="357">
        <f t="shared" ca="1" si="378"/>
        <v>94.548779999999766</v>
      </c>
      <c r="U888" s="364">
        <f t="shared" ca="1" si="379"/>
        <v>0</v>
      </c>
      <c r="V888" s="359">
        <f t="shared" ca="1" si="380"/>
        <v>1.1163940375300658</v>
      </c>
      <c r="W888" s="357">
        <f t="shared" ca="1" si="381"/>
        <v>59.686355035570791</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3.5363928251974652</v>
      </c>
      <c r="AH888" s="357">
        <f t="shared" ca="1" si="405"/>
        <v>-6.1548958761734855</v>
      </c>
    </row>
    <row r="889" spans="1:34" x14ac:dyDescent="0.25">
      <c r="A889" s="402">
        <f t="shared" ca="1" si="383"/>
        <v>0.1</v>
      </c>
      <c r="B889" s="357">
        <f t="shared" ca="1" si="384"/>
        <v>43.500000000000284</v>
      </c>
      <c r="C889" s="342"/>
      <c r="D889" s="359">
        <f t="shared" ca="1" si="385"/>
        <v>-0.95441484799021403</v>
      </c>
      <c r="E889" s="360">
        <f t="shared" ca="1" si="386"/>
        <v>-3.6911720773699548</v>
      </c>
      <c r="F889" s="357">
        <f t="shared" ca="1" si="387"/>
        <v>3.8125659347504812</v>
      </c>
      <c r="G889" s="359">
        <f t="shared" ca="1" si="388"/>
        <v>23.486402109351726</v>
      </c>
      <c r="H889" s="360">
        <f t="shared" ca="1" si="389"/>
        <v>-151.55415310154532</v>
      </c>
      <c r="I889" s="357">
        <f t="shared" ca="1" si="390"/>
        <v>153.36320421264287</v>
      </c>
      <c r="J889" s="359">
        <f t="shared" ca="1" si="391"/>
        <v>1661.2110786615181</v>
      </c>
      <c r="K889" s="360">
        <f t="shared" ca="1" si="392"/>
        <v>912.56645765214182</v>
      </c>
      <c r="L889" s="357">
        <f t="shared" ca="1" si="377"/>
        <v>1895.3627060537892</v>
      </c>
      <c r="M889" s="359">
        <f t="shared" ca="1" si="393"/>
        <v>-1.4170489685520127</v>
      </c>
      <c r="N889" s="357">
        <f t="shared" ca="1" si="394"/>
        <v>-81.190925261396842</v>
      </c>
      <c r="O889" s="343"/>
      <c r="P889" s="363">
        <f t="shared" ca="1" si="395"/>
        <v>23</v>
      </c>
      <c r="Q889" s="357">
        <f t="shared" ca="1" si="396"/>
        <v>0</v>
      </c>
      <c r="R889" s="359">
        <f t="shared" ca="1" si="397"/>
        <v>0</v>
      </c>
      <c r="S889" s="360">
        <f t="shared" ca="1" si="398"/>
        <v>9.637999999999975</v>
      </c>
      <c r="T889" s="357">
        <f t="shared" ca="1" si="378"/>
        <v>94.548779999999766</v>
      </c>
      <c r="U889" s="364">
        <f t="shared" ca="1" si="379"/>
        <v>0</v>
      </c>
      <c r="V889" s="359">
        <f t="shared" ca="1" si="380"/>
        <v>1.1180887882281112</v>
      </c>
      <c r="W889" s="357">
        <f t="shared" ca="1" si="381"/>
        <v>60.050797940638525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3.4999814455610139</v>
      </c>
      <c r="AH889" s="357">
        <f t="shared" ca="1" si="405"/>
        <v>-6.1928154218272411</v>
      </c>
    </row>
    <row r="890" spans="1:34" x14ac:dyDescent="0.25">
      <c r="A890" s="402">
        <f t="shared" ca="1" si="383"/>
        <v>0.1</v>
      </c>
      <c r="B890" s="357">
        <f t="shared" ca="1" si="384"/>
        <v>43.600000000000286</v>
      </c>
      <c r="C890" s="342"/>
      <c r="D890" s="359">
        <f t="shared" ca="1" si="385"/>
        <v>-0.95417312263043064</v>
      </c>
      <c r="E890" s="360">
        <f t="shared" ca="1" si="386"/>
        <v>-3.6528670837185429</v>
      </c>
      <c r="F890" s="357">
        <f t="shared" ca="1" si="387"/>
        <v>3.7754316679374185</v>
      </c>
      <c r="G890" s="359">
        <f t="shared" ca="1" si="388"/>
        <v>23.390984797088684</v>
      </c>
      <c r="H890" s="360">
        <f t="shared" ca="1" si="389"/>
        <v>-151.91943980991718</v>
      </c>
      <c r="I890" s="357">
        <f t="shared" ca="1" si="390"/>
        <v>153.70964303496604</v>
      </c>
      <c r="J890" s="359">
        <f t="shared" ca="1" si="391"/>
        <v>1663.55494800684</v>
      </c>
      <c r="K890" s="360">
        <f t="shared" ca="1" si="392"/>
        <v>897.39277800656873</v>
      </c>
      <c r="L890" s="357">
        <f t="shared" ca="1" si="377"/>
        <v>1890.1663585664587</v>
      </c>
      <c r="M890" s="359">
        <f t="shared" ca="1" si="393"/>
        <v>-1.4180263481764896</v>
      </c>
      <c r="N890" s="357">
        <f t="shared" ca="1" si="394"/>
        <v>-81.246924988861451</v>
      </c>
      <c r="O890" s="343"/>
      <c r="P890" s="363">
        <f t="shared" ca="1" si="395"/>
        <v>23</v>
      </c>
      <c r="Q890" s="357">
        <f t="shared" ca="1" si="396"/>
        <v>0</v>
      </c>
      <c r="R890" s="359">
        <f t="shared" ca="1" si="397"/>
        <v>0</v>
      </c>
      <c r="S890" s="360">
        <f t="shared" ca="1" si="398"/>
        <v>9.637999999999975</v>
      </c>
      <c r="T890" s="357">
        <f t="shared" ca="1" si="378"/>
        <v>94.548779999999766</v>
      </c>
      <c r="U890" s="364">
        <f t="shared" ca="1" si="379"/>
        <v>0</v>
      </c>
      <c r="V890" s="359">
        <f t="shared" ca="1" si="380"/>
        <v>1.119790114275403</v>
      </c>
      <c r="W890" s="357">
        <f t="shared" ca="1" si="381"/>
        <v>60.414195944368771</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3.4636540515215106</v>
      </c>
      <c r="AH890" s="357">
        <f t="shared" ca="1" si="405"/>
        <v>-6.230628547482743</v>
      </c>
    </row>
    <row r="891" spans="1:34" x14ac:dyDescent="0.25">
      <c r="A891" s="402">
        <f t="shared" ca="1" si="383"/>
        <v>0.1</v>
      </c>
      <c r="B891" s="357">
        <f t="shared" ca="1" si="384"/>
        <v>43.700000000000287</v>
      </c>
      <c r="C891" s="342"/>
      <c r="D891" s="359">
        <f t="shared" ca="1" si="385"/>
        <v>-0.95389257989979737</v>
      </c>
      <c r="E891" s="360">
        <f t="shared" ca="1" si="386"/>
        <v>-3.6146718582258908</v>
      </c>
      <c r="F891" s="357">
        <f t="shared" ca="1" si="387"/>
        <v>3.7384172716054724</v>
      </c>
      <c r="G891" s="359">
        <f t="shared" ca="1" si="388"/>
        <v>23.295595539098706</v>
      </c>
      <c r="H891" s="360">
        <f t="shared" ca="1" si="389"/>
        <v>-152.28090699573977</v>
      </c>
      <c r="I891" s="357">
        <f t="shared" ca="1" si="390"/>
        <v>154.05245667293468</v>
      </c>
      <c r="J891" s="359">
        <f t="shared" ca="1" si="391"/>
        <v>1665.8892770236494</v>
      </c>
      <c r="K891" s="360">
        <f t="shared" ca="1" si="392"/>
        <v>882.18276066628584</v>
      </c>
      <c r="L891" s="357">
        <f t="shared" ca="1" si="377"/>
        <v>1885.0553059576705</v>
      </c>
      <c r="M891" s="359">
        <f t="shared" ca="1" si="393"/>
        <v>-1.4189954018665365</v>
      </c>
      <c r="N891" s="357">
        <f t="shared" ca="1" si="394"/>
        <v>-81.302447675422727</v>
      </c>
      <c r="O891" s="343"/>
      <c r="P891" s="363">
        <f t="shared" ca="1" si="395"/>
        <v>23</v>
      </c>
      <c r="Q891" s="357">
        <f t="shared" ca="1" si="396"/>
        <v>0</v>
      </c>
      <c r="R891" s="359">
        <f t="shared" ca="1" si="397"/>
        <v>0</v>
      </c>
      <c r="S891" s="360">
        <f t="shared" ca="1" si="398"/>
        <v>9.637999999999975</v>
      </c>
      <c r="T891" s="357">
        <f t="shared" ca="1" si="378"/>
        <v>94.548779999999766</v>
      </c>
      <c r="U891" s="364">
        <f t="shared" ca="1" si="379"/>
        <v>0</v>
      </c>
      <c r="V891" s="359">
        <f t="shared" ca="1" si="380"/>
        <v>1.1214979959995601</v>
      </c>
      <c r="W891" s="357">
        <f t="shared" ca="1" si="381"/>
        <v>60.776530098392236</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3.4274130533503016</v>
      </c>
      <c r="AH891" s="357">
        <f t="shared" ca="1" si="405"/>
        <v>-6.2683332583906335</v>
      </c>
    </row>
    <row r="892" spans="1:34" x14ac:dyDescent="0.25">
      <c r="A892" s="402">
        <f t="shared" ca="1" si="383"/>
        <v>0.1</v>
      </c>
      <c r="B892" s="357">
        <f t="shared" ca="1" si="384"/>
        <v>43.800000000000288</v>
      </c>
      <c r="C892" s="342"/>
      <c r="D892" s="359">
        <f t="shared" ca="1" si="385"/>
        <v>-0.95357348901912553</v>
      </c>
      <c r="E892" s="360">
        <f t="shared" ca="1" si="386"/>
        <v>-3.5765883857226948</v>
      </c>
      <c r="F892" s="357">
        <f t="shared" ca="1" si="387"/>
        <v>3.7015249397844912</v>
      </c>
      <c r="G892" s="359">
        <f t="shared" ca="1" si="388"/>
        <v>23.200238190196792</v>
      </c>
      <c r="H892" s="360">
        <f t="shared" ca="1" si="389"/>
        <v>-152.63856583431203</v>
      </c>
      <c r="I892" s="357">
        <f t="shared" ca="1" si="390"/>
        <v>154.39165402325824</v>
      </c>
      <c r="J892" s="359">
        <f t="shared" ca="1" si="391"/>
        <v>1668.2140687101141</v>
      </c>
      <c r="K892" s="360">
        <f t="shared" ca="1" si="392"/>
        <v>866.93678702478326</v>
      </c>
      <c r="L892" s="357">
        <f t="shared" ca="1" si="377"/>
        <v>1880.0312688195395</v>
      </c>
      <c r="M892" s="359">
        <f t="shared" ca="1" si="393"/>
        <v>-1.4199562404700083</v>
      </c>
      <c r="N892" s="357">
        <f t="shared" ca="1" si="394"/>
        <v>-81.357499672194905</v>
      </c>
      <c r="O892" s="343"/>
      <c r="P892" s="363">
        <f t="shared" ca="1" si="395"/>
        <v>23</v>
      </c>
      <c r="Q892" s="357">
        <f t="shared" ca="1" si="396"/>
        <v>0</v>
      </c>
      <c r="R892" s="359">
        <f t="shared" ca="1" si="397"/>
        <v>0</v>
      </c>
      <c r="S892" s="360">
        <f t="shared" ca="1" si="398"/>
        <v>9.637999999999975</v>
      </c>
      <c r="T892" s="357">
        <f t="shared" ca="1" si="378"/>
        <v>94.548779999999766</v>
      </c>
      <c r="U892" s="364">
        <f t="shared" ca="1" si="379"/>
        <v>0</v>
      </c>
      <c r="V892" s="359">
        <f t="shared" ca="1" si="380"/>
        <v>1.1232124137390671</v>
      </c>
      <c r="W892" s="357">
        <f t="shared" ca="1" si="381"/>
        <v>61.137781732041034</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3.3912608230613799</v>
      </c>
      <c r="AH892" s="357">
        <f t="shared" ca="1" si="405"/>
        <v>-6.3059275885445523</v>
      </c>
    </row>
    <row r="893" spans="1:34" x14ac:dyDescent="0.25">
      <c r="A893" s="402">
        <f t="shared" ca="1" si="383"/>
        <v>0.1</v>
      </c>
      <c r="B893" s="357">
        <f t="shared" ca="1" si="384"/>
        <v>43.90000000000029</v>
      </c>
      <c r="C893" s="342"/>
      <c r="D893" s="359">
        <f t="shared" ca="1" si="385"/>
        <v>-0.9532161217292322</v>
      </c>
      <c r="E893" s="360">
        <f t="shared" ca="1" si="386"/>
        <v>-3.5386186220116187</v>
      </c>
      <c r="F893" s="357">
        <f t="shared" ca="1" si="387"/>
        <v>3.6647568441537737</v>
      </c>
      <c r="G893" s="359">
        <f t="shared" ca="1" si="388"/>
        <v>23.104916578023868</v>
      </c>
      <c r="H893" s="360">
        <f t="shared" ca="1" si="389"/>
        <v>-152.9924276965132</v>
      </c>
      <c r="I893" s="357">
        <f t="shared" ca="1" si="390"/>
        <v>154.72724421558817</v>
      </c>
      <c r="J893" s="359">
        <f t="shared" ca="1" si="391"/>
        <v>1670.5293264485251</v>
      </c>
      <c r="K893" s="360">
        <f t="shared" ca="1" si="392"/>
        <v>851.65523734824205</v>
      </c>
      <c r="L893" s="357">
        <f t="shared" ca="1" si="377"/>
        <v>1875.0959638981824</v>
      </c>
      <c r="M893" s="359">
        <f t="shared" ca="1" si="393"/>
        <v>-1.4209089728076871</v>
      </c>
      <c r="N893" s="357">
        <f t="shared" ca="1" si="394"/>
        <v>-81.412087214149523</v>
      </c>
      <c r="O893" s="343"/>
      <c r="P893" s="363">
        <f t="shared" ca="1" si="395"/>
        <v>23</v>
      </c>
      <c r="Q893" s="357">
        <f t="shared" ca="1" si="396"/>
        <v>0</v>
      </c>
      <c r="R893" s="359">
        <f t="shared" ca="1" si="397"/>
        <v>0</v>
      </c>
      <c r="S893" s="360">
        <f t="shared" ca="1" si="398"/>
        <v>9.637999999999975</v>
      </c>
      <c r="T893" s="357">
        <f t="shared" ca="1" si="378"/>
        <v>94.548779999999766</v>
      </c>
      <c r="U893" s="364">
        <f t="shared" ca="1" si="379"/>
        <v>0</v>
      </c>
      <c r="V893" s="359">
        <f t="shared" ca="1" si="380"/>
        <v>1.1249333478444496</v>
      </c>
      <c r="W893" s="357">
        <f t="shared" ca="1" si="381"/>
        <v>61.497932452959049</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3.3551996945997686</v>
      </c>
      <c r="AH893" s="357">
        <f t="shared" ca="1" si="405"/>
        <v>-6.3434096007513165</v>
      </c>
    </row>
    <row r="894" spans="1:34" x14ac:dyDescent="0.25">
      <c r="A894" s="402">
        <f t="shared" ca="1" si="383"/>
        <v>0.1</v>
      </c>
      <c r="B894" s="357">
        <f t="shared" ca="1" si="384"/>
        <v>44.000000000000291</v>
      </c>
      <c r="C894" s="342"/>
      <c r="D894" s="359">
        <f t="shared" ca="1" si="385"/>
        <v>-0.95282075222056584</v>
      </c>
      <c r="E894" s="360">
        <f t="shared" ca="1" si="386"/>
        <v>-3.5007644938006504</v>
      </c>
      <c r="F894" s="357">
        <f t="shared" ca="1" si="387"/>
        <v>3.6281151341871012</v>
      </c>
      <c r="G894" s="359">
        <f t="shared" ca="1" si="388"/>
        <v>23.009634502801813</v>
      </c>
      <c r="H894" s="360">
        <f t="shared" ca="1" si="389"/>
        <v>-153.34250414589326</v>
      </c>
      <c r="I894" s="357">
        <f t="shared" ca="1" si="390"/>
        <v>155.05923660874194</v>
      </c>
      <c r="J894" s="359">
        <f t="shared" ca="1" si="391"/>
        <v>1672.8350540025665</v>
      </c>
      <c r="K894" s="360">
        <f t="shared" ca="1" si="392"/>
        <v>836.3384907561217</v>
      </c>
      <c r="L894" s="357">
        <f t="shared" ca="1" si="377"/>
        <v>1870.2511031997806</v>
      </c>
      <c r="M894" s="359">
        <f t="shared" ca="1" si="393"/>
        <v>-1.4218537057184324</v>
      </c>
      <c r="N894" s="357">
        <f t="shared" ca="1" si="394"/>
        <v>-81.466216422702345</v>
      </c>
      <c r="O894" s="343"/>
      <c r="P894" s="363">
        <f t="shared" ca="1" si="395"/>
        <v>23</v>
      </c>
      <c r="Q894" s="357">
        <f t="shared" ca="1" si="396"/>
        <v>0</v>
      </c>
      <c r="R894" s="359">
        <f t="shared" ca="1" si="397"/>
        <v>0</v>
      </c>
      <c r="S894" s="360">
        <f t="shared" ca="1" si="398"/>
        <v>9.637999999999975</v>
      </c>
      <c r="T894" s="357">
        <f t="shared" ca="1" si="378"/>
        <v>94.548779999999766</v>
      </c>
      <c r="U894" s="364">
        <f t="shared" ca="1" si="379"/>
        <v>0</v>
      </c>
      <c r="V894" s="359">
        <f t="shared" ca="1" si="380"/>
        <v>1.1266607786794434</v>
      </c>
      <c r="W894" s="357">
        <f t="shared" ca="1" si="381"/>
        <v>61.856964147646671</v>
      </c>
      <c r="X894" s="343"/>
      <c r="Y894" s="367" t="str">
        <f t="shared" ca="1" si="399"/>
        <v/>
      </c>
      <c r="Z894" s="368" t="str">
        <f t="shared" ca="1" si="400"/>
        <v/>
      </c>
      <c r="AA894" s="369" t="str">
        <f t="shared" ca="1" si="401"/>
        <v/>
      </c>
      <c r="AB894" s="344"/>
      <c r="AC894" s="363">
        <f t="shared" ca="1" si="402"/>
        <v>44.000000000000291</v>
      </c>
      <c r="AD894" s="376">
        <f t="shared" ca="1" si="403"/>
        <v>1672.8350540025665</v>
      </c>
      <c r="AE894" s="377" t="e">
        <f t="shared" ca="1" si="382"/>
        <v>#N/A</v>
      </c>
      <c r="AF894" s="344"/>
      <c r="AG894" s="359">
        <f t="shared" ca="1" si="404"/>
        <v>3.3192319640286714</v>
      </c>
      <c r="AH894" s="357">
        <f t="shared" ca="1" si="405"/>
        <v>-6.3807773866942528</v>
      </c>
    </row>
    <row r="895" spans="1:34" x14ac:dyDescent="0.25">
      <c r="A895" s="402">
        <f t="shared" ca="1" si="383"/>
        <v>0.1</v>
      </c>
      <c r="B895" s="357">
        <f t="shared" ca="1" si="384"/>
        <v>44.100000000000293</v>
      </c>
      <c r="C895" s="342"/>
      <c r="D895" s="359">
        <f t="shared" ca="1" si="385"/>
        <v>-0.95238765706309247</v>
      </c>
      <c r="E895" s="360">
        <f t="shared" ca="1" si="386"/>
        <v>-3.4630278986434266</v>
      </c>
      <c r="F895" s="357">
        <f t="shared" ca="1" si="387"/>
        <v>3.591601937312769</v>
      </c>
      <c r="G895" s="359">
        <f t="shared" ca="1" si="388"/>
        <v>22.914395737095504</v>
      </c>
      <c r="H895" s="360">
        <f t="shared" ca="1" si="389"/>
        <v>-153.68880693575761</v>
      </c>
      <c r="I895" s="357">
        <f t="shared" ca="1" si="390"/>
        <v>155.38764078694547</v>
      </c>
      <c r="J895" s="359">
        <f t="shared" ca="1" si="391"/>
        <v>1675.1312555145614</v>
      </c>
      <c r="K895" s="360">
        <f t="shared" ca="1" si="392"/>
        <v>820.98692520203917</v>
      </c>
      <c r="L895" s="357">
        <f t="shared" ca="1" si="377"/>
        <v>1865.4983930720739</v>
      </c>
      <c r="M895" s="359">
        <f t="shared" ca="1" si="393"/>
        <v>-1.4227905441031485</v>
      </c>
      <c r="N895" s="357">
        <f t="shared" ca="1" si="394"/>
        <v>-81.519893308232426</v>
      </c>
      <c r="O895" s="343"/>
      <c r="P895" s="363">
        <f t="shared" ca="1" si="395"/>
        <v>23</v>
      </c>
      <c r="Q895" s="357">
        <f t="shared" ca="1" si="396"/>
        <v>0</v>
      </c>
      <c r="R895" s="359">
        <f t="shared" ca="1" si="397"/>
        <v>0</v>
      </c>
      <c r="S895" s="360">
        <f t="shared" ca="1" si="398"/>
        <v>9.637999999999975</v>
      </c>
      <c r="T895" s="357">
        <f t="shared" ca="1" si="378"/>
        <v>94.548779999999766</v>
      </c>
      <c r="U895" s="364">
        <f t="shared" ca="1" si="379"/>
        <v>0</v>
      </c>
      <c r="V895" s="359">
        <f t="shared" ca="1" si="380"/>
        <v>1.1283946866221628</v>
      </c>
      <c r="W895" s="357">
        <f t="shared" ca="1" si="381"/>
        <v>62.214858981941227</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3.2833598897156513</v>
      </c>
      <c r="AH895" s="357">
        <f t="shared" ca="1" si="405"/>
        <v>-6.4180290669897104</v>
      </c>
    </row>
    <row r="896" spans="1:34" x14ac:dyDescent="0.25">
      <c r="A896" s="402">
        <f t="shared" ca="1" si="383"/>
        <v>0.1</v>
      </c>
      <c r="B896" s="357">
        <f t="shared" ca="1" si="384"/>
        <v>44.200000000000294</v>
      </c>
      <c r="C896" s="342"/>
      <c r="D896" s="359">
        <f t="shared" ca="1" si="385"/>
        <v>-0.95191711513650434</v>
      </c>
      <c r="E896" s="360">
        <f t="shared" ca="1" si="386"/>
        <v>-3.4254107048863558</v>
      </c>
      <c r="F896" s="357">
        <f t="shared" ca="1" si="387"/>
        <v>3.5552193590888095</v>
      </c>
      <c r="G896" s="359">
        <f t="shared" ca="1" si="388"/>
        <v>22.819204025581854</v>
      </c>
      <c r="H896" s="360">
        <f t="shared" ca="1" si="389"/>
        <v>-154.03134800624625</v>
      </c>
      <c r="I896" s="357">
        <f t="shared" ca="1" si="390"/>
        <v>155.71246655609329</v>
      </c>
      <c r="J896" s="359">
        <f t="shared" ca="1" si="391"/>
        <v>1677.4179355026952</v>
      </c>
      <c r="K896" s="360">
        <f t="shared" ca="1" si="392"/>
        <v>805.60091745493901</v>
      </c>
      <c r="L896" s="357">
        <f t="shared" ca="1" si="377"/>
        <v>1860.8395332618993</v>
      </c>
      <c r="M896" s="359">
        <f t="shared" ca="1" si="393"/>
        <v>-1.4237195909676059</v>
      </c>
      <c r="N896" s="357">
        <f t="shared" ca="1" si="394"/>
        <v>-81.573123772535695</v>
      </c>
      <c r="O896" s="343"/>
      <c r="P896" s="363">
        <f t="shared" ca="1" si="395"/>
        <v>23</v>
      </c>
      <c r="Q896" s="357">
        <f t="shared" ca="1" si="396"/>
        <v>0</v>
      </c>
      <c r="R896" s="359">
        <f t="shared" ca="1" si="397"/>
        <v>0</v>
      </c>
      <c r="S896" s="360">
        <f t="shared" ca="1" si="398"/>
        <v>9.637999999999975</v>
      </c>
      <c r="T896" s="357">
        <f t="shared" ca="1" si="378"/>
        <v>94.548779999999766</v>
      </c>
      <c r="U896" s="364">
        <f t="shared" ca="1" si="379"/>
        <v>0</v>
      </c>
      <c r="V896" s="359">
        <f t="shared" ca="1" si="380"/>
        <v>1.130135052066257</v>
      </c>
      <c r="W896" s="357">
        <f t="shared" ca="1" si="381"/>
        <v>62.571599401431868</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3.2475856925179611</v>
      </c>
      <c r="AH896" s="357">
        <f t="shared" ca="1" si="405"/>
        <v>-6.4551627912369147</v>
      </c>
    </row>
    <row r="897" spans="1:34" x14ac:dyDescent="0.25">
      <c r="A897" s="402">
        <f t="shared" ca="1" si="383"/>
        <v>0.1</v>
      </c>
      <c r="B897" s="357">
        <f t="shared" ca="1" si="384"/>
        <v>44.300000000000296</v>
      </c>
      <c r="C897" s="342"/>
      <c r="D897" s="359">
        <f t="shared" ca="1" si="385"/>
        <v>-0.95140940756071712</v>
      </c>
      <c r="E897" s="360">
        <f t="shared" ca="1" si="386"/>
        <v>-3.387914751622688</v>
      </c>
      <c r="F897" s="357">
        <f t="shared" ca="1" si="387"/>
        <v>3.5189694833939176</v>
      </c>
      <c r="G897" s="359">
        <f t="shared" ca="1" si="388"/>
        <v>22.724063084825783</v>
      </c>
      <c r="H897" s="360">
        <f t="shared" ca="1" si="389"/>
        <v>-154.37013948140853</v>
      </c>
      <c r="I897" s="357">
        <f t="shared" ca="1" si="390"/>
        <v>156.03372394002736</v>
      </c>
      <c r="J897" s="359">
        <f t="shared" ca="1" si="391"/>
        <v>1679.6950988582155</v>
      </c>
      <c r="K897" s="360">
        <f t="shared" ca="1" si="392"/>
        <v>790.18084308055631</v>
      </c>
      <c r="L897" s="357">
        <f t="shared" ca="1" si="377"/>
        <v>1856.2762159495039</v>
      </c>
      <c r="M897" s="359">
        <f t="shared" ca="1" si="393"/>
        <v>-1.4246409474641526</v>
      </c>
      <c r="N897" s="357">
        <f t="shared" ca="1" si="394"/>
        <v>-81.625913611214784</v>
      </c>
      <c r="O897" s="343"/>
      <c r="P897" s="363">
        <f t="shared" ca="1" si="395"/>
        <v>23</v>
      </c>
      <c r="Q897" s="357">
        <f t="shared" ca="1" si="396"/>
        <v>0</v>
      </c>
      <c r="R897" s="359">
        <f t="shared" ca="1" si="397"/>
        <v>0</v>
      </c>
      <c r="S897" s="360">
        <f t="shared" ca="1" si="398"/>
        <v>9.637999999999975</v>
      </c>
      <c r="T897" s="357">
        <f t="shared" ca="1" si="378"/>
        <v>94.548779999999766</v>
      </c>
      <c r="U897" s="364">
        <f t="shared" ca="1" si="379"/>
        <v>0</v>
      </c>
      <c r="V897" s="359">
        <f t="shared" ca="1" si="380"/>
        <v>1.1318818554220662</v>
      </c>
      <c r="W897" s="357">
        <f t="shared" ca="1" si="381"/>
        <v>62.92716813181125</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3.2119115559674025</v>
      </c>
      <c r="AH897" s="357">
        <f t="shared" ca="1" si="405"/>
        <v>-6.492176738061012</v>
      </c>
    </row>
    <row r="898" spans="1:34" x14ac:dyDescent="0.25">
      <c r="A898" s="402">
        <f t="shared" ca="1" si="383"/>
        <v>0.1</v>
      </c>
      <c r="B898" s="357">
        <f t="shared" ca="1" si="384"/>
        <v>44.400000000000297</v>
      </c>
      <c r="C898" s="342"/>
      <c r="D898" s="359">
        <f t="shared" ca="1" si="385"/>
        <v>-0.95086481762668207</v>
      </c>
      <c r="E898" s="360">
        <f t="shared" ca="1" si="386"/>
        <v>-3.3505418486532808</v>
      </c>
      <c r="F898" s="357">
        <f t="shared" ca="1" si="387"/>
        <v>3.4828543726342001</v>
      </c>
      <c r="G898" s="359">
        <f t="shared" ca="1" si="388"/>
        <v>22.628976603063116</v>
      </c>
      <c r="H898" s="360">
        <f t="shared" ca="1" si="389"/>
        <v>-154.70519366627386</v>
      </c>
      <c r="I898" s="357">
        <f t="shared" ca="1" si="390"/>
        <v>156.35142317683352</v>
      </c>
      <c r="J898" s="359">
        <f t="shared" ca="1" si="391"/>
        <v>1681.9627508426099</v>
      </c>
      <c r="K898" s="360">
        <f t="shared" ca="1" si="392"/>
        <v>774.72707642317221</v>
      </c>
      <c r="L898" s="357">
        <f t="shared" ca="1" si="377"/>
        <v>1851.8101247604288</v>
      </c>
      <c r="M898" s="359">
        <f t="shared" ca="1" si="393"/>
        <v>-1.4255547129323445</v>
      </c>
      <c r="N898" s="357">
        <f t="shared" ca="1" si="394"/>
        <v>-81.67826851600698</v>
      </c>
      <c r="O898" s="343"/>
      <c r="P898" s="363">
        <f t="shared" ca="1" si="395"/>
        <v>23</v>
      </c>
      <c r="Q898" s="357">
        <f t="shared" ca="1" si="396"/>
        <v>0</v>
      </c>
      <c r="R898" s="359">
        <f t="shared" ca="1" si="397"/>
        <v>0</v>
      </c>
      <c r="S898" s="360">
        <f t="shared" ca="1" si="398"/>
        <v>9.637999999999975</v>
      </c>
      <c r="T898" s="357">
        <f t="shared" ca="1" si="378"/>
        <v>94.548779999999766</v>
      </c>
      <c r="U898" s="364">
        <f t="shared" ca="1" si="379"/>
        <v>0</v>
      </c>
      <c r="V898" s="359">
        <f t="shared" ca="1" si="380"/>
        <v>1.1336350771177703</v>
      </c>
      <c r="W898" s="357">
        <f t="shared" ca="1" si="381"/>
        <v>63.281548179162982</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3.1763396264547712</v>
      </c>
      <c r="AH898" s="357">
        <f t="shared" ca="1" si="405"/>
        <v>-6.5290691151495555</v>
      </c>
    </row>
    <row r="899" spans="1:34" x14ac:dyDescent="0.25">
      <c r="A899" s="402">
        <f t="shared" ca="1" si="383"/>
        <v>0.1</v>
      </c>
      <c r="B899" s="357">
        <f t="shared" ca="1" si="384"/>
        <v>44.500000000000298</v>
      </c>
      <c r="C899" s="342"/>
      <c r="D899" s="359">
        <f t="shared" ca="1" si="385"/>
        <v>-0.95028363072753641</v>
      </c>
      <c r="E899" s="360">
        <f t="shared" ca="1" si="386"/>
        <v>-3.3132937764541541</v>
      </c>
      <c r="F899" s="357">
        <f t="shared" ca="1" si="387"/>
        <v>3.4468760679662593</v>
      </c>
      <c r="G899" s="359">
        <f t="shared" ca="1" si="388"/>
        <v>22.533948239990362</v>
      </c>
      <c r="H899" s="360">
        <f t="shared" ca="1" si="389"/>
        <v>-155.03652304391926</v>
      </c>
      <c r="I899" s="357">
        <f t="shared" ca="1" si="390"/>
        <v>156.66557471515645</v>
      </c>
      <c r="J899" s="359">
        <f t="shared" ca="1" si="391"/>
        <v>1684.2208970847626</v>
      </c>
      <c r="K899" s="360">
        <f t="shared" ca="1" si="392"/>
        <v>759.23999058766253</v>
      </c>
      <c r="L899" s="357">
        <f t="shared" ca="1" si="377"/>
        <v>1847.4429337558863</v>
      </c>
      <c r="M899" s="359">
        <f t="shared" ca="1" si="393"/>
        <v>-1.4264609849385301</v>
      </c>
      <c r="N899" s="357">
        <f t="shared" ca="1" si="394"/>
        <v>-81.730194077052261</v>
      </c>
      <c r="O899" s="343"/>
      <c r="P899" s="363">
        <f t="shared" ca="1" si="395"/>
        <v>23</v>
      </c>
      <c r="Q899" s="357">
        <f t="shared" ca="1" si="396"/>
        <v>0</v>
      </c>
      <c r="R899" s="359">
        <f t="shared" ca="1" si="397"/>
        <v>0</v>
      </c>
      <c r="S899" s="360">
        <f t="shared" ca="1" si="398"/>
        <v>9.637999999999975</v>
      </c>
      <c r="T899" s="357">
        <f t="shared" ca="1" si="378"/>
        <v>94.548779999999766</v>
      </c>
      <c r="U899" s="364">
        <f t="shared" ca="1" si="379"/>
        <v>0</v>
      </c>
      <c r="V899" s="359">
        <f t="shared" ca="1" si="380"/>
        <v>1.1353946976005302</v>
      </c>
      <c r="W899" s="357">
        <f t="shared" ca="1" si="381"/>
        <v>63.634722830186313</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3.1408720134141737</v>
      </c>
      <c r="AH899" s="357">
        <f t="shared" ca="1" si="405"/>
        <v>-6.5658381592823352</v>
      </c>
    </row>
    <row r="900" spans="1:34" x14ac:dyDescent="0.25">
      <c r="A900" s="402">
        <f t="shared" ca="1" si="383"/>
        <v>0.1</v>
      </c>
      <c r="B900" s="357">
        <f t="shared" ca="1" si="384"/>
        <v>44.6000000000003</v>
      </c>
      <c r="C900" s="342"/>
      <c r="D900" s="359">
        <f t="shared" ca="1" si="385"/>
        <v>-0.94966613429008728</v>
      </c>
      <c r="E900" s="360">
        <f t="shared" ca="1" si="386"/>
        <v>-3.2761722861506914</v>
      </c>
      <c r="F900" s="357">
        <f t="shared" ca="1" si="387"/>
        <v>3.4110365895368706</v>
      </c>
      <c r="G900" s="359">
        <f t="shared" ca="1" si="388"/>
        <v>22.438981626561354</v>
      </c>
      <c r="H900" s="360">
        <f t="shared" ca="1" si="389"/>
        <v>-155.36414027253434</v>
      </c>
      <c r="I900" s="357">
        <f t="shared" ca="1" si="390"/>
        <v>156.97618921053245</v>
      </c>
      <c r="J900" s="359">
        <f t="shared" ca="1" si="391"/>
        <v>1686.4695435780902</v>
      </c>
      <c r="K900" s="360">
        <f t="shared" ca="1" si="392"/>
        <v>743.71995742183981</v>
      </c>
      <c r="L900" s="357">
        <f t="shared" ref="L900:L963" ca="1" si="406">SQRT(pos_x^2+pos_z^2)</f>
        <v>1843.1763064026281</v>
      </c>
      <c r="M900" s="359">
        <f t="shared" ca="1" si="393"/>
        <v>-1.427359859314421</v>
      </c>
      <c r="N900" s="357">
        <f t="shared" ca="1" si="394"/>
        <v>-81.781695785103267</v>
      </c>
      <c r="O900" s="343"/>
      <c r="P900" s="363">
        <f t="shared" ca="1" si="395"/>
        <v>23</v>
      </c>
      <c r="Q900" s="357">
        <f t="shared" ca="1" si="396"/>
        <v>0</v>
      </c>
      <c r="R900" s="359">
        <f t="shared" ca="1" si="397"/>
        <v>0</v>
      </c>
      <c r="S900" s="360">
        <f t="shared" ca="1" si="398"/>
        <v>9.637999999999975</v>
      </c>
      <c r="T900" s="357">
        <f t="shared" ref="T900:T963" ca="1" si="407">m*g</f>
        <v>94.548779999999766</v>
      </c>
      <c r="U900" s="364">
        <f t="shared" ref="U900:U963" ca="1" si="408">IF(pos_xz&lt;L_rampe,Poids*COS(Beta),0)</f>
        <v>0</v>
      </c>
      <c r="V900" s="359">
        <f t="shared" ref="V900:V963" ca="1" si="409">Rho_moyen*(20000-Alt_rampe-pos_z)/(20000+Alt_rampe+pos_z)</f>
        <v>1.137160697337626</v>
      </c>
      <c r="W900" s="357">
        <f t="shared" ref="W900:W963" ca="1" si="410">1/2*Rho*Sref*Cx*vit_xz^2</f>
        <v>63.986675652358038</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3.1055107895073419</v>
      </c>
      <c r="AH900" s="357">
        <f t="shared" ca="1" si="405"/>
        <v>-6.6024821363546877</v>
      </c>
    </row>
    <row r="901" spans="1:34" x14ac:dyDescent="0.25">
      <c r="A901" s="402">
        <f t="shared" ref="A901:A964" ca="1" si="412">IF(B900+0.01&lt;=T_ini+ROUNDUP(Temps_fin_propu,0), 0.01, IF(K900&gt;0, 0.1, 0.0001))</f>
        <v>0.1</v>
      </c>
      <c r="B901" s="357">
        <f t="shared" ref="B901:B964" ca="1" si="413">B900+pas</f>
        <v>44.700000000000301</v>
      </c>
      <c r="C901" s="342"/>
      <c r="D901" s="359">
        <f t="shared" ref="D901:D964" ca="1" si="414">IF(AND(L900&lt;L_rampe,Poussee&lt;Poids*SIN(M900)),0,(-W900+Poussee)/m*COS(M900)-U900/m*SIN(M900))</f>
        <v>-0.9490126177066347</v>
      </c>
      <c r="E901" s="360">
        <f t="shared" ref="E901:E964" ca="1" si="415">IF(AND(L900&lt;L_rampe,Poussee&lt;Poids*SIN(M900)),0,(-W900+Poussee)/m*SIN(M900)+U900/m*COS(M900)-Poids/m)</f>
        <v>-3.2391790994984913</v>
      </c>
      <c r="F901" s="357">
        <f t="shared" ref="F901:F964" ca="1" si="416">SQRT(acc_x^2+acc_z^2)</f>
        <v>3.3753379367397063</v>
      </c>
      <c r="G901" s="359">
        <f t="shared" ref="G901:G964" ca="1" si="417">G900+acc_x*pas</f>
        <v>22.344080364790692</v>
      </c>
      <c r="H901" s="360">
        <f t="shared" ref="H901:H964" ca="1" si="418">H900+acc_z*pas</f>
        <v>-155.68805818248418</v>
      </c>
      <c r="I901" s="357">
        <f t="shared" ref="I901:I964" ca="1" si="419">SQRT(vit_x^2+vit_z^2)</f>
        <v>157.28327752174039</v>
      </c>
      <c r="J901" s="359">
        <f t="shared" ref="J901:J964" ca="1" si="420">J900+0.5*(vit_x+G900)*pas*(K900&gt;=0)</f>
        <v>1688.7086966776578</v>
      </c>
      <c r="K901" s="360">
        <f t="shared" ref="K901:K964" ca="1" si="421">K900+0.5*(vit_z+H900)*pas</f>
        <v>728.16734749908892</v>
      </c>
      <c r="L901" s="357">
        <f t="shared" ca="1" si="406"/>
        <v>1839.0118945234185</v>
      </c>
      <c r="M901" s="359">
        <f t="shared" ref="M901:M964" ca="1" si="422">IF(AND(L900&gt;L_rampe,G901&gt;0),ATAN2(G901,H901),$M$4)</f>
        <v>-1.4282514301946736</v>
      </c>
      <c r="N901" s="357">
        <f t="shared" ref="N901:N964" ca="1" si="423">DEGREES(Beta)</f>
        <v>-81.832779033678506</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9.637999999999975</v>
      </c>
      <c r="T901" s="357">
        <f t="shared" ca="1" si="407"/>
        <v>94.548779999999766</v>
      </c>
      <c r="U901" s="364">
        <f t="shared" ca="1" si="408"/>
        <v>0</v>
      </c>
      <c r="V901" s="359">
        <f t="shared" ca="1" si="409"/>
        <v>1.1389330568175864</v>
      </c>
      <c r="W901" s="357">
        <f t="shared" ca="1" si="410"/>
        <v>64.337390494032263</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3.0702579908081615</v>
      </c>
      <c r="AH901" s="357">
        <f t="shared" ref="AH901:AH964" ca="1" si="434">IF(AND(L900&lt;L_rampe,Poussee&lt;Poids*SIN(M900)), g*SIN(M900), (-W900+Poussee)/m)</f>
        <v>-6.6389993413942934</v>
      </c>
    </row>
    <row r="902" spans="1:34" x14ac:dyDescent="0.25">
      <c r="A902" s="402">
        <f t="shared" ca="1" si="412"/>
        <v>0.1</v>
      </c>
      <c r="B902" s="357">
        <f t="shared" ca="1" si="413"/>
        <v>44.800000000000303</v>
      </c>
      <c r="C902" s="342"/>
      <c r="D902" s="359">
        <f t="shared" ca="1" si="414"/>
        <v>-0.94832337226716701</v>
      </c>
      <c r="E902" s="360">
        <f t="shared" ca="1" si="415"/>
        <v>-3.2023159088707729</v>
      </c>
      <c r="F902" s="357">
        <f t="shared" ca="1" si="416"/>
        <v>3.3397820884894593</v>
      </c>
      <c r="G902" s="359">
        <f t="shared" ca="1" si="417"/>
        <v>22.249248027563976</v>
      </c>
      <c r="H902" s="360">
        <f t="shared" ca="1" si="418"/>
        <v>-156.00828977337127</v>
      </c>
      <c r="I902" s="357">
        <f t="shared" ca="1" si="419"/>
        <v>157.58685070717112</v>
      </c>
      <c r="J902" s="359">
        <f t="shared" ca="1" si="420"/>
        <v>1690.9383630972757</v>
      </c>
      <c r="K902" s="360">
        <f t="shared" ca="1" si="421"/>
        <v>712.58253010129613</v>
      </c>
      <c r="L902" s="357">
        <f t="shared" ca="1" si="406"/>
        <v>1834.951337229317</v>
      </c>
      <c r="M902" s="359">
        <f t="shared" ca="1" si="422"/>
        <v>-1.4291357900535171</v>
      </c>
      <c r="N902" s="357">
        <f t="shared" ca="1" si="423"/>
        <v>-81.883449121161021</v>
      </c>
      <c r="O902" s="343"/>
      <c r="P902" s="363">
        <f t="shared" ca="1" si="424"/>
        <v>23</v>
      </c>
      <c r="Q902" s="357">
        <f t="shared" ca="1" si="425"/>
        <v>0</v>
      </c>
      <c r="R902" s="359">
        <f t="shared" ca="1" si="426"/>
        <v>0</v>
      </c>
      <c r="S902" s="360">
        <f t="shared" ca="1" si="427"/>
        <v>9.637999999999975</v>
      </c>
      <c r="T902" s="357">
        <f t="shared" ca="1" si="407"/>
        <v>94.548779999999766</v>
      </c>
      <c r="U902" s="364">
        <f t="shared" ca="1" si="408"/>
        <v>0</v>
      </c>
      <c r="V902" s="359">
        <f t="shared" ca="1" si="409"/>
        <v>1.1407117565513143</v>
      </c>
      <c r="W902" s="357">
        <f t="shared" ca="1" si="410"/>
        <v>64.686851484479092</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3.0351156169875475</v>
      </c>
      <c r="AH902" s="357">
        <f t="shared" ca="1" si="434"/>
        <v>-6.6753880985715321</v>
      </c>
    </row>
    <row r="903" spans="1:34" x14ac:dyDescent="0.25">
      <c r="A903" s="402">
        <f t="shared" ca="1" si="412"/>
        <v>0.1</v>
      </c>
      <c r="B903" s="357">
        <f t="shared" ca="1" si="413"/>
        <v>44.900000000000304</v>
      </c>
      <c r="C903" s="342"/>
      <c r="D903" s="359">
        <f t="shared" ca="1" si="414"/>
        <v>-0.94759869109191874</v>
      </c>
      <c r="E903" s="360">
        <f t="shared" ca="1" si="415"/>
        <v>-3.1655843772522623</v>
      </c>
      <c r="F903" s="357">
        <f t="shared" ca="1" si="416"/>
        <v>3.3043710035137868</v>
      </c>
      <c r="G903" s="359">
        <f t="shared" ca="1" si="417"/>
        <v>22.154488158454782</v>
      </c>
      <c r="H903" s="360">
        <f t="shared" ca="1" si="418"/>
        <v>-156.32484821109651</v>
      </c>
      <c r="I903" s="357">
        <f t="shared" ca="1" si="419"/>
        <v>157.88692002121479</v>
      </c>
      <c r="J903" s="359">
        <f t="shared" ca="1" si="420"/>
        <v>1693.1585499065766</v>
      </c>
      <c r="K903" s="360">
        <f t="shared" ca="1" si="421"/>
        <v>696.96587320207277</v>
      </c>
      <c r="L903" s="357">
        <f t="shared" ca="1" si="406"/>
        <v>1830.9962598350846</v>
      </c>
      <c r="M903" s="359">
        <f t="shared" ca="1" si="422"/>
        <v>-1.4300130297404512</v>
      </c>
      <c r="N903" s="357">
        <f t="shared" ca="1" si="423"/>
        <v>-81.933711252843722</v>
      </c>
      <c r="O903" s="343"/>
      <c r="P903" s="363">
        <f t="shared" ca="1" si="424"/>
        <v>23</v>
      </c>
      <c r="Q903" s="357">
        <f t="shared" ca="1" si="425"/>
        <v>0</v>
      </c>
      <c r="R903" s="359">
        <f t="shared" ca="1" si="426"/>
        <v>0</v>
      </c>
      <c r="S903" s="360">
        <f t="shared" ca="1" si="427"/>
        <v>9.637999999999975</v>
      </c>
      <c r="T903" s="357">
        <f t="shared" ca="1" si="407"/>
        <v>94.548779999999766</v>
      </c>
      <c r="U903" s="364">
        <f t="shared" ca="1" si="408"/>
        <v>0</v>
      </c>
      <c r="V903" s="359">
        <f t="shared" ca="1" si="409"/>
        <v>1.1424967770732042</v>
      </c>
      <c r="W903" s="357">
        <f t="shared" ca="1" si="410"/>
        <v>65.035043033861797</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3.0000856314987905</v>
      </c>
      <c r="AH903" s="357">
        <f t="shared" ca="1" si="434"/>
        <v>-6.7116467612034922</v>
      </c>
    </row>
    <row r="904" spans="1:34" x14ac:dyDescent="0.25">
      <c r="A904" s="402">
        <f t="shared" ca="1" si="412"/>
        <v>0.1</v>
      </c>
      <c r="B904" s="357">
        <f t="shared" ca="1" si="413"/>
        <v>45.000000000000306</v>
      </c>
      <c r="C904" s="342"/>
      <c r="D904" s="359">
        <f t="shared" ca="1" si="414"/>
        <v>-0.9468388690643047</v>
      </c>
      <c r="E904" s="360">
        <f t="shared" ca="1" si="415"/>
        <v>-3.1289861382395667</v>
      </c>
      <c r="F904" s="357">
        <f t="shared" ca="1" si="416"/>
        <v>3.2691066206635613</v>
      </c>
      <c r="G904" s="359">
        <f t="shared" ca="1" si="417"/>
        <v>22.059804271548352</v>
      </c>
      <c r="H904" s="360">
        <f t="shared" ca="1" si="418"/>
        <v>-156.63774682492047</v>
      </c>
      <c r="I904" s="357">
        <f t="shared" ca="1" si="419"/>
        <v>158.18349691066672</v>
      </c>
      <c r="J904" s="359">
        <f t="shared" ca="1" si="420"/>
        <v>1695.3692645280767</v>
      </c>
      <c r="K904" s="360">
        <f t="shared" ca="1" si="421"/>
        <v>681.31774345027191</v>
      </c>
      <c r="L904" s="357">
        <f t="shared" ca="1" si="406"/>
        <v>1827.1482727591217</v>
      </c>
      <c r="M904" s="359">
        <f t="shared" ca="1" si="422"/>
        <v>-1.4308832385150414</v>
      </c>
      <c r="N904" s="357">
        <f t="shared" ca="1" si="423"/>
        <v>-81.98357054292299</v>
      </c>
      <c r="O904" s="343"/>
      <c r="P904" s="363">
        <f t="shared" ca="1" si="424"/>
        <v>23</v>
      </c>
      <c r="Q904" s="357">
        <f t="shared" ca="1" si="425"/>
        <v>0</v>
      </c>
      <c r="R904" s="359">
        <f t="shared" ca="1" si="426"/>
        <v>0</v>
      </c>
      <c r="S904" s="360">
        <f t="shared" ca="1" si="427"/>
        <v>9.637999999999975</v>
      </c>
      <c r="T904" s="357">
        <f t="shared" ca="1" si="407"/>
        <v>94.548779999999766</v>
      </c>
      <c r="U904" s="364">
        <f t="shared" ca="1" si="408"/>
        <v>0</v>
      </c>
      <c r="V904" s="359">
        <f t="shared" ca="1" si="409"/>
        <v>1.1442880989422539</v>
      </c>
      <c r="W904" s="357">
        <f t="shared" ca="1" si="410"/>
        <v>65.381949833154096</v>
      </c>
      <c r="X904" s="343"/>
      <c r="Y904" s="367" t="str">
        <f t="shared" ca="1" si="428"/>
        <v/>
      </c>
      <c r="Z904" s="368" t="str">
        <f t="shared" ca="1" si="429"/>
        <v/>
      </c>
      <c r="AA904" s="369" t="str">
        <f t="shared" ca="1" si="430"/>
        <v/>
      </c>
      <c r="AB904" s="344"/>
      <c r="AC904" s="363">
        <f t="shared" ca="1" si="431"/>
        <v>45.000000000000306</v>
      </c>
      <c r="AD904" s="376">
        <f t="shared" ca="1" si="432"/>
        <v>1695.3692645280767</v>
      </c>
      <c r="AE904" s="377" t="e">
        <f t="shared" ca="1" si="411"/>
        <v>#N/A</v>
      </c>
      <c r="AF904" s="344"/>
      <c r="AG904" s="359">
        <f t="shared" ca="1" si="433"/>
        <v>2.9651699617635865</v>
      </c>
      <c r="AH904" s="357">
        <f t="shared" ca="1" si="434"/>
        <v>-6.7477737117516048</v>
      </c>
    </row>
    <row r="905" spans="1:34" x14ac:dyDescent="0.25">
      <c r="A905" s="402">
        <f t="shared" ca="1" si="412"/>
        <v>0.1</v>
      </c>
      <c r="B905" s="357">
        <f t="shared" ca="1" si="413"/>
        <v>45.100000000000307</v>
      </c>
      <c r="C905" s="342"/>
      <c r="D905" s="359">
        <f t="shared" ca="1" si="414"/>
        <v>-0.94604420276425771</v>
      </c>
      <c r="E905" s="360">
        <f t="shared" ca="1" si="415"/>
        <v>-3.0925227960478905</v>
      </c>
      <c r="F905" s="357">
        <f t="shared" ca="1" si="416"/>
        <v>3.2339908592418318</v>
      </c>
      <c r="G905" s="359">
        <f t="shared" ca="1" si="417"/>
        <v>21.965199851271926</v>
      </c>
      <c r="H905" s="360">
        <f t="shared" ca="1" si="418"/>
        <v>-156.94699910452525</v>
      </c>
      <c r="I905" s="357">
        <f t="shared" ca="1" si="419"/>
        <v>158.47659301115152</v>
      </c>
      <c r="J905" s="359">
        <f t="shared" ca="1" si="420"/>
        <v>1697.5705147342176</v>
      </c>
      <c r="K905" s="360">
        <f t="shared" ca="1" si="421"/>
        <v>665.63850615379965</v>
      </c>
      <c r="L905" s="357">
        <f t="shared" ca="1" si="406"/>
        <v>1823.4089704094522</v>
      </c>
      <c r="M905" s="359">
        <f t="shared" ca="1" si="422"/>
        <v>-1.4317465040808413</v>
      </c>
      <c r="N905" s="357">
        <f t="shared" ca="1" si="423"/>
        <v>-82.033032016442306</v>
      </c>
      <c r="O905" s="343"/>
      <c r="P905" s="363">
        <f t="shared" ca="1" si="424"/>
        <v>23</v>
      </c>
      <c r="Q905" s="357">
        <f t="shared" ca="1" si="425"/>
        <v>0</v>
      </c>
      <c r="R905" s="359">
        <f t="shared" ca="1" si="426"/>
        <v>0</v>
      </c>
      <c r="S905" s="360">
        <f t="shared" ca="1" si="427"/>
        <v>9.637999999999975</v>
      </c>
      <c r="T905" s="357">
        <f t="shared" ca="1" si="407"/>
        <v>94.548779999999766</v>
      </c>
      <c r="U905" s="364">
        <f t="shared" ca="1" si="408"/>
        <v>0</v>
      </c>
      <c r="V905" s="359">
        <f t="shared" ca="1" si="409"/>
        <v>1.1460857027431703</v>
      </c>
      <c r="W905" s="357">
        <f t="shared" ca="1" si="410"/>
        <v>65.727556853997456</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2.930370499358804</v>
      </c>
      <c r="AH905" s="357">
        <f t="shared" ca="1" si="434"/>
        <v>-6.7837673618130596</v>
      </c>
    </row>
    <row r="906" spans="1:34" x14ac:dyDescent="0.25">
      <c r="A906" s="402">
        <f t="shared" ca="1" si="412"/>
        <v>0.1</v>
      </c>
      <c r="B906" s="357">
        <f t="shared" ca="1" si="413"/>
        <v>45.200000000000308</v>
      </c>
      <c r="C906" s="342"/>
      <c r="D906" s="359">
        <f t="shared" ca="1" si="414"/>
        <v>-0.94521499040194612</v>
      </c>
      <c r="E906" s="360">
        <f t="shared" ca="1" si="415"/>
        <v>-3.0561959255240803</v>
      </c>
      <c r="F906" s="357">
        <f t="shared" ca="1" si="416"/>
        <v>3.1990256193520148</v>
      </c>
      <c r="G906" s="359">
        <f t="shared" ca="1" si="417"/>
        <v>21.870678352231732</v>
      </c>
      <c r="H906" s="360">
        <f t="shared" ca="1" si="418"/>
        <v>-157.25261869707765</v>
      </c>
      <c r="I906" s="357">
        <f t="shared" ca="1" si="419"/>
        <v>158.76622014356604</v>
      </c>
      <c r="J906" s="359">
        <f t="shared" ca="1" si="420"/>
        <v>1699.7623086443928</v>
      </c>
      <c r="K906" s="360">
        <f t="shared" ca="1" si="421"/>
        <v>649.92852526371951</v>
      </c>
      <c r="L906" s="357">
        <f t="shared" ca="1" si="406"/>
        <v>1819.7799300573654</v>
      </c>
      <c r="M906" s="359">
        <f t="shared" ca="1" si="422"/>
        <v>-1.4326029126184607</v>
      </c>
      <c r="N906" s="357">
        <f t="shared" ca="1" si="423"/>
        <v>-82.082100611186874</v>
      </c>
      <c r="O906" s="343"/>
      <c r="P906" s="363">
        <f t="shared" ca="1" si="424"/>
        <v>23</v>
      </c>
      <c r="Q906" s="357">
        <f t="shared" ca="1" si="425"/>
        <v>0</v>
      </c>
      <c r="R906" s="359">
        <f t="shared" ca="1" si="426"/>
        <v>0</v>
      </c>
      <c r="S906" s="360">
        <f t="shared" ca="1" si="427"/>
        <v>9.637999999999975</v>
      </c>
      <c r="T906" s="357">
        <f t="shared" ca="1" si="407"/>
        <v>94.548779999999766</v>
      </c>
      <c r="U906" s="364">
        <f t="shared" ca="1" si="408"/>
        <v>0</v>
      </c>
      <c r="V906" s="359">
        <f t="shared" ca="1" si="409"/>
        <v>1.147889569087466</v>
      </c>
      <c r="W906" s="357">
        <f t="shared" ca="1" si="410"/>
        <v>66.071849348499413</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2.8956891002041765</v>
      </c>
      <c r="AH906" s="357">
        <f t="shared" ca="1" si="434"/>
        <v>-6.8196261521060002</v>
      </c>
    </row>
    <row r="907" spans="1:34" x14ac:dyDescent="0.25">
      <c r="A907" s="402">
        <f t="shared" ca="1" si="412"/>
        <v>0.1</v>
      </c>
      <c r="B907" s="357">
        <f t="shared" ca="1" si="413"/>
        <v>45.30000000000031</v>
      </c>
      <c r="C907" s="342"/>
      <c r="D907" s="359">
        <f t="shared" ca="1" si="414"/>
        <v>-0.94435153175193021</v>
      </c>
      <c r="E907" s="360">
        <f t="shared" ca="1" si="415"/>
        <v>-3.0200070721659174</v>
      </c>
      <c r="F907" s="357">
        <f t="shared" ca="1" si="416"/>
        <v>3.1642127822658157</v>
      </c>
      <c r="G907" s="359">
        <f t="shared" ca="1" si="417"/>
        <v>21.776243199056537</v>
      </c>
      <c r="H907" s="360">
        <f t="shared" ca="1" si="418"/>
        <v>-157.55461940429424</v>
      </c>
      <c r="I907" s="357">
        <f t="shared" ca="1" si="419"/>
        <v>159.05239031054035</v>
      </c>
      <c r="J907" s="359">
        <f t="shared" ca="1" si="420"/>
        <v>1701.9446547219572</v>
      </c>
      <c r="K907" s="360">
        <f t="shared" ca="1" si="421"/>
        <v>634.18816335865085</v>
      </c>
      <c r="L907" s="357">
        <f t="shared" ca="1" si="406"/>
        <v>1816.2627107004266</v>
      </c>
      <c r="M907" s="359">
        <f t="shared" ca="1" si="422"/>
        <v>-1.4334525488178134</v>
      </c>
      <c r="N907" s="357">
        <f t="shared" ca="1" si="423"/>
        <v>-82.130781179531311</v>
      </c>
      <c r="O907" s="343"/>
      <c r="P907" s="363">
        <f t="shared" ca="1" si="424"/>
        <v>23</v>
      </c>
      <c r="Q907" s="357">
        <f t="shared" ca="1" si="425"/>
        <v>0</v>
      </c>
      <c r="R907" s="359">
        <f t="shared" ca="1" si="426"/>
        <v>0</v>
      </c>
      <c r="S907" s="360">
        <f t="shared" ca="1" si="427"/>
        <v>9.637999999999975</v>
      </c>
      <c r="T907" s="357">
        <f t="shared" ca="1" si="407"/>
        <v>94.548779999999766</v>
      </c>
      <c r="U907" s="364">
        <f t="shared" ca="1" si="408"/>
        <v>0</v>
      </c>
      <c r="V907" s="359">
        <f t="shared" ca="1" si="409"/>
        <v>1.1496996786145528</v>
      </c>
      <c r="W907" s="357">
        <f t="shared" ca="1" si="410"/>
        <v>66.414812848973213</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2.8611275847509647</v>
      </c>
      <c r="AH907" s="357">
        <f t="shared" ca="1" si="434"/>
        <v>-6.8553485524485973</v>
      </c>
    </row>
    <row r="908" spans="1:34" x14ac:dyDescent="0.25">
      <c r="A908" s="402">
        <f t="shared" ca="1" si="412"/>
        <v>0.1</v>
      </c>
      <c r="B908" s="357">
        <f t="shared" ca="1" si="413"/>
        <v>45.400000000000311</v>
      </c>
      <c r="C908" s="342"/>
      <c r="D908" s="359">
        <f t="shared" ca="1" si="414"/>
        <v>-0.94345412808770523</v>
      </c>
      <c r="E908" s="360">
        <f t="shared" ca="1" si="415"/>
        <v>-2.9839577521475924</v>
      </c>
      <c r="F908" s="357">
        <f t="shared" ca="1" si="416"/>
        <v>3.1295542108114129</v>
      </c>
      <c r="G908" s="359">
        <f t="shared" ca="1" si="417"/>
        <v>21.681897786247767</v>
      </c>
      <c r="H908" s="360">
        <f t="shared" ca="1" si="418"/>
        <v>-157.85301517950901</v>
      </c>
      <c r="I908" s="357">
        <f t="shared" ca="1" si="419"/>
        <v>159.33511569291809</v>
      </c>
      <c r="J908" s="359">
        <f t="shared" ca="1" si="420"/>
        <v>1704.1175617712224</v>
      </c>
      <c r="K908" s="360">
        <f t="shared" ca="1" si="421"/>
        <v>618.41778162946071</v>
      </c>
      <c r="L908" s="357">
        <f t="shared" ca="1" si="406"/>
        <v>1812.8588519166626</v>
      </c>
      <c r="M908" s="359">
        <f t="shared" ca="1" si="422"/>
        <v>-1.4342954959095571</v>
      </c>
      <c r="N908" s="357">
        <f t="shared" ca="1" si="423"/>
        <v>-82.179078490241054</v>
      </c>
      <c r="O908" s="343"/>
      <c r="P908" s="363">
        <f t="shared" ca="1" si="424"/>
        <v>23</v>
      </c>
      <c r="Q908" s="357">
        <f t="shared" ca="1" si="425"/>
        <v>0</v>
      </c>
      <c r="R908" s="359">
        <f t="shared" ca="1" si="426"/>
        <v>0</v>
      </c>
      <c r="S908" s="360">
        <f t="shared" ca="1" si="427"/>
        <v>9.637999999999975</v>
      </c>
      <c r="T908" s="357">
        <f t="shared" ca="1" si="407"/>
        <v>94.548779999999766</v>
      </c>
      <c r="U908" s="364">
        <f t="shared" ca="1" si="408"/>
        <v>0</v>
      </c>
      <c r="V908" s="359">
        <f t="shared" ca="1" si="409"/>
        <v>1.1515160119928252</v>
      </c>
      <c r="W908" s="357">
        <f t="shared" ca="1" si="410"/>
        <v>66.756433167619974</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2.8266877381717759</v>
      </c>
      <c r="AH908" s="357">
        <f t="shared" ca="1" si="434"/>
        <v>-6.8909330617320386</v>
      </c>
    </row>
    <row r="909" spans="1:34" x14ac:dyDescent="0.25">
      <c r="A909" s="402">
        <f t="shared" ca="1" si="412"/>
        <v>0.1</v>
      </c>
      <c r="B909" s="357">
        <f t="shared" ca="1" si="413"/>
        <v>45.500000000000313</v>
      </c>
      <c r="C909" s="342"/>
      <c r="D909" s="359">
        <f t="shared" ca="1" si="414"/>
        <v>-0.94252308211671021</v>
      </c>
      <c r="E909" s="360">
        <f t="shared" ca="1" si="415"/>
        <v>-2.9480494523512712</v>
      </c>
      <c r="F909" s="357">
        <f t="shared" ca="1" si="416"/>
        <v>3.095051749782451</v>
      </c>
      <c r="G909" s="359">
        <f t="shared" ca="1" si="417"/>
        <v>21.587645478036094</v>
      </c>
      <c r="H909" s="360">
        <f t="shared" ca="1" si="418"/>
        <v>-158.14782012474413</v>
      </c>
      <c r="I909" s="357">
        <f t="shared" ca="1" si="419"/>
        <v>159.61440864625536</v>
      </c>
      <c r="J909" s="359">
        <f t="shared" ca="1" si="420"/>
        <v>1706.2810389344365</v>
      </c>
      <c r="K909" s="360">
        <f t="shared" ca="1" si="421"/>
        <v>602.61773986424805</v>
      </c>
      <c r="L909" s="357">
        <f t="shared" ca="1" si="406"/>
        <v>1809.5698727118206</v>
      </c>
      <c r="M909" s="359">
        <f t="shared" ca="1" si="422"/>
        <v>-1.4351318356957588</v>
      </c>
      <c r="N909" s="357">
        <f t="shared" ca="1" si="423"/>
        <v>-82.226997230229287</v>
      </c>
      <c r="O909" s="343"/>
      <c r="P909" s="363">
        <f t="shared" ca="1" si="424"/>
        <v>23</v>
      </c>
      <c r="Q909" s="357">
        <f t="shared" ca="1" si="425"/>
        <v>0</v>
      </c>
      <c r="R909" s="359">
        <f t="shared" ca="1" si="426"/>
        <v>0</v>
      </c>
      <c r="S909" s="360">
        <f t="shared" ca="1" si="427"/>
        <v>9.637999999999975</v>
      </c>
      <c r="T909" s="357">
        <f t="shared" ca="1" si="407"/>
        <v>94.548779999999766</v>
      </c>
      <c r="U909" s="364">
        <f t="shared" ca="1" si="408"/>
        <v>0</v>
      </c>
      <c r="V909" s="359">
        <f t="shared" ca="1" si="409"/>
        <v>1.1533385499207378</v>
      </c>
      <c r="W909" s="357">
        <f t="shared" ca="1" si="410"/>
        <v>67.09669639615332</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2.7923713105515402</v>
      </c>
      <c r="AH909" s="357">
        <f t="shared" ca="1" si="434"/>
        <v>-6.9263782078875442</v>
      </c>
    </row>
    <row r="910" spans="1:34" x14ac:dyDescent="0.25">
      <c r="A910" s="402">
        <f t="shared" ca="1" si="412"/>
        <v>0.1</v>
      </c>
      <c r="B910" s="357">
        <f t="shared" ca="1" si="413"/>
        <v>45.600000000000314</v>
      </c>
      <c r="C910" s="342"/>
      <c r="D910" s="359">
        <f t="shared" ca="1" si="414"/>
        <v>-0.94155869791575397</v>
      </c>
      <c r="E910" s="360">
        <f t="shared" ca="1" si="415"/>
        <v>-2.9122836304047262</v>
      </c>
      <c r="F910" s="357">
        <f t="shared" ca="1" si="416"/>
        <v>3.0607072263684647</v>
      </c>
      <c r="G910" s="359">
        <f t="shared" ca="1" si="417"/>
        <v>21.49348960824452</v>
      </c>
      <c r="H910" s="360">
        <f t="shared" ca="1" si="418"/>
        <v>-158.43904848778459</v>
      </c>
      <c r="I910" s="357">
        <f t="shared" ca="1" si="419"/>
        <v>159.89028169733854</v>
      </c>
      <c r="J910" s="359">
        <f t="shared" ca="1" si="420"/>
        <v>1708.4350956887506</v>
      </c>
      <c r="K910" s="360">
        <f t="shared" ca="1" si="421"/>
        <v>586.78839643362164</v>
      </c>
      <c r="L910" s="357">
        <f t="shared" ca="1" si="406"/>
        <v>1806.3972703616919</v>
      </c>
      <c r="M910" s="359">
        <f t="shared" ca="1" si="422"/>
        <v>-1.435961648579801</v>
      </c>
      <c r="N910" s="357">
        <f t="shared" ca="1" si="423"/>
        <v>-82.27454200627048</v>
      </c>
      <c r="O910" s="343"/>
      <c r="P910" s="363">
        <f t="shared" ca="1" si="424"/>
        <v>23</v>
      </c>
      <c r="Q910" s="357">
        <f t="shared" ca="1" si="425"/>
        <v>0</v>
      </c>
      <c r="R910" s="359">
        <f t="shared" ca="1" si="426"/>
        <v>0</v>
      </c>
      <c r="S910" s="360">
        <f t="shared" ca="1" si="427"/>
        <v>9.637999999999975</v>
      </c>
      <c r="T910" s="357">
        <f t="shared" ca="1" si="407"/>
        <v>94.548779999999766</v>
      </c>
      <c r="U910" s="364">
        <f t="shared" ca="1" si="408"/>
        <v>0</v>
      </c>
      <c r="V910" s="359">
        <f t="shared" ca="1" si="409"/>
        <v>1.1551672731278755</v>
      </c>
      <c r="W910" s="357">
        <f t="shared" ca="1" si="410"/>
        <v>67.435588905367624</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2.7581800170798392</v>
      </c>
      <c r="AH910" s="357">
        <f t="shared" ca="1" si="434"/>
        <v>-6.9616825478474258</v>
      </c>
    </row>
    <row r="911" spans="1:34" x14ac:dyDescent="0.25">
      <c r="A911" s="402">
        <f t="shared" ca="1" si="412"/>
        <v>0.1</v>
      </c>
      <c r="B911" s="357">
        <f t="shared" ca="1" si="413"/>
        <v>45.700000000000315</v>
      </c>
      <c r="C911" s="342"/>
      <c r="D911" s="359">
        <f t="shared" ca="1" si="414"/>
        <v>-0.94056128086690205</v>
      </c>
      <c r="E911" s="360">
        <f t="shared" ca="1" si="415"/>
        <v>-2.8766617147249161</v>
      </c>
      <c r="F911" s="357">
        <f t="shared" ca="1" si="416"/>
        <v>3.0265224506073105</v>
      </c>
      <c r="G911" s="359">
        <f t="shared" ca="1" si="417"/>
        <v>21.399433480157828</v>
      </c>
      <c r="H911" s="360">
        <f t="shared" ca="1" si="418"/>
        <v>-158.72671465925708</v>
      </c>
      <c r="I911" s="357">
        <f t="shared" ca="1" si="419"/>
        <v>160.1627475407216</v>
      </c>
      <c r="J911" s="359">
        <f t="shared" ca="1" si="420"/>
        <v>1710.5797418431707</v>
      </c>
      <c r="K911" s="360">
        <f t="shared" ca="1" si="421"/>
        <v>570.93010827626961</v>
      </c>
      <c r="L911" s="357">
        <f t="shared" ca="1" si="406"/>
        <v>1803.3425192515706</v>
      </c>
      <c r="M911" s="359">
        <f t="shared" ca="1" si="422"/>
        <v>-1.4367850135955538</v>
      </c>
      <c r="N911" s="357">
        <f t="shared" ca="1" si="423"/>
        <v>-82.321717346671832</v>
      </c>
      <c r="O911" s="343"/>
      <c r="P911" s="363">
        <f t="shared" ca="1" si="424"/>
        <v>23</v>
      </c>
      <c r="Q911" s="357">
        <f t="shared" ca="1" si="425"/>
        <v>0</v>
      </c>
      <c r="R911" s="359">
        <f t="shared" ca="1" si="426"/>
        <v>0</v>
      </c>
      <c r="S911" s="360">
        <f t="shared" ca="1" si="427"/>
        <v>9.637999999999975</v>
      </c>
      <c r="T911" s="357">
        <f t="shared" ca="1" si="407"/>
        <v>94.548779999999766</v>
      </c>
      <c r="U911" s="364">
        <f t="shared" ca="1" si="408"/>
        <v>0</v>
      </c>
      <c r="V911" s="359">
        <f t="shared" ca="1" si="409"/>
        <v>1.1570021623760178</v>
      </c>
      <c r="W911" s="357">
        <f t="shared" ca="1" si="410"/>
        <v>67.773097344650779</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2.7241155382445905</v>
      </c>
      <c r="AH911" s="357">
        <f t="shared" ca="1" si="434"/>
        <v>-6.99684466750029</v>
      </c>
    </row>
    <row r="912" spans="1:34" x14ac:dyDescent="0.25">
      <c r="A912" s="402">
        <f t="shared" ca="1" si="412"/>
        <v>0.1</v>
      </c>
      <c r="B912" s="357">
        <f t="shared" ca="1" si="413"/>
        <v>45.800000000000317</v>
      </c>
      <c r="C912" s="342"/>
      <c r="D912" s="359">
        <f t="shared" ca="1" si="414"/>
        <v>-0.93953113759382356</v>
      </c>
      <c r="E912" s="360">
        <f t="shared" ca="1" si="415"/>
        <v>-2.8411851045674466</v>
      </c>
      <c r="F912" s="357">
        <f t="shared" ca="1" si="416"/>
        <v>2.9924992158602608</v>
      </c>
      <c r="G912" s="359">
        <f t="shared" ca="1" si="417"/>
        <v>21.305480366398445</v>
      </c>
      <c r="H912" s="360">
        <f t="shared" ca="1" si="418"/>
        <v>-159.01083316971383</v>
      </c>
      <c r="I912" s="357">
        <f t="shared" ca="1" si="419"/>
        <v>160.43181903528227</v>
      </c>
      <c r="J912" s="359">
        <f t="shared" ca="1" si="420"/>
        <v>1712.7149875354985</v>
      </c>
      <c r="K912" s="360">
        <f t="shared" ca="1" si="421"/>
        <v>555.04323088482101</v>
      </c>
      <c r="L912" s="357">
        <f t="shared" ca="1" si="406"/>
        <v>1800.4070697150084</v>
      </c>
      <c r="M912" s="359">
        <f t="shared" ca="1" si="422"/>
        <v>-1.4376020084358316</v>
      </c>
      <c r="N912" s="357">
        <f t="shared" ca="1" si="423"/>
        <v>-82.36852770290372</v>
      </c>
      <c r="O912" s="343"/>
      <c r="P912" s="363">
        <f t="shared" ca="1" si="424"/>
        <v>23</v>
      </c>
      <c r="Q912" s="357">
        <f t="shared" ca="1" si="425"/>
        <v>0</v>
      </c>
      <c r="R912" s="359">
        <f t="shared" ca="1" si="426"/>
        <v>0</v>
      </c>
      <c r="S912" s="360">
        <f t="shared" ca="1" si="427"/>
        <v>9.637999999999975</v>
      </c>
      <c r="T912" s="357">
        <f t="shared" ca="1" si="407"/>
        <v>94.548779999999766</v>
      </c>
      <c r="U912" s="364">
        <f t="shared" ca="1" si="408"/>
        <v>0</v>
      </c>
      <c r="V912" s="359">
        <f t="shared" ca="1" si="409"/>
        <v>1.1588431984601926</v>
      </c>
      <c r="W912" s="357">
        <f t="shared" ca="1" si="410"/>
        <v>68.109208641441342</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2.6901795200271783</v>
      </c>
      <c r="AH912" s="357">
        <f t="shared" ca="1" si="434"/>
        <v>-7.0318631816404809</v>
      </c>
    </row>
    <row r="913" spans="1:34" x14ac:dyDescent="0.25">
      <c r="A913" s="402">
        <f t="shared" ca="1" si="412"/>
        <v>0.1</v>
      </c>
      <c r="B913" s="357">
        <f t="shared" ca="1" si="413"/>
        <v>45.900000000000318</v>
      </c>
      <c r="C913" s="342"/>
      <c r="D913" s="359">
        <f t="shared" ca="1" si="414"/>
        <v>-0.93846857589860178</v>
      </c>
      <c r="E913" s="360">
        <f t="shared" ca="1" si="415"/>
        <v>-2.8058551700818848</v>
      </c>
      <c r="F913" s="357">
        <f t="shared" ca="1" si="416"/>
        <v>2.9586392993104771</v>
      </c>
      <c r="G913" s="359">
        <f t="shared" ca="1" si="417"/>
        <v>21.211633508808585</v>
      </c>
      <c r="H913" s="360">
        <f t="shared" ca="1" si="418"/>
        <v>-159.29141868672201</v>
      </c>
      <c r="I913" s="357">
        <f t="shared" ca="1" si="419"/>
        <v>160.69750920079807</v>
      </c>
      <c r="J913" s="359">
        <f t="shared" ca="1" si="420"/>
        <v>1714.8408432292588</v>
      </c>
      <c r="K913" s="360">
        <f t="shared" ca="1" si="421"/>
        <v>539.12811829199927</v>
      </c>
      <c r="L913" s="357">
        <f t="shared" ca="1" si="406"/>
        <v>1797.5923468740923</v>
      </c>
      <c r="M913" s="359">
        <f t="shared" ca="1" si="422"/>
        <v>-1.4384127094801555</v>
      </c>
      <c r="N913" s="357">
        <f t="shared" ca="1" si="423"/>
        <v>-82.414977451190325</v>
      </c>
      <c r="O913" s="343"/>
      <c r="P913" s="363">
        <f t="shared" ca="1" si="424"/>
        <v>23</v>
      </c>
      <c r="Q913" s="357">
        <f t="shared" ca="1" si="425"/>
        <v>0</v>
      </c>
      <c r="R913" s="359">
        <f t="shared" ca="1" si="426"/>
        <v>0</v>
      </c>
      <c r="S913" s="360">
        <f t="shared" ca="1" si="427"/>
        <v>9.637999999999975</v>
      </c>
      <c r="T913" s="357">
        <f t="shared" ca="1" si="407"/>
        <v>94.548779999999766</v>
      </c>
      <c r="U913" s="364">
        <f t="shared" ca="1" si="408"/>
        <v>0</v>
      </c>
      <c r="V913" s="359">
        <f t="shared" ca="1" si="409"/>
        <v>1.1606903622097258</v>
      </c>
      <c r="W913" s="357">
        <f t="shared" ca="1" si="410"/>
        <v>68.44391000063176</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2.6563735740991463</v>
      </c>
      <c r="AH913" s="357">
        <f t="shared" ca="1" si="434"/>
        <v>-7.0667367339117577</v>
      </c>
    </row>
    <row r="914" spans="1:34" x14ac:dyDescent="0.25">
      <c r="A914" s="402">
        <f t="shared" ca="1" si="412"/>
        <v>0.1</v>
      </c>
      <c r="B914" s="357">
        <f t="shared" ca="1" si="413"/>
        <v>46.00000000000032</v>
      </c>
      <c r="C914" s="342"/>
      <c r="D914" s="359">
        <f t="shared" ca="1" si="414"/>
        <v>-0.93737390469903958</v>
      </c>
      <c r="E914" s="360">
        <f t="shared" ca="1" si="415"/>
        <v>-2.7706732523727746</v>
      </c>
      <c r="F914" s="357">
        <f t="shared" ca="1" si="416"/>
        <v>2.9249444624855108</v>
      </c>
      <c r="G914" s="359">
        <f t="shared" ca="1" si="417"/>
        <v>21.117896118338681</v>
      </c>
      <c r="H914" s="360">
        <f t="shared" ca="1" si="418"/>
        <v>-159.56848601195929</v>
      </c>
      <c r="I914" s="357">
        <f t="shared" ca="1" si="419"/>
        <v>160.95983121454182</v>
      </c>
      <c r="J914" s="359">
        <f t="shared" ca="1" si="420"/>
        <v>1716.957319710616</v>
      </c>
      <c r="K914" s="360">
        <f t="shared" ca="1" si="421"/>
        <v>523.1851230570652</v>
      </c>
      <c r="L914" s="357">
        <f t="shared" ca="1" si="406"/>
        <v>1794.8997494835469</v>
      </c>
      <c r="M914" s="359">
        <f t="shared" ca="1" si="422"/>
        <v>-1.4392171918218419</v>
      </c>
      <c r="N914" s="357">
        <f t="shared" ca="1" si="423"/>
        <v>-82.461070894061763</v>
      </c>
      <c r="O914" s="343"/>
      <c r="P914" s="363">
        <f t="shared" ca="1" si="424"/>
        <v>23</v>
      </c>
      <c r="Q914" s="357">
        <f t="shared" ca="1" si="425"/>
        <v>0</v>
      </c>
      <c r="R914" s="359">
        <f t="shared" ca="1" si="426"/>
        <v>0</v>
      </c>
      <c r="S914" s="360">
        <f t="shared" ca="1" si="427"/>
        <v>9.637999999999975</v>
      </c>
      <c r="T914" s="357">
        <f t="shared" ca="1" si="407"/>
        <v>94.548779999999766</v>
      </c>
      <c r="U914" s="364">
        <f t="shared" ca="1" si="408"/>
        <v>0</v>
      </c>
      <c r="V914" s="359">
        <f t="shared" ca="1" si="409"/>
        <v>1.1625436344892808</v>
      </c>
      <c r="W914" s="357">
        <f t="shared" ca="1" si="410"/>
        <v>68.777188903917903</v>
      </c>
      <c r="X914" s="343"/>
      <c r="Y914" s="367" t="str">
        <f t="shared" ca="1" si="428"/>
        <v/>
      </c>
      <c r="Z914" s="368" t="str">
        <f t="shared" ca="1" si="429"/>
        <v/>
      </c>
      <c r="AA914" s="369" t="str">
        <f t="shared" ca="1" si="430"/>
        <v/>
      </c>
      <c r="AB914" s="344"/>
      <c r="AC914" s="363">
        <f t="shared" ca="1" si="431"/>
        <v>46.00000000000032</v>
      </c>
      <c r="AD914" s="376">
        <f t="shared" ca="1" si="432"/>
        <v>1716.957319710616</v>
      </c>
      <c r="AE914" s="377" t="e">
        <f t="shared" ca="1" si="411"/>
        <v>#N/A</v>
      </c>
      <c r="AF914" s="344"/>
      <c r="AG914" s="359">
        <f t="shared" ca="1" si="433"/>
        <v>2.622699278020443</v>
      </c>
      <c r="AH914" s="357">
        <f t="shared" ca="1" si="434"/>
        <v>-7.1014639967453768</v>
      </c>
    </row>
    <row r="915" spans="1:34" x14ac:dyDescent="0.25">
      <c r="A915" s="402">
        <f t="shared" ca="1" si="412"/>
        <v>0.1</v>
      </c>
      <c r="B915" s="357">
        <f t="shared" ca="1" si="413"/>
        <v>46.100000000000321</v>
      </c>
      <c r="C915" s="342"/>
      <c r="D915" s="359">
        <f t="shared" ca="1" si="414"/>
        <v>-0.93624743396643451</v>
      </c>
      <c r="E915" s="360">
        <f t="shared" ca="1" si="415"/>
        <v>-2.7356406635663157</v>
      </c>
      <c r="F915" s="357">
        <f t="shared" ca="1" si="416"/>
        <v>2.8914164518045968</v>
      </c>
      <c r="G915" s="359">
        <f t="shared" ca="1" si="417"/>
        <v>21.024271374942039</v>
      </c>
      <c r="H915" s="360">
        <f t="shared" ca="1" si="418"/>
        <v>-159.84205007831594</v>
      </c>
      <c r="I915" s="357">
        <f t="shared" ca="1" si="419"/>
        <v>161.2187984078968</v>
      </c>
      <c r="J915" s="359">
        <f t="shared" ca="1" si="420"/>
        <v>1719.06442808528</v>
      </c>
      <c r="K915" s="360">
        <f t="shared" ca="1" si="421"/>
        <v>507.21459625255142</v>
      </c>
      <c r="L915" s="357">
        <f t="shared" ca="1" si="406"/>
        <v>1792.3306487810248</v>
      </c>
      <c r="M915" s="359">
        <f t="shared" ca="1" si="422"/>
        <v>-1.4400155292944332</v>
      </c>
      <c r="N915" s="357">
        <f t="shared" ca="1" si="423"/>
        <v>-82.50681226186839</v>
      </c>
      <c r="O915" s="343"/>
      <c r="P915" s="363">
        <f t="shared" ca="1" si="424"/>
        <v>23</v>
      </c>
      <c r="Q915" s="357">
        <f t="shared" ca="1" si="425"/>
        <v>0</v>
      </c>
      <c r="R915" s="359">
        <f t="shared" ca="1" si="426"/>
        <v>0</v>
      </c>
      <c r="S915" s="360">
        <f t="shared" ca="1" si="427"/>
        <v>9.637999999999975</v>
      </c>
      <c r="T915" s="357">
        <f t="shared" ca="1" si="407"/>
        <v>94.548779999999766</v>
      </c>
      <c r="U915" s="364">
        <f t="shared" ca="1" si="408"/>
        <v>0</v>
      </c>
      <c r="V915" s="359">
        <f t="shared" ca="1" si="409"/>
        <v>1.1644029961998918</v>
      </c>
      <c r="W915" s="357">
        <f t="shared" ca="1" si="410"/>
        <v>69.10903310909535</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2.5891581754393238</v>
      </c>
      <c r="AH915" s="357">
        <f t="shared" ca="1" si="434"/>
        <v>-7.1360436712926001</v>
      </c>
    </row>
    <row r="916" spans="1:34" x14ac:dyDescent="0.25">
      <c r="A916" s="402">
        <f t="shared" ca="1" si="412"/>
        <v>0.1</v>
      </c>
      <c r="B916" s="357">
        <f t="shared" ca="1" si="413"/>
        <v>46.200000000000323</v>
      </c>
      <c r="C916" s="342"/>
      <c r="D916" s="359">
        <f t="shared" ca="1" si="414"/>
        <v>-0.93508947466386794</v>
      </c>
      <c r="E916" s="360">
        <f t="shared" ca="1" si="415"/>
        <v>-2.7007586868826685</v>
      </c>
      <c r="F916" s="357">
        <f t="shared" ca="1" si="416"/>
        <v>2.8580569991515814</v>
      </c>
      <c r="G916" s="359">
        <f t="shared" ca="1" si="417"/>
        <v>20.930762427475653</v>
      </c>
      <c r="H916" s="360">
        <f t="shared" ca="1" si="418"/>
        <v>-160.11212594700422</v>
      </c>
      <c r="I916" s="357">
        <f t="shared" ca="1" si="419"/>
        <v>161.47442426299207</v>
      </c>
      <c r="J916" s="359">
        <f t="shared" ca="1" si="420"/>
        <v>1721.162179775401</v>
      </c>
      <c r="K916" s="360">
        <f t="shared" ca="1" si="421"/>
        <v>491.2168874512854</v>
      </c>
      <c r="L916" s="357">
        <f t="shared" ca="1" si="406"/>
        <v>1789.8863873460066</v>
      </c>
      <c r="M916" s="359">
        <f t="shared" ca="1" si="422"/>
        <v>-1.4408077944974935</v>
      </c>
      <c r="N916" s="357">
        <f t="shared" ca="1" si="423"/>
        <v>-82.552205714258818</v>
      </c>
      <c r="O916" s="343"/>
      <c r="P916" s="363">
        <f t="shared" ca="1" si="424"/>
        <v>23</v>
      </c>
      <c r="Q916" s="357">
        <f t="shared" ca="1" si="425"/>
        <v>0</v>
      </c>
      <c r="R916" s="359">
        <f t="shared" ca="1" si="426"/>
        <v>0</v>
      </c>
      <c r="S916" s="360">
        <f t="shared" ca="1" si="427"/>
        <v>9.637999999999975</v>
      </c>
      <c r="T916" s="357">
        <f t="shared" ca="1" si="407"/>
        <v>94.548779999999766</v>
      </c>
      <c r="U916" s="364">
        <f t="shared" ca="1" si="408"/>
        <v>0</v>
      </c>
      <c r="V916" s="359">
        <f t="shared" ca="1" si="409"/>
        <v>1.1662684282799887</v>
      </c>
      <c r="W916" s="357">
        <f t="shared" ca="1" si="410"/>
        <v>69.439430649304015</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2.5557517762939677</v>
      </c>
      <c r="AH916" s="357">
        <f t="shared" ca="1" si="434"/>
        <v>-7.1704744873516839</v>
      </c>
    </row>
    <row r="917" spans="1:34" x14ac:dyDescent="0.25">
      <c r="A917" s="402">
        <f t="shared" ca="1" si="412"/>
        <v>0.1</v>
      </c>
      <c r="B917" s="357">
        <f t="shared" ca="1" si="413"/>
        <v>46.300000000000324</v>
      </c>
      <c r="C917" s="342"/>
      <c r="D917" s="359">
        <f t="shared" ca="1" si="414"/>
        <v>-0.93390033868498612</v>
      </c>
      <c r="E917" s="360">
        <f t="shared" ca="1" si="415"/>
        <v>-2.6660285767137077</v>
      </c>
      <c r="F917" s="357">
        <f t="shared" ca="1" si="416"/>
        <v>2.8248678224741863</v>
      </c>
      <c r="G917" s="359">
        <f t="shared" ca="1" si="417"/>
        <v>20.837372393607154</v>
      </c>
      <c r="H917" s="360">
        <f t="shared" ca="1" si="418"/>
        <v>-160.37872880467557</v>
      </c>
      <c r="I917" s="357">
        <f t="shared" ca="1" si="419"/>
        <v>161.72672240935799</v>
      </c>
      <c r="J917" s="359">
        <f t="shared" ca="1" si="420"/>
        <v>1723.2505865164551</v>
      </c>
      <c r="K917" s="360">
        <f t="shared" ca="1" si="421"/>
        <v>475.1923447137014</v>
      </c>
      <c r="L917" s="357">
        <f t="shared" ca="1" si="406"/>
        <v>1787.5682779697706</v>
      </c>
      <c r="M917" s="359">
        <f t="shared" ca="1" si="422"/>
        <v>-1.4415940588217808</v>
      </c>
      <c r="N917" s="357">
        <f t="shared" ca="1" si="423"/>
        <v>-82.597255341622187</v>
      </c>
      <c r="O917" s="343"/>
      <c r="P917" s="363">
        <f t="shared" ca="1" si="424"/>
        <v>23</v>
      </c>
      <c r="Q917" s="357">
        <f t="shared" ca="1" si="425"/>
        <v>0</v>
      </c>
      <c r="R917" s="359">
        <f t="shared" ca="1" si="426"/>
        <v>0</v>
      </c>
      <c r="S917" s="360">
        <f t="shared" ca="1" si="427"/>
        <v>9.637999999999975</v>
      </c>
      <c r="T917" s="357">
        <f t="shared" ca="1" si="407"/>
        <v>94.548779999999766</v>
      </c>
      <c r="U917" s="364">
        <f t="shared" ca="1" si="408"/>
        <v>0</v>
      </c>
      <c r="V917" s="359">
        <f t="shared" ca="1" si="409"/>
        <v>1.1681399117064146</v>
      </c>
      <c r="W917" s="357">
        <f t="shared" ca="1" si="410"/>
        <v>69.768369832221211</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2.522481557015805</v>
      </c>
      <c r="AH917" s="357">
        <f t="shared" ca="1" si="434"/>
        <v>-7.2047552032894995</v>
      </c>
    </row>
    <row r="918" spans="1:34" x14ac:dyDescent="0.25">
      <c r="A918" s="402">
        <f t="shared" ca="1" si="412"/>
        <v>0.1</v>
      </c>
      <c r="B918" s="357">
        <f t="shared" ca="1" si="413"/>
        <v>46.400000000000325</v>
      </c>
      <c r="C918" s="342"/>
      <c r="D918" s="359">
        <f t="shared" ca="1" si="414"/>
        <v>-0.93268033879331946</v>
      </c>
      <c r="E918" s="360">
        <f t="shared" ca="1" si="415"/>
        <v>-2.6314515587062202</v>
      </c>
      <c r="F918" s="357">
        <f t="shared" ca="1" si="416"/>
        <v>2.7918506264105565</v>
      </c>
      <c r="G918" s="359">
        <f t="shared" ca="1" si="417"/>
        <v>20.744104359727821</v>
      </c>
      <c r="H918" s="360">
        <f t="shared" ca="1" si="418"/>
        <v>-160.64187396054621</v>
      </c>
      <c r="I918" s="357">
        <f t="shared" ca="1" si="419"/>
        <v>161.9757066206019</v>
      </c>
      <c r="J918" s="359">
        <f t="shared" ca="1" si="420"/>
        <v>1725.3296603541219</v>
      </c>
      <c r="K918" s="360">
        <f t="shared" ca="1" si="421"/>
        <v>459.14131457544033</v>
      </c>
      <c r="L918" s="357">
        <f t="shared" ca="1" si="406"/>
        <v>1785.3776025389511</v>
      </c>
      <c r="M918" s="359">
        <f t="shared" ca="1" si="422"/>
        <v>-1.4423743924738206</v>
      </c>
      <c r="N918" s="357">
        <f t="shared" ca="1" si="423"/>
        <v>-82.641965166496092</v>
      </c>
      <c r="O918" s="343"/>
      <c r="P918" s="363">
        <f t="shared" ca="1" si="424"/>
        <v>23</v>
      </c>
      <c r="Q918" s="357">
        <f t="shared" ca="1" si="425"/>
        <v>0</v>
      </c>
      <c r="R918" s="359">
        <f t="shared" ca="1" si="426"/>
        <v>0</v>
      </c>
      <c r="S918" s="360">
        <f t="shared" ca="1" si="427"/>
        <v>9.637999999999975</v>
      </c>
      <c r="T918" s="357">
        <f t="shared" ca="1" si="407"/>
        <v>94.548779999999766</v>
      </c>
      <c r="U918" s="364">
        <f t="shared" ca="1" si="408"/>
        <v>0</v>
      </c>
      <c r="V918" s="359">
        <f t="shared" ca="1" si="409"/>
        <v>1.1700174274954327</v>
      </c>
      <c r="W918" s="357">
        <f t="shared" ca="1" si="410"/>
        <v>70.095839239203926</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2.4893489607346337</v>
      </c>
      <c r="AH918" s="357">
        <f t="shared" ca="1" si="434"/>
        <v>-7.2388846059578116</v>
      </c>
    </row>
    <row r="919" spans="1:34" x14ac:dyDescent="0.25">
      <c r="A919" s="402">
        <f t="shared" ca="1" si="412"/>
        <v>0.1</v>
      </c>
      <c r="B919" s="357">
        <f t="shared" ca="1" si="413"/>
        <v>46.500000000000327</v>
      </c>
      <c r="C919" s="342"/>
      <c r="D919" s="359">
        <f t="shared" ca="1" si="414"/>
        <v>-0.93142978856209413</v>
      </c>
      <c r="E919" s="360">
        <f t="shared" ca="1" si="415"/>
        <v>-2.5970288298504602</v>
      </c>
      <c r="F919" s="357">
        <f t="shared" ca="1" si="416"/>
        <v>2.7590071029439698</v>
      </c>
      <c r="G919" s="359">
        <f t="shared" ca="1" si="417"/>
        <v>20.65096138087161</v>
      </c>
      <c r="H919" s="360">
        <f t="shared" ca="1" si="418"/>
        <v>-160.90157684353125</v>
      </c>
      <c r="I919" s="357">
        <f t="shared" ca="1" si="419"/>
        <v>162.22139081110433</v>
      </c>
      <c r="J919" s="359">
        <f t="shared" ca="1" si="420"/>
        <v>1727.3994136411518</v>
      </c>
      <c r="K919" s="360">
        <f t="shared" ca="1" si="421"/>
        <v>443.06414203523644</v>
      </c>
      <c r="L919" s="357">
        <f t="shared" ca="1" si="406"/>
        <v>1783.3156109352083</v>
      </c>
      <c r="M919" s="359">
        <f t="shared" ca="1" si="422"/>
        <v>-1.4431488644998891</v>
      </c>
      <c r="N919" s="357">
        <f t="shared" ca="1" si="423"/>
        <v>-82.68633914494076</v>
      </c>
      <c r="O919" s="343"/>
      <c r="P919" s="363">
        <f t="shared" ca="1" si="424"/>
        <v>23</v>
      </c>
      <c r="Q919" s="357">
        <f t="shared" ca="1" si="425"/>
        <v>0</v>
      </c>
      <c r="R919" s="359">
        <f t="shared" ca="1" si="426"/>
        <v>0</v>
      </c>
      <c r="S919" s="360">
        <f t="shared" ca="1" si="427"/>
        <v>9.637999999999975</v>
      </c>
      <c r="T919" s="357">
        <f t="shared" ca="1" si="407"/>
        <v>94.548779999999766</v>
      </c>
      <c r="U919" s="364">
        <f t="shared" ca="1" si="408"/>
        <v>0</v>
      </c>
      <c r="V919" s="359">
        <f t="shared" ca="1" si="409"/>
        <v>1.1719009567037313</v>
      </c>
      <c r="W919" s="357">
        <f t="shared" ca="1" si="410"/>
        <v>70.421827724381671</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2.4563553974855497</v>
      </c>
      <c r="AH919" s="357">
        <f t="shared" ca="1" si="434"/>
        <v>-7.2728615106042858</v>
      </c>
    </row>
    <row r="920" spans="1:34" x14ac:dyDescent="0.25">
      <c r="A920" s="402">
        <f t="shared" ca="1" si="412"/>
        <v>0.1</v>
      </c>
      <c r="B920" s="357">
        <f t="shared" ca="1" si="413"/>
        <v>46.600000000000328</v>
      </c>
      <c r="C920" s="342"/>
      <c r="D920" s="359">
        <f t="shared" ca="1" si="414"/>
        <v>-0.93014900231461028</v>
      </c>
      <c r="E920" s="360">
        <f t="shared" ca="1" si="415"/>
        <v>-2.5627615585739232</v>
      </c>
      <c r="F920" s="357">
        <f t="shared" ca="1" si="416"/>
        <v>2.7263389320866014</v>
      </c>
      <c r="G920" s="359">
        <f t="shared" ca="1" si="417"/>
        <v>20.557946480640151</v>
      </c>
      <c r="H920" s="360">
        <f t="shared" ca="1" si="418"/>
        <v>-161.15785299938864</v>
      </c>
      <c r="I920" s="357">
        <f t="shared" ca="1" si="419"/>
        <v>162.46378903273623</v>
      </c>
      <c r="J920" s="359">
        <f t="shared" ca="1" si="420"/>
        <v>1729.4598590342273</v>
      </c>
      <c r="K920" s="360">
        <f t="shared" ca="1" si="421"/>
        <v>426.96117054309047</v>
      </c>
      <c r="L920" s="357">
        <f t="shared" ca="1" si="406"/>
        <v>1781.3835199535824</v>
      </c>
      <c r="M920" s="359">
        <f t="shared" ca="1" si="422"/>
        <v>-1.4439175428094302</v>
      </c>
      <c r="N920" s="357">
        <f t="shared" ca="1" si="423"/>
        <v>-82.730381167880722</v>
      </c>
      <c r="O920" s="343"/>
      <c r="P920" s="363">
        <f t="shared" ca="1" si="424"/>
        <v>23</v>
      </c>
      <c r="Q920" s="357">
        <f t="shared" ca="1" si="425"/>
        <v>0</v>
      </c>
      <c r="R920" s="359">
        <f t="shared" ca="1" si="426"/>
        <v>0</v>
      </c>
      <c r="S920" s="360">
        <f t="shared" ca="1" si="427"/>
        <v>9.637999999999975</v>
      </c>
      <c r="T920" s="357">
        <f t="shared" ca="1" si="407"/>
        <v>94.548779999999766</v>
      </c>
      <c r="U920" s="364">
        <f t="shared" ca="1" si="408"/>
        <v>0</v>
      </c>
      <c r="V920" s="359">
        <f t="shared" ca="1" si="409"/>
        <v>1.1737904804294117</v>
      </c>
      <c r="W920" s="357">
        <f t="shared" ca="1" si="410"/>
        <v>70.746324413699995</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2.4235022444177172</v>
      </c>
      <c r="AH920" s="357">
        <f t="shared" ca="1" si="434"/>
        <v>-7.3066847607783618</v>
      </c>
    </row>
    <row r="921" spans="1:34" x14ac:dyDescent="0.25">
      <c r="A921" s="402">
        <f t="shared" ca="1" si="412"/>
        <v>0.1</v>
      </c>
      <c r="B921" s="357">
        <f t="shared" ca="1" si="413"/>
        <v>46.70000000000033</v>
      </c>
      <c r="C921" s="342"/>
      <c r="D921" s="359">
        <f t="shared" ca="1" si="414"/>
        <v>-0.92883829506513227</v>
      </c>
      <c r="E921" s="360">
        <f t="shared" ca="1" si="415"/>
        <v>-2.5286508848403182</v>
      </c>
      <c r="F921" s="357">
        <f t="shared" ca="1" si="416"/>
        <v>2.6938477825933718</v>
      </c>
      <c r="G921" s="359">
        <f t="shared" ca="1" si="417"/>
        <v>20.465062651133639</v>
      </c>
      <c r="H921" s="360">
        <f t="shared" ca="1" si="418"/>
        <v>-161.41071808787268</v>
      </c>
      <c r="I921" s="357">
        <f t="shared" ca="1" si="419"/>
        <v>162.70291547159667</v>
      </c>
      <c r="J921" s="359">
        <f t="shared" ca="1" si="420"/>
        <v>1731.5110094908159</v>
      </c>
      <c r="K921" s="360">
        <f t="shared" ca="1" si="421"/>
        <v>410.83274198872743</v>
      </c>
      <c r="L921" s="357">
        <f t="shared" ca="1" si="406"/>
        <v>1779.5825122420936</v>
      </c>
      <c r="M921" s="359">
        <f t="shared" ca="1" si="422"/>
        <v>-1.444680494197915</v>
      </c>
      <c r="N921" s="357">
        <f t="shared" ca="1" si="423"/>
        <v>-82.774095062414546</v>
      </c>
      <c r="O921" s="343"/>
      <c r="P921" s="363">
        <f t="shared" ca="1" si="424"/>
        <v>23</v>
      </c>
      <c r="Q921" s="357">
        <f t="shared" ca="1" si="425"/>
        <v>0</v>
      </c>
      <c r="R921" s="359">
        <f t="shared" ca="1" si="426"/>
        <v>0</v>
      </c>
      <c r="S921" s="360">
        <f t="shared" ca="1" si="427"/>
        <v>9.637999999999975</v>
      </c>
      <c r="T921" s="357">
        <f t="shared" ca="1" si="407"/>
        <v>94.548779999999766</v>
      </c>
      <c r="U921" s="364">
        <f t="shared" ca="1" si="408"/>
        <v>0</v>
      </c>
      <c r="V921" s="359">
        <f t="shared" ca="1" si="409"/>
        <v>1.1756859798129771</v>
      </c>
      <c r="W921" s="357">
        <f t="shared" ca="1" si="410"/>
        <v>71.069318703915997</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2.3907908460049931</v>
      </c>
      <c r="AH921" s="357">
        <f t="shared" ca="1" si="434"/>
        <v>-7.3403532282320167</v>
      </c>
    </row>
    <row r="922" spans="1:34" x14ac:dyDescent="0.25">
      <c r="A922" s="402">
        <f t="shared" ca="1" si="412"/>
        <v>0.1</v>
      </c>
      <c r="B922" s="357">
        <f t="shared" ca="1" si="413"/>
        <v>46.800000000000331</v>
      </c>
      <c r="C922" s="342"/>
      <c r="D922" s="359">
        <f t="shared" ca="1" si="414"/>
        <v>-0.92749798246034876</v>
      </c>
      <c r="E922" s="360">
        <f t="shared" ca="1" si="415"/>
        <v>-2.4946979202536168</v>
      </c>
      <c r="F922" s="357">
        <f t="shared" ca="1" si="416"/>
        <v>2.6615353127068855</v>
      </c>
      <c r="G922" s="359">
        <f t="shared" ca="1" si="417"/>
        <v>20.372312852887603</v>
      </c>
      <c r="H922" s="360">
        <f t="shared" ca="1" si="418"/>
        <v>-161.66018787989805</v>
      </c>
      <c r="I922" s="357">
        <f t="shared" ca="1" si="419"/>
        <v>162.93878444477198</v>
      </c>
      <c r="J922" s="359">
        <f t="shared" ca="1" si="420"/>
        <v>1733.5528782660169</v>
      </c>
      <c r="K922" s="360">
        <f t="shared" ca="1" si="421"/>
        <v>394.67919669033893</v>
      </c>
      <c r="L922" s="357">
        <f t="shared" ca="1" si="406"/>
        <v>1777.9137352651628</v>
      </c>
      <c r="M922" s="359">
        <f t="shared" ca="1" si="422"/>
        <v>-1.4454377843691641</v>
      </c>
      <c r="N922" s="357">
        <f t="shared" ca="1" si="423"/>
        <v>-82.817484593093866</v>
      </c>
      <c r="O922" s="343"/>
      <c r="P922" s="363">
        <f t="shared" ca="1" si="424"/>
        <v>23</v>
      </c>
      <c r="Q922" s="357">
        <f t="shared" ca="1" si="425"/>
        <v>0</v>
      </c>
      <c r="R922" s="359">
        <f t="shared" ca="1" si="426"/>
        <v>0</v>
      </c>
      <c r="S922" s="360">
        <f t="shared" ca="1" si="427"/>
        <v>9.637999999999975</v>
      </c>
      <c r="T922" s="357">
        <f t="shared" ca="1" si="407"/>
        <v>94.548779999999766</v>
      </c>
      <c r="U922" s="364">
        <f t="shared" ca="1" si="408"/>
        <v>0</v>
      </c>
      <c r="V922" s="359">
        <f t="shared" ca="1" si="409"/>
        <v>1.177587436038305</v>
      </c>
      <c r="W922" s="357">
        <f t="shared" ca="1" si="410"/>
        <v>71.390800261546289</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2.3582225142584425</v>
      </c>
      <c r="AH922" s="357">
        <f t="shared" ca="1" si="434"/>
        <v>-7.3738658128155405</v>
      </c>
    </row>
    <row r="923" spans="1:34" x14ac:dyDescent="0.25">
      <c r="A923" s="402">
        <f t="shared" ca="1" si="412"/>
        <v>0.1</v>
      </c>
      <c r="B923" s="357">
        <f t="shared" ca="1" si="413"/>
        <v>46.900000000000333</v>
      </c>
      <c r="C923" s="342"/>
      <c r="D923" s="359">
        <f t="shared" ca="1" si="414"/>
        <v>-0.92612838072137604</v>
      </c>
      <c r="E923" s="360">
        <f t="shared" ca="1" si="415"/>
        <v>-2.4609037481671034</v>
      </c>
      <c r="F923" s="357">
        <f t="shared" ca="1" si="416"/>
        <v>2.6294031709345176</v>
      </c>
      <c r="G923" s="359">
        <f t="shared" ca="1" si="417"/>
        <v>20.279700014815464</v>
      </c>
      <c r="H923" s="360">
        <f t="shared" ca="1" si="418"/>
        <v>-161.90627825471475</v>
      </c>
      <c r="I923" s="357">
        <f t="shared" ca="1" si="419"/>
        <v>163.17141039711589</v>
      </c>
      <c r="J923" s="359">
        <f t="shared" ca="1" si="420"/>
        <v>1735.5854789094021</v>
      </c>
      <c r="K923" s="360">
        <f t="shared" ca="1" si="421"/>
        <v>378.50087338360828</v>
      </c>
      <c r="L923" s="357">
        <f t="shared" ca="1" si="406"/>
        <v>1776.3783002934181</v>
      </c>
      <c r="M923" s="359">
        <f t="shared" ca="1" si="422"/>
        <v>-1.446189477957144</v>
      </c>
      <c r="N923" s="357">
        <f t="shared" ca="1" si="423"/>
        <v>-82.860553463172153</v>
      </c>
      <c r="O923" s="343"/>
      <c r="P923" s="363">
        <f t="shared" ca="1" si="424"/>
        <v>23</v>
      </c>
      <c r="Q923" s="357">
        <f t="shared" ca="1" si="425"/>
        <v>0</v>
      </c>
      <c r="R923" s="359">
        <f t="shared" ca="1" si="426"/>
        <v>0</v>
      </c>
      <c r="S923" s="360">
        <f t="shared" ca="1" si="427"/>
        <v>9.637999999999975</v>
      </c>
      <c r="T923" s="357">
        <f t="shared" ca="1" si="407"/>
        <v>94.548779999999766</v>
      </c>
      <c r="U923" s="364">
        <f t="shared" ca="1" si="408"/>
        <v>0</v>
      </c>
      <c r="V923" s="359">
        <f t="shared" ca="1" si="409"/>
        <v>1.1794948303336179</v>
      </c>
      <c r="W923" s="357">
        <f t="shared" ca="1" si="410"/>
        <v>71.710759021768467</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2.3257985289407523</v>
      </c>
      <c r="AH923" s="357">
        <f t="shared" ca="1" si="434"/>
        <v>-7.4072214423683826</v>
      </c>
    </row>
    <row r="924" spans="1:34" x14ac:dyDescent="0.25">
      <c r="A924" s="402">
        <f t="shared" ca="1" si="412"/>
        <v>0.1</v>
      </c>
      <c r="B924" s="357">
        <f t="shared" ca="1" si="413"/>
        <v>47.000000000000334</v>
      </c>
      <c r="C924" s="342"/>
      <c r="D924" s="359">
        <f t="shared" ca="1" si="414"/>
        <v>-0.92472980658633419</v>
      </c>
      <c r="E924" s="360">
        <f t="shared" ca="1" si="415"/>
        <v>-2.4272694237973429</v>
      </c>
      <c r="F924" s="357">
        <f t="shared" ca="1" si="416"/>
        <v>2.5974529968587849</v>
      </c>
      <c r="G924" s="359">
        <f t="shared" ca="1" si="417"/>
        <v>20.18722703415683</v>
      </c>
      <c r="H924" s="360">
        <f t="shared" ca="1" si="418"/>
        <v>-162.14900519709448</v>
      </c>
      <c r="I924" s="357">
        <f t="shared" ca="1" si="419"/>
        <v>163.40080789805162</v>
      </c>
      <c r="J924" s="359">
        <f t="shared" ca="1" si="420"/>
        <v>1737.6088252618508</v>
      </c>
      <c r="K924" s="360">
        <f t="shared" ca="1" si="421"/>
        <v>362.29810921101785</v>
      </c>
      <c r="L924" s="357">
        <f t="shared" ca="1" si="406"/>
        <v>1774.9772814224266</v>
      </c>
      <c r="M924" s="359">
        <f t="shared" ca="1" si="422"/>
        <v>-1.446935638547254</v>
      </c>
      <c r="N924" s="357">
        <f t="shared" ca="1" si="423"/>
        <v>-82.903305315824454</v>
      </c>
      <c r="O924" s="343"/>
      <c r="P924" s="363">
        <f t="shared" ca="1" si="424"/>
        <v>23</v>
      </c>
      <c r="Q924" s="357">
        <f t="shared" ca="1" si="425"/>
        <v>0</v>
      </c>
      <c r="R924" s="359">
        <f t="shared" ca="1" si="426"/>
        <v>0</v>
      </c>
      <c r="S924" s="360">
        <f t="shared" ca="1" si="427"/>
        <v>9.637999999999975</v>
      </c>
      <c r="T924" s="357">
        <f t="shared" ca="1" si="407"/>
        <v>94.548779999999766</v>
      </c>
      <c r="U924" s="364">
        <f t="shared" ca="1" si="408"/>
        <v>0</v>
      </c>
      <c r="V924" s="359">
        <f t="shared" ca="1" si="409"/>
        <v>1.1814081439724398</v>
      </c>
      <c r="W924" s="357">
        <f t="shared" ca="1" si="410"/>
        <v>72.029185187276852</v>
      </c>
      <c r="X924" s="343"/>
      <c r="Y924" s="367" t="str">
        <f t="shared" ca="1" si="428"/>
        <v/>
      </c>
      <c r="Z924" s="368" t="str">
        <f t="shared" ca="1" si="429"/>
        <v/>
      </c>
      <c r="AA924" s="369" t="str">
        <f t="shared" ca="1" si="430"/>
        <v/>
      </c>
      <c r="AB924" s="344"/>
      <c r="AC924" s="363">
        <f t="shared" ca="1" si="431"/>
        <v>47.000000000000334</v>
      </c>
      <c r="AD924" s="376">
        <f t="shared" ca="1" si="432"/>
        <v>1737.6088252618508</v>
      </c>
      <c r="AE924" s="377" t="e">
        <f t="shared" ca="1" si="411"/>
        <v>#N/A</v>
      </c>
      <c r="AF924" s="344"/>
      <c r="AG924" s="359">
        <f t="shared" ca="1" si="433"/>
        <v>2.2935201377825409</v>
      </c>
      <c r="AH924" s="357">
        <f t="shared" ca="1" si="434"/>
        <v>-7.4404190726051729</v>
      </c>
    </row>
    <row r="925" spans="1:34" x14ac:dyDescent="0.25">
      <c r="A925" s="402">
        <f t="shared" ca="1" si="412"/>
        <v>0.1</v>
      </c>
      <c r="B925" s="357">
        <f t="shared" ca="1" si="413"/>
        <v>47.100000000000335</v>
      </c>
      <c r="C925" s="342"/>
      <c r="D925" s="359">
        <f t="shared" ca="1" si="414"/>
        <v>-0.92330257725348641</v>
      </c>
      <c r="E925" s="360">
        <f t="shared" ca="1" si="415"/>
        <v>-2.3937959743429698</v>
      </c>
      <c r="F925" s="357">
        <f t="shared" ca="1" si="416"/>
        <v>2.5656864219821447</v>
      </c>
      <c r="G925" s="359">
        <f t="shared" ca="1" si="417"/>
        <v>20.094896776431483</v>
      </c>
      <c r="H925" s="360">
        <f t="shared" ca="1" si="418"/>
        <v>-162.38838479452878</v>
      </c>
      <c r="I925" s="357">
        <f t="shared" ca="1" si="419"/>
        <v>163.62699163839497</v>
      </c>
      <c r="J925" s="359">
        <f t="shared" ca="1" si="420"/>
        <v>1739.6229314523803</v>
      </c>
      <c r="K925" s="360">
        <f t="shared" ca="1" si="421"/>
        <v>346.0712397114367</v>
      </c>
      <c r="L925" s="357">
        <f t="shared" ca="1" si="406"/>
        <v>1773.711714622865</v>
      </c>
      <c r="M925" s="359">
        <f t="shared" ca="1" si="422"/>
        <v>-1.4476763286971159</v>
      </c>
      <c r="N925" s="357">
        <f t="shared" ca="1" si="423"/>
        <v>-82.945743735338439</v>
      </c>
      <c r="O925" s="343"/>
      <c r="P925" s="363">
        <f t="shared" ca="1" si="424"/>
        <v>23</v>
      </c>
      <c r="Q925" s="357">
        <f t="shared" ca="1" si="425"/>
        <v>0</v>
      </c>
      <c r="R925" s="359">
        <f t="shared" ca="1" si="426"/>
        <v>0</v>
      </c>
      <c r="S925" s="360">
        <f t="shared" ca="1" si="427"/>
        <v>9.637999999999975</v>
      </c>
      <c r="T925" s="357">
        <f t="shared" ca="1" si="407"/>
        <v>94.548779999999766</v>
      </c>
      <c r="U925" s="364">
        <f t="shared" ca="1" si="408"/>
        <v>0</v>
      </c>
      <c r="V925" s="359">
        <f t="shared" ca="1" si="409"/>
        <v>1.183327358274548</v>
      </c>
      <c r="W925" s="357">
        <f t="shared" ca="1" si="410"/>
        <v>72.346069227093125</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2.2613885567005818</v>
      </c>
      <c r="AH925" s="357">
        <f t="shared" ca="1" si="434"/>
        <v>-7.4734576869969951</v>
      </c>
    </row>
    <row r="926" spans="1:34" x14ac:dyDescent="0.25">
      <c r="A926" s="402">
        <f t="shared" ca="1" si="412"/>
        <v>0.1</v>
      </c>
      <c r="B926" s="357">
        <f t="shared" ca="1" si="413"/>
        <v>47.200000000000337</v>
      </c>
      <c r="C926" s="342"/>
      <c r="D926" s="359">
        <f t="shared" ca="1" si="414"/>
        <v>-0.92184701032496474</v>
      </c>
      <c r="E926" s="360">
        <f t="shared" ca="1" si="415"/>
        <v>-2.3604843991082243</v>
      </c>
      <c r="F926" s="357">
        <f t="shared" ca="1" si="416"/>
        <v>2.5341050706074504</v>
      </c>
      <c r="G926" s="359">
        <f t="shared" ca="1" si="417"/>
        <v>20.002712075398986</v>
      </c>
      <c r="H926" s="360">
        <f t="shared" ca="1" si="418"/>
        <v>-162.62443323443961</v>
      </c>
      <c r="I926" s="357">
        <f t="shared" ca="1" si="419"/>
        <v>163.84997642720006</v>
      </c>
      <c r="J926" s="359">
        <f t="shared" ca="1" si="420"/>
        <v>1741.6278118949717</v>
      </c>
      <c r="K926" s="360">
        <f t="shared" ca="1" si="421"/>
        <v>329.82059880998827</v>
      </c>
      <c r="L926" s="357">
        <f t="shared" ca="1" si="406"/>
        <v>1772.5825968246011</v>
      </c>
      <c r="M926" s="359">
        <f t="shared" ca="1" si="422"/>
        <v>-1.4484116099568811</v>
      </c>
      <c r="N926" s="357">
        <f t="shared" ca="1" si="423"/>
        <v>-82.987872248278052</v>
      </c>
      <c r="O926" s="343"/>
      <c r="P926" s="363">
        <f t="shared" ca="1" si="424"/>
        <v>23</v>
      </c>
      <c r="Q926" s="357">
        <f t="shared" ca="1" si="425"/>
        <v>0</v>
      </c>
      <c r="R926" s="359">
        <f t="shared" ca="1" si="426"/>
        <v>0</v>
      </c>
      <c r="S926" s="360">
        <f t="shared" ca="1" si="427"/>
        <v>9.637999999999975</v>
      </c>
      <c r="T926" s="357">
        <f t="shared" ca="1" si="407"/>
        <v>94.548779999999766</v>
      </c>
      <c r="U926" s="364">
        <f t="shared" ca="1" si="408"/>
        <v>0</v>
      </c>
      <c r="V926" s="359">
        <f t="shared" ca="1" si="409"/>
        <v>1.1852524546069154</v>
      </c>
      <c r="W926" s="357">
        <f t="shared" ca="1" si="410"/>
        <v>72.661401875333297</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2.2294049700179679</v>
      </c>
      <c r="AH926" s="357">
        <f t="shared" ca="1" si="434"/>
        <v>-7.5063362966479881</v>
      </c>
    </row>
    <row r="927" spans="1:34" x14ac:dyDescent="0.25">
      <c r="A927" s="402">
        <f t="shared" ca="1" si="412"/>
        <v>0.1</v>
      </c>
      <c r="B927" s="357">
        <f t="shared" ca="1" si="413"/>
        <v>47.300000000000338</v>
      </c>
      <c r="C927" s="342"/>
      <c r="D927" s="359">
        <f t="shared" ca="1" si="414"/>
        <v>-0.92036342375107572</v>
      </c>
      <c r="E927" s="360">
        <f t="shared" ca="1" si="415"/>
        <v>-2.3273356696311094</v>
      </c>
      <c r="F927" s="357">
        <f t="shared" ca="1" si="416"/>
        <v>2.5027105607552955</v>
      </c>
      <c r="G927" s="359">
        <f t="shared" ca="1" si="417"/>
        <v>19.910675733023879</v>
      </c>
      <c r="H927" s="360">
        <f t="shared" ca="1" si="418"/>
        <v>-162.85716680140271</v>
      </c>
      <c r="I927" s="357">
        <f t="shared" ca="1" si="419"/>
        <v>164.06977718862646</v>
      </c>
      <c r="J927" s="359">
        <f t="shared" ca="1" si="420"/>
        <v>1743.6234812853929</v>
      </c>
      <c r="K927" s="360">
        <f t="shared" ca="1" si="421"/>
        <v>313.54651880819614</v>
      </c>
      <c r="L927" s="357">
        <f t="shared" ca="1" si="406"/>
        <v>1771.5908850370988</v>
      </c>
      <c r="M927" s="359">
        <f t="shared" ca="1" si="422"/>
        <v>-1.4491415428890657</v>
      </c>
      <c r="N927" s="357">
        <f t="shared" ca="1" si="423"/>
        <v>-83.02969432461984</v>
      </c>
      <c r="O927" s="343"/>
      <c r="P927" s="363">
        <f t="shared" ca="1" si="424"/>
        <v>23</v>
      </c>
      <c r="Q927" s="357">
        <f t="shared" ca="1" si="425"/>
        <v>0</v>
      </c>
      <c r="R927" s="359">
        <f t="shared" ca="1" si="426"/>
        <v>0</v>
      </c>
      <c r="S927" s="360">
        <f t="shared" ca="1" si="427"/>
        <v>9.637999999999975</v>
      </c>
      <c r="T927" s="357">
        <f t="shared" ca="1" si="407"/>
        <v>94.548779999999766</v>
      </c>
      <c r="U927" s="364">
        <f t="shared" ca="1" si="408"/>
        <v>0</v>
      </c>
      <c r="V927" s="359">
        <f t="shared" ca="1" si="409"/>
        <v>1.1871834143846416</v>
      </c>
      <c r="W927" s="357">
        <f t="shared" ca="1" si="410"/>
        <v>72.975174129930892</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2.1975705306861366</v>
      </c>
      <c r="AH927" s="357">
        <f t="shared" ca="1" si="434"/>
        <v>-7.5390539401674088</v>
      </c>
    </row>
    <row r="928" spans="1:34" x14ac:dyDescent="0.25">
      <c r="A928" s="402">
        <f t="shared" ca="1" si="412"/>
        <v>0.1</v>
      </c>
      <c r="B928" s="357">
        <f t="shared" ca="1" si="413"/>
        <v>47.40000000000034</v>
      </c>
      <c r="C928" s="342"/>
      <c r="D928" s="359">
        <f t="shared" ca="1" si="414"/>
        <v>-0.91885213577520775</v>
      </c>
      <c r="E928" s="360">
        <f t="shared" ca="1" si="415"/>
        <v>-2.2943507298161583</v>
      </c>
      <c r="F928" s="357">
        <f t="shared" ca="1" si="416"/>
        <v>2.4715045051196243</v>
      </c>
      <c r="G928" s="359">
        <f t="shared" ca="1" si="417"/>
        <v>19.81879051944636</v>
      </c>
      <c r="H928" s="360">
        <f t="shared" ca="1" si="418"/>
        <v>-163.08660187438431</v>
      </c>
      <c r="I928" s="357">
        <f t="shared" ca="1" si="419"/>
        <v>164.28640895882904</v>
      </c>
      <c r="J928" s="359">
        <f t="shared" ca="1" si="420"/>
        <v>1745.6099545980164</v>
      </c>
      <c r="K928" s="360">
        <f t="shared" ca="1" si="421"/>
        <v>297.24933037440678</v>
      </c>
      <c r="L928" s="357">
        <f t="shared" ca="1" si="406"/>
        <v>1770.737495508502</v>
      </c>
      <c r="M928" s="359">
        <f t="shared" ca="1" si="422"/>
        <v>-1.449866187087931</v>
      </c>
      <c r="N928" s="357">
        <f t="shared" ca="1" si="423"/>
        <v>-83.071213378863462</v>
      </c>
      <c r="O928" s="343"/>
      <c r="P928" s="363">
        <f t="shared" ca="1" si="424"/>
        <v>23</v>
      </c>
      <c r="Q928" s="357">
        <f t="shared" ca="1" si="425"/>
        <v>0</v>
      </c>
      <c r="R928" s="359">
        <f t="shared" ca="1" si="426"/>
        <v>0</v>
      </c>
      <c r="S928" s="360">
        <f t="shared" ca="1" si="427"/>
        <v>9.637999999999975</v>
      </c>
      <c r="T928" s="357">
        <f t="shared" ca="1" si="407"/>
        <v>94.548779999999766</v>
      </c>
      <c r="U928" s="364">
        <f t="shared" ca="1" si="408"/>
        <v>0</v>
      </c>
      <c r="V928" s="359">
        <f t="shared" ca="1" si="409"/>
        <v>1.1891202190718788</v>
      </c>
      <c r="W928" s="357">
        <f t="shared" ca="1" si="410"/>
        <v>73.287377251318205</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2.1658863605088587</v>
      </c>
      <c r="AH928" s="357">
        <f t="shared" ca="1" si="434"/>
        <v>-7.5716096835371527</v>
      </c>
    </row>
    <row r="929" spans="1:34" x14ac:dyDescent="0.25">
      <c r="A929" s="402">
        <f t="shared" ca="1" si="412"/>
        <v>0.1</v>
      </c>
      <c r="B929" s="357">
        <f t="shared" ca="1" si="413"/>
        <v>47.500000000000341</v>
      </c>
      <c r="C929" s="342"/>
      <c r="D929" s="359">
        <f t="shared" ca="1" si="414"/>
        <v>-0.91731346487931997</v>
      </c>
      <c r="E929" s="360">
        <f t="shared" ca="1" si="415"/>
        <v>-2.2615304960716225</v>
      </c>
      <c r="F929" s="357">
        <f t="shared" ca="1" si="416"/>
        <v>2.4404885120628745</v>
      </c>
      <c r="G929" s="359">
        <f t="shared" ca="1" si="417"/>
        <v>19.727059172958427</v>
      </c>
      <c r="H929" s="360">
        <f t="shared" ca="1" si="418"/>
        <v>-163.31275492399146</v>
      </c>
      <c r="I929" s="357">
        <f t="shared" ca="1" si="419"/>
        <v>164.49988688287024</v>
      </c>
      <c r="J929" s="359">
        <f t="shared" ca="1" si="420"/>
        <v>1747.5872470826366</v>
      </c>
      <c r="K929" s="360">
        <f t="shared" ca="1" si="421"/>
        <v>280.92936253448801</v>
      </c>
      <c r="L929" s="357">
        <f t="shared" ca="1" si="406"/>
        <v>1770.023302925671</v>
      </c>
      <c r="M929" s="359">
        <f t="shared" ca="1" si="422"/>
        <v>-1.4505856011984151</v>
      </c>
      <c r="N929" s="357">
        <f t="shared" ca="1" si="423"/>
        <v>-83.11243277111636</v>
      </c>
      <c r="O929" s="343"/>
      <c r="P929" s="363">
        <f t="shared" ca="1" si="424"/>
        <v>23</v>
      </c>
      <c r="Q929" s="357">
        <f t="shared" ca="1" si="425"/>
        <v>0</v>
      </c>
      <c r="R929" s="359">
        <f t="shared" ca="1" si="426"/>
        <v>0</v>
      </c>
      <c r="S929" s="360">
        <f t="shared" ca="1" si="427"/>
        <v>9.637999999999975</v>
      </c>
      <c r="T929" s="357">
        <f t="shared" ca="1" si="407"/>
        <v>94.548779999999766</v>
      </c>
      <c r="U929" s="364">
        <f t="shared" ca="1" si="408"/>
        <v>0</v>
      </c>
      <c r="V929" s="359">
        <f t="shared" ca="1" si="409"/>
        <v>1.1910628501827454</v>
      </c>
      <c r="W929" s="357">
        <f t="shared" ca="1" si="410"/>
        <v>73.598002761065842</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2.1343535503680906</v>
      </c>
      <c r="AH929" s="357">
        <f t="shared" ca="1" si="434"/>
        <v>-7.6040026199749322</v>
      </c>
    </row>
    <row r="930" spans="1:34" x14ac:dyDescent="0.25">
      <c r="A930" s="402">
        <f t="shared" ca="1" si="412"/>
        <v>0.1</v>
      </c>
      <c r="B930" s="357">
        <f t="shared" ca="1" si="413"/>
        <v>47.600000000000342</v>
      </c>
      <c r="C930" s="342"/>
      <c r="D930" s="359">
        <f t="shared" ca="1" si="414"/>
        <v>-0.91574772973005747</v>
      </c>
      <c r="E930" s="360">
        <f t="shared" ca="1" si="415"/>
        <v>-2.2288758574510679</v>
      </c>
      <c r="F930" s="357">
        <f t="shared" ca="1" si="416"/>
        <v>2.409664186652154</v>
      </c>
      <c r="G930" s="359">
        <f t="shared" ca="1" si="417"/>
        <v>19.635484399985422</v>
      </c>
      <c r="H930" s="360">
        <f t="shared" ca="1" si="418"/>
        <v>-163.53564250973656</v>
      </c>
      <c r="I930" s="357">
        <f t="shared" ca="1" si="419"/>
        <v>164.7102262116546</v>
      </c>
      <c r="J930" s="359">
        <f t="shared" ca="1" si="420"/>
        <v>1749.5553742612838</v>
      </c>
      <c r="K930" s="360">
        <f t="shared" ca="1" si="421"/>
        <v>264.58694266280162</v>
      </c>
      <c r="L930" s="357">
        <f t="shared" ca="1" si="406"/>
        <v>1769.4491396573651</v>
      </c>
      <c r="M930" s="359">
        <f t="shared" ca="1" si="422"/>
        <v>-1.4512998429346329</v>
      </c>
      <c r="N930" s="357">
        <f t="shared" ca="1" si="423"/>
        <v>-83.153355808153734</v>
      </c>
      <c r="O930" s="343"/>
      <c r="P930" s="363">
        <f t="shared" ca="1" si="424"/>
        <v>23</v>
      </c>
      <c r="Q930" s="357">
        <f t="shared" ca="1" si="425"/>
        <v>0</v>
      </c>
      <c r="R930" s="359">
        <f t="shared" ca="1" si="426"/>
        <v>0</v>
      </c>
      <c r="S930" s="360">
        <f t="shared" ca="1" si="427"/>
        <v>9.637999999999975</v>
      </c>
      <c r="T930" s="357">
        <f t="shared" ca="1" si="407"/>
        <v>94.548779999999766</v>
      </c>
      <c r="U930" s="364">
        <f t="shared" ca="1" si="408"/>
        <v>0</v>
      </c>
      <c r="V930" s="359">
        <f t="shared" ca="1" si="409"/>
        <v>1.1930112892822338</v>
      </c>
      <c r="W930" s="357">
        <f t="shared" ca="1" si="410"/>
        <v>73.907042440481547</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2.1029731604517217</v>
      </c>
      <c r="AH930" s="357">
        <f t="shared" ca="1" si="434"/>
        <v>-7.6362318697931144</v>
      </c>
    </row>
    <row r="931" spans="1:34" x14ac:dyDescent="0.25">
      <c r="A931" s="402">
        <f t="shared" ca="1" si="412"/>
        <v>0.1</v>
      </c>
      <c r="B931" s="357">
        <f t="shared" ca="1" si="413"/>
        <v>47.700000000000344</v>
      </c>
      <c r="C931" s="342"/>
      <c r="D931" s="359">
        <f t="shared" ca="1" si="414"/>
        <v>-0.9141552491254602</v>
      </c>
      <c r="E931" s="360">
        <f t="shared" ca="1" si="415"/>
        <v>-2.1963876757992526</v>
      </c>
      <c r="F931" s="357">
        <f t="shared" ca="1" si="416"/>
        <v>2.3790331317378652</v>
      </c>
      <c r="G931" s="359">
        <f t="shared" ca="1" si="417"/>
        <v>19.544068875072877</v>
      </c>
      <c r="H931" s="360">
        <f t="shared" ca="1" si="418"/>
        <v>-163.7552812773165</v>
      </c>
      <c r="I931" s="357">
        <f t="shared" ca="1" si="419"/>
        <v>164.91744229888675</v>
      </c>
      <c r="J931" s="359">
        <f t="shared" ca="1" si="420"/>
        <v>1751.5143519250366</v>
      </c>
      <c r="K931" s="360">
        <f t="shared" ca="1" si="421"/>
        <v>248.22239647344895</v>
      </c>
      <c r="L931" s="357">
        <f t="shared" ca="1" si="406"/>
        <v>1769.0157950426567</v>
      </c>
      <c r="M931" s="359">
        <f t="shared" ca="1" si="422"/>
        <v>-1.4520089690979534</v>
      </c>
      <c r="N931" s="357">
        <f t="shared" ca="1" si="423"/>
        <v>-83.193985744454309</v>
      </c>
      <c r="O931" s="343"/>
      <c r="P931" s="363">
        <f t="shared" ca="1" si="424"/>
        <v>23</v>
      </c>
      <c r="Q931" s="357">
        <f t="shared" ca="1" si="425"/>
        <v>0</v>
      </c>
      <c r="R931" s="359">
        <f t="shared" ca="1" si="426"/>
        <v>0</v>
      </c>
      <c r="S931" s="360">
        <f t="shared" ca="1" si="427"/>
        <v>9.637999999999975</v>
      </c>
      <c r="T931" s="357">
        <f t="shared" ca="1" si="407"/>
        <v>94.548779999999766</v>
      </c>
      <c r="U931" s="364">
        <f t="shared" ca="1" si="408"/>
        <v>0</v>
      </c>
      <c r="V931" s="359">
        <f t="shared" ca="1" si="409"/>
        <v>1.1949655179871066</v>
      </c>
      <c r="W931" s="357">
        <f t="shared" ca="1" si="410"/>
        <v>74.214488329169527</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2.0717462204832104</v>
      </c>
      <c r="AH931" s="357">
        <f t="shared" ca="1" si="434"/>
        <v>-7.6682965802533447</v>
      </c>
    </row>
    <row r="932" spans="1:34" x14ac:dyDescent="0.25">
      <c r="A932" s="402">
        <f t="shared" ca="1" si="412"/>
        <v>0.1</v>
      </c>
      <c r="B932" s="357">
        <f t="shared" ca="1" si="413"/>
        <v>47.800000000000345</v>
      </c>
      <c r="C932" s="342"/>
      <c r="D932" s="359">
        <f t="shared" ca="1" si="414"/>
        <v>-0.91253634194230127</v>
      </c>
      <c r="E932" s="360">
        <f t="shared" ca="1" si="415"/>
        <v>-2.1640667859021816</v>
      </c>
      <c r="F932" s="357">
        <f t="shared" ca="1" si="416"/>
        <v>2.3485969490762852</v>
      </c>
      <c r="G932" s="359">
        <f t="shared" ca="1" si="417"/>
        <v>19.452815240878646</v>
      </c>
      <c r="H932" s="360">
        <f t="shared" ca="1" si="418"/>
        <v>-163.97168795590673</v>
      </c>
      <c r="I932" s="357">
        <f t="shared" ca="1" si="419"/>
        <v>165.1215505980519</v>
      </c>
      <c r="J932" s="359">
        <f t="shared" ca="1" si="420"/>
        <v>1753.4641961308341</v>
      </c>
      <c r="K932" s="360">
        <f t="shared" ca="1" si="421"/>
        <v>231.8360480117878</v>
      </c>
      <c r="L932" s="357">
        <f t="shared" ca="1" si="406"/>
        <v>1768.7240147265702</v>
      </c>
      <c r="M932" s="359">
        <f t="shared" ca="1" si="422"/>
        <v>-1.4527130355946656</v>
      </c>
      <c r="N932" s="357">
        <f t="shared" ca="1" si="423"/>
        <v>-83.234325783212469</v>
      </c>
      <c r="O932" s="343"/>
      <c r="P932" s="363">
        <f t="shared" ca="1" si="424"/>
        <v>23</v>
      </c>
      <c r="Q932" s="357">
        <f t="shared" ca="1" si="425"/>
        <v>0</v>
      </c>
      <c r="R932" s="359">
        <f t="shared" ca="1" si="426"/>
        <v>0</v>
      </c>
      <c r="S932" s="360">
        <f t="shared" ca="1" si="427"/>
        <v>9.637999999999975</v>
      </c>
      <c r="T932" s="357">
        <f t="shared" ca="1" si="407"/>
        <v>94.548779999999766</v>
      </c>
      <c r="U932" s="364">
        <f t="shared" ca="1" si="408"/>
        <v>0</v>
      </c>
      <c r="V932" s="359">
        <f t="shared" ca="1" si="409"/>
        <v>1.1969255179667839</v>
      </c>
      <c r="W932" s="357">
        <f t="shared" ca="1" si="410"/>
        <v>74.520332723550268</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2.0406737299530278</v>
      </c>
      <c r="AH932" s="357">
        <f t="shared" ca="1" si="434"/>
        <v>-7.70019592541707</v>
      </c>
    </row>
    <row r="933" spans="1:34" x14ac:dyDescent="0.25">
      <c r="A933" s="402">
        <f t="shared" ca="1" si="412"/>
        <v>0.1</v>
      </c>
      <c r="B933" s="357">
        <f t="shared" ca="1" si="413"/>
        <v>47.900000000000347</v>
      </c>
      <c r="C933" s="342"/>
      <c r="D933" s="359">
        <f t="shared" ca="1" si="414"/>
        <v>-0.91089132708403753</v>
      </c>
      <c r="E933" s="360">
        <f t="shared" ca="1" si="415"/>
        <v>-2.1319139956413213</v>
      </c>
      <c r="F933" s="357">
        <f t="shared" ca="1" si="416"/>
        <v>2.3183572404977331</v>
      </c>
      <c r="G933" s="359">
        <f t="shared" ca="1" si="417"/>
        <v>19.361726108170242</v>
      </c>
      <c r="H933" s="360">
        <f t="shared" ca="1" si="418"/>
        <v>-164.18487935547085</v>
      </c>
      <c r="I933" s="357">
        <f t="shared" ca="1" si="419"/>
        <v>165.32256665941986</v>
      </c>
      <c r="J933" s="359">
        <f t="shared" ca="1" si="420"/>
        <v>1755.4049231982865</v>
      </c>
      <c r="K933" s="360">
        <f t="shared" ca="1" si="421"/>
        <v>215.42821964621891</v>
      </c>
      <c r="L933" s="357">
        <f t="shared" ca="1" si="406"/>
        <v>1768.5745000448021</v>
      </c>
      <c r="M933" s="359">
        <f t="shared" ca="1" si="422"/>
        <v>-1.4534120974532443</v>
      </c>
      <c r="N933" s="357">
        <f t="shared" ca="1" si="423"/>
        <v>-83.274379077327609</v>
      </c>
      <c r="O933" s="343"/>
      <c r="P933" s="363">
        <f t="shared" ca="1" si="424"/>
        <v>23</v>
      </c>
      <c r="Q933" s="357">
        <f t="shared" ca="1" si="425"/>
        <v>0</v>
      </c>
      <c r="R933" s="359">
        <f t="shared" ca="1" si="426"/>
        <v>0</v>
      </c>
      <c r="S933" s="360">
        <f t="shared" ca="1" si="427"/>
        <v>9.637999999999975</v>
      </c>
      <c r="T933" s="357">
        <f t="shared" ca="1" si="407"/>
        <v>94.548779999999766</v>
      </c>
      <c r="U933" s="364">
        <f t="shared" ca="1" si="408"/>
        <v>0</v>
      </c>
      <c r="V933" s="359">
        <f t="shared" ca="1" si="409"/>
        <v>1.1988912709442239</v>
      </c>
      <c r="W933" s="357">
        <f t="shared" ca="1" si="410"/>
        <v>74.824568175342989</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2.0097566583520203</v>
      </c>
      <c r="AH933" s="357">
        <f t="shared" ca="1" si="434"/>
        <v>-7.7319291059919548</v>
      </c>
    </row>
    <row r="934" spans="1:34" x14ac:dyDescent="0.25">
      <c r="A934" s="402">
        <f t="shared" ca="1" si="412"/>
        <v>0.1</v>
      </c>
      <c r="B934" s="357">
        <f t="shared" ca="1" si="413"/>
        <v>48.000000000000348</v>
      </c>
      <c r="C934" s="342"/>
      <c r="D934" s="359">
        <f t="shared" ca="1" si="414"/>
        <v>-0.90922052342939619</v>
      </c>
      <c r="E934" s="360">
        <f t="shared" ca="1" si="415"/>
        <v>-2.0999300861517591</v>
      </c>
      <c r="F934" s="357">
        <f t="shared" ca="1" si="416"/>
        <v>2.2883156091218186</v>
      </c>
      <c r="G934" s="359">
        <f t="shared" ca="1" si="417"/>
        <v>19.270804055827302</v>
      </c>
      <c r="H934" s="360">
        <f t="shared" ca="1" si="418"/>
        <v>-164.39487236408604</v>
      </c>
      <c r="I934" s="357">
        <f t="shared" ca="1" si="419"/>
        <v>165.52050612707245</v>
      </c>
      <c r="J934" s="359">
        <f t="shared" ca="1" si="420"/>
        <v>1757.3365497064863</v>
      </c>
      <c r="K934" s="360">
        <f t="shared" ca="1" si="421"/>
        <v>198.99923206024107</v>
      </c>
      <c r="L934" s="357">
        <f t="shared" ca="1" si="406"/>
        <v>1768.5679074592708</v>
      </c>
      <c r="M934" s="359">
        <f t="shared" ca="1" si="422"/>
        <v>-1.454106208841226</v>
      </c>
      <c r="N934" s="357">
        <f t="shared" ca="1" si="423"/>
        <v>-83.314148730370917</v>
      </c>
      <c r="O934" s="343"/>
      <c r="P934" s="363">
        <f t="shared" ca="1" si="424"/>
        <v>23</v>
      </c>
      <c r="Q934" s="357">
        <f t="shared" ca="1" si="425"/>
        <v>0</v>
      </c>
      <c r="R934" s="359">
        <f t="shared" ca="1" si="426"/>
        <v>0</v>
      </c>
      <c r="S934" s="360">
        <f t="shared" ca="1" si="427"/>
        <v>9.637999999999975</v>
      </c>
      <c r="T934" s="357">
        <f t="shared" ca="1" si="407"/>
        <v>94.548779999999766</v>
      </c>
      <c r="U934" s="364">
        <f t="shared" ca="1" si="408"/>
        <v>0</v>
      </c>
      <c r="V934" s="359">
        <f t="shared" ca="1" si="409"/>
        <v>1.2008627586967904</v>
      </c>
      <c r="W934" s="357">
        <f t="shared" ca="1" si="410"/>
        <v>75.127187490010499</v>
      </c>
      <c r="X934" s="343"/>
      <c r="Y934" s="367" t="str">
        <f t="shared" ca="1" si="428"/>
        <v/>
      </c>
      <c r="Z934" s="368" t="str">
        <f t="shared" ca="1" si="429"/>
        <v/>
      </c>
      <c r="AA934" s="369" t="str">
        <f t="shared" ca="1" si="430"/>
        <v/>
      </c>
      <c r="AB934" s="344"/>
      <c r="AC934" s="363">
        <f t="shared" ca="1" si="431"/>
        <v>48.000000000000348</v>
      </c>
      <c r="AD934" s="376">
        <f t="shared" ca="1" si="432"/>
        <v>1757.3365497064863</v>
      </c>
      <c r="AE934" s="377" t="e">
        <f t="shared" ca="1" si="411"/>
        <v>#N/A</v>
      </c>
      <c r="AF934" s="344"/>
      <c r="AG934" s="359">
        <f t="shared" ca="1" si="433"/>
        <v>1.9789959454064716</v>
      </c>
      <c r="AH934" s="357">
        <f t="shared" ca="1" si="434"/>
        <v>-7.7634953491744332</v>
      </c>
    </row>
    <row r="935" spans="1:34" x14ac:dyDescent="0.25">
      <c r="A935" s="402">
        <f t="shared" ca="1" si="412"/>
        <v>0.1</v>
      </c>
      <c r="B935" s="357">
        <f t="shared" ca="1" si="413"/>
        <v>48.10000000000035</v>
      </c>
      <c r="C935" s="342"/>
      <c r="D935" s="359">
        <f t="shared" ca="1" si="414"/>
        <v>-0.90752424978159218</v>
      </c>
      <c r="E935" s="360">
        <f t="shared" ca="1" si="415"/>
        <v>-2.0681158119843266</v>
      </c>
      <c r="F935" s="357">
        <f t="shared" ca="1" si="416"/>
        <v>2.2584736606215339</v>
      </c>
      <c r="G935" s="359">
        <f t="shared" ca="1" si="417"/>
        <v>19.180051630849142</v>
      </c>
      <c r="H935" s="360">
        <f t="shared" ca="1" si="418"/>
        <v>-164.60168394528446</v>
      </c>
      <c r="I935" s="357">
        <f t="shared" ca="1" si="419"/>
        <v>165.7153847359543</v>
      </c>
      <c r="J935" s="359">
        <f t="shared" ca="1" si="420"/>
        <v>1759.2590924908202</v>
      </c>
      <c r="K935" s="360">
        <f t="shared" ca="1" si="421"/>
        <v>182.54940424477255</v>
      </c>
      <c r="L935" s="357">
        <f t="shared" ca="1" si="406"/>
        <v>1768.704848046091</v>
      </c>
      <c r="M935" s="359">
        <f t="shared" ca="1" si="422"/>
        <v>-1.4547954230817051</v>
      </c>
      <c r="N935" s="357">
        <f t="shared" ca="1" si="423"/>
        <v>-83.353637797530681</v>
      </c>
      <c r="O935" s="343"/>
      <c r="P935" s="363">
        <f t="shared" ca="1" si="424"/>
        <v>23</v>
      </c>
      <c r="Q935" s="357">
        <f t="shared" ca="1" si="425"/>
        <v>0</v>
      </c>
      <c r="R935" s="359">
        <f t="shared" ca="1" si="426"/>
        <v>0</v>
      </c>
      <c r="S935" s="360">
        <f t="shared" ca="1" si="427"/>
        <v>9.637999999999975</v>
      </c>
      <c r="T935" s="357">
        <f t="shared" ca="1" si="407"/>
        <v>94.548779999999766</v>
      </c>
      <c r="U935" s="364">
        <f t="shared" ca="1" si="408"/>
        <v>0</v>
      </c>
      <c r="V935" s="359">
        <f t="shared" ca="1" si="409"/>
        <v>1.2028399630571138</v>
      </c>
      <c r="W935" s="357">
        <f t="shared" ca="1" si="410"/>
        <v>75.428183725167727</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1.9483925013150447</v>
      </c>
      <c r="AH935" s="357">
        <f t="shared" ca="1" si="434"/>
        <v>-7.7948939084883477</v>
      </c>
    </row>
    <row r="936" spans="1:34" x14ac:dyDescent="0.25">
      <c r="A936" s="402">
        <f t="shared" ca="1" si="412"/>
        <v>0.1</v>
      </c>
      <c r="B936" s="357">
        <f t="shared" ca="1" si="413"/>
        <v>48.200000000000351</v>
      </c>
      <c r="C936" s="342"/>
      <c r="D936" s="359">
        <f t="shared" ca="1" si="414"/>
        <v>-0.90580282481818164</v>
      </c>
      <c r="E936" s="360">
        <f t="shared" ca="1" si="415"/>
        <v>-2.0364719012715495</v>
      </c>
      <c r="F936" s="357">
        <f t="shared" ca="1" si="416"/>
        <v>2.2288330045378362</v>
      </c>
      <c r="G936" s="359">
        <f t="shared" ca="1" si="417"/>
        <v>19.089471348367326</v>
      </c>
      <c r="H936" s="360">
        <f t="shared" ca="1" si="418"/>
        <v>-164.80533113541162</v>
      </c>
      <c r="I936" s="357">
        <f t="shared" ca="1" si="419"/>
        <v>165.90721830894765</v>
      </c>
      <c r="J936" s="359">
        <f t="shared" ca="1" si="420"/>
        <v>1761.172568639781</v>
      </c>
      <c r="K936" s="360">
        <f t="shared" ca="1" si="421"/>
        <v>166.07905349073775</v>
      </c>
      <c r="L936" s="357">
        <f t="shared" ca="1" si="406"/>
        <v>1768.9858870374358</v>
      </c>
      <c r="M936" s="359">
        <f t="shared" ca="1" si="422"/>
        <v>-1.45547979266946</v>
      </c>
      <c r="N936" s="357">
        <f t="shared" ca="1" si="423"/>
        <v>-83.392849286536162</v>
      </c>
      <c r="O936" s="343"/>
      <c r="P936" s="363">
        <f t="shared" ca="1" si="424"/>
        <v>23</v>
      </c>
      <c r="Q936" s="357">
        <f t="shared" ca="1" si="425"/>
        <v>0</v>
      </c>
      <c r="R936" s="359">
        <f t="shared" ca="1" si="426"/>
        <v>0</v>
      </c>
      <c r="S936" s="360">
        <f t="shared" ca="1" si="427"/>
        <v>9.637999999999975</v>
      </c>
      <c r="T936" s="357">
        <f t="shared" ca="1" si="407"/>
        <v>94.548779999999766</v>
      </c>
      <c r="U936" s="364">
        <f t="shared" ca="1" si="408"/>
        <v>0</v>
      </c>
      <c r="V936" s="359">
        <f t="shared" ca="1" si="409"/>
        <v>1.2048228659139428</v>
      </c>
      <c r="W936" s="357">
        <f t="shared" ca="1" si="410"/>
        <v>75.727550188955135</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1.917947206987427</v>
      </c>
      <c r="AH936" s="357">
        <f t="shared" ca="1" si="434"/>
        <v>-7.8261240636198304</v>
      </c>
    </row>
    <row r="937" spans="1:34" x14ac:dyDescent="0.25">
      <c r="A937" s="402">
        <f t="shared" ca="1" si="412"/>
        <v>0.1</v>
      </c>
      <c r="B937" s="357">
        <f t="shared" ca="1" si="413"/>
        <v>48.300000000000352</v>
      </c>
      <c r="C937" s="342"/>
      <c r="D937" s="359">
        <f t="shared" ca="1" si="414"/>
        <v>-0.90405656704156234</v>
      </c>
      <c r="E937" s="360">
        <f t="shared" ca="1" si="415"/>
        <v>-2.0049990558973079</v>
      </c>
      <c r="F937" s="357">
        <f t="shared" ca="1" si="416"/>
        <v>2.1993952556464405</v>
      </c>
      <c r="G937" s="359">
        <f t="shared" ca="1" si="417"/>
        <v>18.999065691663169</v>
      </c>
      <c r="H937" s="360">
        <f t="shared" ca="1" si="418"/>
        <v>-165.00583104100136</v>
      </c>
      <c r="I937" s="357">
        <f t="shared" ca="1" si="419"/>
        <v>166.09602275397091</v>
      </c>
      <c r="J937" s="359">
        <f t="shared" ca="1" si="420"/>
        <v>1763.0769954917826</v>
      </c>
      <c r="K937" s="360">
        <f t="shared" ca="1" si="421"/>
        <v>149.58849538191711</v>
      </c>
      <c r="L937" s="357">
        <f t="shared" ca="1" si="406"/>
        <v>1769.4115434185901</v>
      </c>
      <c r="M937" s="359">
        <f t="shared" ca="1" si="422"/>
        <v>-1.4561593692867201</v>
      </c>
      <c r="N937" s="357">
        <f t="shared" ca="1" si="423"/>
        <v>-83.431786158560939</v>
      </c>
      <c r="O937" s="343"/>
      <c r="P937" s="363">
        <f t="shared" ca="1" si="424"/>
        <v>23</v>
      </c>
      <c r="Q937" s="357">
        <f t="shared" ca="1" si="425"/>
        <v>0</v>
      </c>
      <c r="R937" s="359">
        <f t="shared" ca="1" si="426"/>
        <v>0</v>
      </c>
      <c r="S937" s="360">
        <f t="shared" ca="1" si="427"/>
        <v>9.637999999999975</v>
      </c>
      <c r="T937" s="357">
        <f t="shared" ca="1" si="407"/>
        <v>94.548779999999766</v>
      </c>
      <c r="U937" s="364">
        <f t="shared" ca="1" si="408"/>
        <v>0</v>
      </c>
      <c r="V937" s="359">
        <f t="shared" ca="1" si="409"/>
        <v>1.2068114492129856</v>
      </c>
      <c r="W937" s="357">
        <f t="shared" ca="1" si="410"/>
        <v>76.025280438377308</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1.8876609142847061</v>
      </c>
      <c r="AH937" s="357">
        <f t="shared" ca="1" si="434"/>
        <v>-7.8571851202485297</v>
      </c>
    </row>
    <row r="938" spans="1:34" x14ac:dyDescent="0.25">
      <c r="A938" s="402">
        <f t="shared" ca="1" si="412"/>
        <v>0.1</v>
      </c>
      <c r="B938" s="357">
        <f t="shared" ca="1" si="413"/>
        <v>48.400000000000354</v>
      </c>
      <c r="C938" s="342"/>
      <c r="D938" s="359">
        <f t="shared" ca="1" si="414"/>
        <v>-0.90228579473011605</v>
      </c>
      <c r="E938" s="360">
        <f t="shared" ca="1" si="415"/>
        <v>-1.9736979516701627</v>
      </c>
      <c r="F938" s="357">
        <f t="shared" ca="1" si="416"/>
        <v>2.1701620353786382</v>
      </c>
      <c r="G938" s="359">
        <f t="shared" ca="1" si="417"/>
        <v>18.908837112190156</v>
      </c>
      <c r="H938" s="360">
        <f t="shared" ca="1" si="418"/>
        <v>-165.20320083616838</v>
      </c>
      <c r="I938" s="357">
        <f t="shared" ca="1" si="419"/>
        <v>166.28181406110147</v>
      </c>
      <c r="J938" s="359">
        <f t="shared" ca="1" si="420"/>
        <v>1764.9723906319753</v>
      </c>
      <c r="K938" s="360">
        <f t="shared" ca="1" si="421"/>
        <v>133.07804378805864</v>
      </c>
      <c r="L938" s="357">
        <f t="shared" ca="1" si="406"/>
        <v>1769.9822895813411</v>
      </c>
      <c r="M938" s="359">
        <f t="shared" ca="1" si="422"/>
        <v>-1.4568342038185802</v>
      </c>
      <c r="N938" s="357">
        <f t="shared" ca="1" si="423"/>
        <v>-83.470451329106211</v>
      </c>
      <c r="O938" s="343"/>
      <c r="P938" s="363">
        <f t="shared" ca="1" si="424"/>
        <v>23</v>
      </c>
      <c r="Q938" s="357">
        <f t="shared" ca="1" si="425"/>
        <v>0</v>
      </c>
      <c r="R938" s="359">
        <f t="shared" ca="1" si="426"/>
        <v>0</v>
      </c>
      <c r="S938" s="360">
        <f t="shared" ca="1" si="427"/>
        <v>9.637999999999975</v>
      </c>
      <c r="T938" s="357">
        <f t="shared" ca="1" si="407"/>
        <v>94.548779999999766</v>
      </c>
      <c r="U938" s="364">
        <f t="shared" ca="1" si="408"/>
        <v>0</v>
      </c>
      <c r="V938" s="359">
        <f t="shared" ca="1" si="409"/>
        <v>1.2088056949577393</v>
      </c>
      <c r="W938" s="357">
        <f t="shared" ca="1" si="410"/>
        <v>76.32136827760786</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1.8575344462614432</v>
      </c>
      <c r="AH938" s="357">
        <f t="shared" ca="1" si="434"/>
        <v>-7.8880764098752341</v>
      </c>
    </row>
    <row r="939" spans="1:34" x14ac:dyDescent="0.25">
      <c r="A939" s="402">
        <f t="shared" ca="1" si="412"/>
        <v>0.1</v>
      </c>
      <c r="B939" s="357">
        <f t="shared" ca="1" si="413"/>
        <v>48.500000000000355</v>
      </c>
      <c r="C939" s="342"/>
      <c r="D939" s="359">
        <f t="shared" ca="1" si="414"/>
        <v>-0.90049082589000151</v>
      </c>
      <c r="E939" s="360">
        <f t="shared" ca="1" si="415"/>
        <v>-1.9425692385002451</v>
      </c>
      <c r="F939" s="357">
        <f t="shared" ca="1" si="416"/>
        <v>2.1411349732979188</v>
      </c>
      <c r="G939" s="359">
        <f t="shared" ca="1" si="417"/>
        <v>18.818788029601155</v>
      </c>
      <c r="H939" s="360">
        <f t="shared" ca="1" si="418"/>
        <v>-165.3974577600184</v>
      </c>
      <c r="I939" s="357">
        <f t="shared" ca="1" si="419"/>
        <v>166.46460829972276</v>
      </c>
      <c r="J939" s="359">
        <f t="shared" ca="1" si="420"/>
        <v>1766.8587718890649</v>
      </c>
      <c r="K939" s="360">
        <f t="shared" ca="1" si="421"/>
        <v>116.5480108582493</v>
      </c>
      <c r="L939" s="357">
        <f t="shared" ca="1" si="406"/>
        <v>1770.6985510346894</v>
      </c>
      <c r="M939" s="359">
        <f t="shared" ca="1" si="422"/>
        <v>-1.4575043463680746</v>
      </c>
      <c r="N939" s="357">
        <f t="shared" ca="1" si="423"/>
        <v>-83.508847668864362</v>
      </c>
      <c r="O939" s="343"/>
      <c r="P939" s="363">
        <f t="shared" ca="1" si="424"/>
        <v>23</v>
      </c>
      <c r="Q939" s="357">
        <f t="shared" ca="1" si="425"/>
        <v>0</v>
      </c>
      <c r="R939" s="359">
        <f t="shared" ca="1" si="426"/>
        <v>0</v>
      </c>
      <c r="S939" s="360">
        <f t="shared" ca="1" si="427"/>
        <v>9.637999999999975</v>
      </c>
      <c r="T939" s="357">
        <f t="shared" ca="1" si="407"/>
        <v>94.548779999999766</v>
      </c>
      <c r="U939" s="364">
        <f t="shared" ca="1" si="408"/>
        <v>0</v>
      </c>
      <c r="V939" s="359">
        <f t="shared" ca="1" si="409"/>
        <v>1.2108055852103163</v>
      </c>
      <c r="W939" s="357">
        <f t="shared" ca="1" si="410"/>
        <v>76.615807756262001</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1.8275685974094316</v>
      </c>
      <c r="AH939" s="357">
        <f t="shared" ca="1" si="434"/>
        <v>-7.9187972896459904</v>
      </c>
    </row>
    <row r="940" spans="1:34" x14ac:dyDescent="0.25">
      <c r="A940" s="402">
        <f t="shared" ca="1" si="412"/>
        <v>0.1</v>
      </c>
      <c r="B940" s="357">
        <f t="shared" ca="1" si="413"/>
        <v>48.600000000000357</v>
      </c>
      <c r="C940" s="342"/>
      <c r="D940" s="359">
        <f t="shared" ca="1" si="414"/>
        <v>-0.89867197820761147</v>
      </c>
      <c r="E940" s="360">
        <f t="shared" ca="1" si="415"/>
        <v>-1.9116135405795376</v>
      </c>
      <c r="F940" s="357">
        <f t="shared" ca="1" si="416"/>
        <v>2.1123157086341564</v>
      </c>
      <c r="G940" s="359">
        <f t="shared" ca="1" si="417"/>
        <v>18.728920831780393</v>
      </c>
      <c r="H940" s="360">
        <f t="shared" ca="1" si="418"/>
        <v>-165.58861911407635</v>
      </c>
      <c r="I940" s="357">
        <f t="shared" ca="1" si="419"/>
        <v>166.64442161569571</v>
      </c>
      <c r="J940" s="359">
        <f t="shared" ca="1" si="420"/>
        <v>1768.7361573321339</v>
      </c>
      <c r="K940" s="360">
        <f t="shared" ca="1" si="421"/>
        <v>99.998707014544564</v>
      </c>
      <c r="L940" s="357">
        <f t="shared" ca="1" si="406"/>
        <v>1771.5607061736903</v>
      </c>
      <c r="M940" s="359">
        <f t="shared" ca="1" si="422"/>
        <v>-1.4581698462709163</v>
      </c>
      <c r="N940" s="357">
        <f t="shared" ca="1" si="423"/>
        <v>-83.54697800456357</v>
      </c>
      <c r="O940" s="343"/>
      <c r="P940" s="363">
        <f t="shared" ca="1" si="424"/>
        <v>23</v>
      </c>
      <c r="Q940" s="357">
        <f t="shared" ca="1" si="425"/>
        <v>0</v>
      </c>
      <c r="R940" s="359">
        <f t="shared" ca="1" si="426"/>
        <v>0</v>
      </c>
      <c r="S940" s="360">
        <f t="shared" ca="1" si="427"/>
        <v>9.637999999999975</v>
      </c>
      <c r="T940" s="357">
        <f t="shared" ca="1" si="407"/>
        <v>94.548779999999766</v>
      </c>
      <c r="U940" s="364">
        <f t="shared" ca="1" si="408"/>
        <v>0</v>
      </c>
      <c r="V940" s="359">
        <f t="shared" ca="1" si="409"/>
        <v>1.2128111020922538</v>
      </c>
      <c r="W940" s="357">
        <f t="shared" ca="1" si="410"/>
        <v>76.908593167636582</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1.7977641339029917</v>
      </c>
      <c r="AH940" s="357">
        <f t="shared" ca="1" si="434"/>
        <v>-7.9493471421728783</v>
      </c>
    </row>
    <row r="941" spans="1:34" x14ac:dyDescent="0.25">
      <c r="A941" s="402">
        <f t="shared" ca="1" si="412"/>
        <v>0.1</v>
      </c>
      <c r="B941" s="357">
        <f t="shared" ca="1" si="413"/>
        <v>48.700000000000358</v>
      </c>
      <c r="C941" s="342"/>
      <c r="D941" s="359">
        <f t="shared" ca="1" si="414"/>
        <v>-0.89682956900268129</v>
      </c>
      <c r="E941" s="360">
        <f t="shared" ca="1" si="415"/>
        <v>-1.8808314565656072</v>
      </c>
      <c r="F941" s="357">
        <f t="shared" ca="1" si="416"/>
        <v>2.0837058918773157</v>
      </c>
      <c r="G941" s="359">
        <f t="shared" ca="1" si="417"/>
        <v>18.639237874880124</v>
      </c>
      <c r="H941" s="360">
        <f t="shared" ca="1" si="418"/>
        <v>-165.7767022597329</v>
      </c>
      <c r="I941" s="357">
        <f t="shared" ca="1" si="419"/>
        <v>166.82127022855479</v>
      </c>
      <c r="J941" s="359">
        <f t="shared" ca="1" si="420"/>
        <v>1770.6045652674668</v>
      </c>
      <c r="K941" s="360">
        <f t="shared" ca="1" si="421"/>
        <v>83.430440945854102</v>
      </c>
      <c r="L941" s="357">
        <f t="shared" ca="1" si="406"/>
        <v>1772.5690861070591</v>
      </c>
      <c r="M941" s="359">
        <f t="shared" ca="1" si="422"/>
        <v>-1.4588307521099138</v>
      </c>
      <c r="N941" s="357">
        <f t="shared" ca="1" si="423"/>
        <v>-83.58484511979367</v>
      </c>
      <c r="O941" s="343"/>
      <c r="P941" s="363">
        <f t="shared" ca="1" si="424"/>
        <v>23</v>
      </c>
      <c r="Q941" s="357">
        <f t="shared" ca="1" si="425"/>
        <v>0</v>
      </c>
      <c r="R941" s="359">
        <f t="shared" ca="1" si="426"/>
        <v>0</v>
      </c>
      <c r="S941" s="360">
        <f t="shared" ca="1" si="427"/>
        <v>9.637999999999975</v>
      </c>
      <c r="T941" s="357">
        <f t="shared" ca="1" si="407"/>
        <v>94.548779999999766</v>
      </c>
      <c r="U941" s="364">
        <f t="shared" ca="1" si="408"/>
        <v>0</v>
      </c>
      <c r="V941" s="359">
        <f t="shared" ca="1" si="409"/>
        <v>1.2148222277853189</v>
      </c>
      <c r="W941" s="357">
        <f t="shared" ca="1" si="410"/>
        <v>77.19971904691964</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1.7681217938459524</v>
      </c>
      <c r="AH941" s="357">
        <f t="shared" ca="1" si="434"/>
        <v>-7.979725375351399</v>
      </c>
    </row>
    <row r="942" spans="1:34" x14ac:dyDescent="0.25">
      <c r="A942" s="402">
        <f t="shared" ca="1" si="412"/>
        <v>0.1</v>
      </c>
      <c r="B942" s="357">
        <f t="shared" ca="1" si="413"/>
        <v>48.80000000000036</v>
      </c>
      <c r="C942" s="342"/>
      <c r="D942" s="359">
        <f t="shared" ca="1" si="414"/>
        <v>-0.89496391518205598</v>
      </c>
      <c r="E942" s="360">
        <f t="shared" ca="1" si="415"/>
        <v>-1.850223559768545</v>
      </c>
      <c r="F942" s="357">
        <f t="shared" ca="1" si="416"/>
        <v>2.0553071864323789</v>
      </c>
      <c r="G942" s="359">
        <f t="shared" ca="1" si="417"/>
        <v>18.549741483361917</v>
      </c>
      <c r="H942" s="360">
        <f t="shared" ca="1" si="418"/>
        <v>-165.96172461570976</v>
      </c>
      <c r="I942" s="357">
        <f t="shared" ca="1" si="419"/>
        <v>166.99517042872898</v>
      </c>
      <c r="J942" s="359">
        <f t="shared" ca="1" si="420"/>
        <v>1772.464014235379</v>
      </c>
      <c r="K942" s="360">
        <f t="shared" ca="1" si="421"/>
        <v>66.843519602081969</v>
      </c>
      <c r="L942" s="357">
        <f t="shared" ca="1" si="406"/>
        <v>1773.7239745440065</v>
      </c>
      <c r="M942" s="359">
        <f t="shared" ca="1" si="422"/>
        <v>-1.4594871117290689</v>
      </c>
      <c r="N942" s="357">
        <f t="shared" ca="1" si="423"/>
        <v>-83.622451755814069</v>
      </c>
      <c r="O942" s="343"/>
      <c r="P942" s="363">
        <f t="shared" ca="1" si="424"/>
        <v>23</v>
      </c>
      <c r="Q942" s="357">
        <f t="shared" ca="1" si="425"/>
        <v>0</v>
      </c>
      <c r="R942" s="359">
        <f t="shared" ca="1" si="426"/>
        <v>0</v>
      </c>
      <c r="S942" s="360">
        <f t="shared" ca="1" si="427"/>
        <v>9.637999999999975</v>
      </c>
      <c r="T942" s="357">
        <f t="shared" ca="1" si="407"/>
        <v>94.548779999999766</v>
      </c>
      <c r="U942" s="364">
        <f t="shared" ca="1" si="408"/>
        <v>0</v>
      </c>
      <c r="V942" s="359">
        <f t="shared" ca="1" si="409"/>
        <v>1.2168389445323013</v>
      </c>
      <c r="W942" s="357">
        <f t="shared" ca="1" si="410"/>
        <v>77.489180169369575</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1.7386422875200864</v>
      </c>
      <c r="AH942" s="357">
        <f t="shared" ca="1" si="434"/>
        <v>-8.0099314221747075</v>
      </c>
    </row>
    <row r="943" spans="1:34" x14ac:dyDescent="0.25">
      <c r="A943" s="402">
        <f t="shared" ca="1" si="412"/>
        <v>0.1</v>
      </c>
      <c r="B943" s="357">
        <f t="shared" ca="1" si="413"/>
        <v>48.900000000000361</v>
      </c>
      <c r="C943" s="342"/>
      <c r="D943" s="359">
        <f t="shared" ca="1" si="414"/>
        <v>-0.89307533319413768</v>
      </c>
      <c r="E943" s="360">
        <f t="shared" ca="1" si="415"/>
        <v>-1.819790398341099</v>
      </c>
      <c r="F943" s="357">
        <f t="shared" ca="1" si="416"/>
        <v>2.0271212703373904</v>
      </c>
      <c r="G943" s="359">
        <f t="shared" ca="1" si="417"/>
        <v>18.460433950042503</v>
      </c>
      <c r="H943" s="360">
        <f t="shared" ca="1" si="418"/>
        <v>-166.14370365554387</v>
      </c>
      <c r="I943" s="357">
        <f t="shared" ca="1" si="419"/>
        <v>167.16613857478751</v>
      </c>
      <c r="J943" s="359">
        <f t="shared" ca="1" si="420"/>
        <v>1774.3145230070493</v>
      </c>
      <c r="K943" s="360">
        <f t="shared" ca="1" si="421"/>
        <v>50.238248188519286</v>
      </c>
      <c r="L943" s="357">
        <f t="shared" ca="1" si="406"/>
        <v>1775.0256077405711</v>
      </c>
      <c r="M943" s="359">
        <f t="shared" ca="1" si="422"/>
        <v>-1.4601389722473683</v>
      </c>
      <c r="N943" s="357">
        <f t="shared" ca="1" si="423"/>
        <v>-83.659800612343844</v>
      </c>
      <c r="O943" s="343"/>
      <c r="P943" s="363">
        <f t="shared" ca="1" si="424"/>
        <v>23</v>
      </c>
      <c r="Q943" s="357">
        <f t="shared" ca="1" si="425"/>
        <v>0</v>
      </c>
      <c r="R943" s="359">
        <f t="shared" ca="1" si="426"/>
        <v>0</v>
      </c>
      <c r="S943" s="360">
        <f t="shared" ca="1" si="427"/>
        <v>9.637999999999975</v>
      </c>
      <c r="T943" s="357">
        <f t="shared" ca="1" si="407"/>
        <v>94.548779999999766</v>
      </c>
      <c r="U943" s="364">
        <f t="shared" ca="1" si="408"/>
        <v>0</v>
      </c>
      <c r="V943" s="359">
        <f t="shared" ca="1" si="409"/>
        <v>1.2188612346377985</v>
      </c>
      <c r="W943" s="357">
        <f t="shared" ca="1" si="410"/>
        <v>77.776971548465198</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1.7093262976350871</v>
      </c>
      <c r="AH943" s="357">
        <f t="shared" ca="1" si="434"/>
        <v>-8.0399647405446952</v>
      </c>
    </row>
    <row r="944" spans="1:34" x14ac:dyDescent="0.25">
      <c r="A944" s="402">
        <f t="shared" ca="1" si="412"/>
        <v>0.1</v>
      </c>
      <c r="B944" s="357">
        <f t="shared" ca="1" si="413"/>
        <v>49.000000000000362</v>
      </c>
      <c r="C944" s="342"/>
      <c r="D944" s="359">
        <f t="shared" ca="1" si="414"/>
        <v>-0.89116413898398628</v>
      </c>
      <c r="E944" s="360">
        <f t="shared" ca="1" si="415"/>
        <v>-1.7895324954719012</v>
      </c>
      <c r="F944" s="357">
        <f t="shared" ca="1" si="416"/>
        <v>1.999149838046403</v>
      </c>
      <c r="G944" s="359">
        <f t="shared" ca="1" si="417"/>
        <v>18.371317536144105</v>
      </c>
      <c r="H944" s="360">
        <f t="shared" ca="1" si="418"/>
        <v>-166.32265690509107</v>
      </c>
      <c r="I944" s="357">
        <f t="shared" ca="1" si="419"/>
        <v>167.33419109071068</v>
      </c>
      <c r="J944" s="359">
        <f t="shared" ca="1" si="420"/>
        <v>1776.1561105813587</v>
      </c>
      <c r="K944" s="360">
        <f t="shared" ca="1" si="421"/>
        <v>33.614930160487539</v>
      </c>
      <c r="L944" s="357">
        <f t="shared" ca="1" si="406"/>
        <v>1776.4741745055553</v>
      </c>
      <c r="M944" s="359">
        <f t="shared" ca="1" si="422"/>
        <v>-1.4607863800722747</v>
      </c>
      <c r="N944" s="357">
        <f t="shared" ca="1" si="423"/>
        <v>-83.696894348334723</v>
      </c>
      <c r="O944" s="343"/>
      <c r="P944" s="363">
        <f t="shared" ca="1" si="424"/>
        <v>23</v>
      </c>
      <c r="Q944" s="357">
        <f t="shared" ca="1" si="425"/>
        <v>0</v>
      </c>
      <c r="R944" s="359">
        <f t="shared" ca="1" si="426"/>
        <v>0</v>
      </c>
      <c r="S944" s="360">
        <f t="shared" ca="1" si="427"/>
        <v>9.637999999999975</v>
      </c>
      <c r="T944" s="357">
        <f t="shared" ca="1" si="407"/>
        <v>94.548779999999766</v>
      </c>
      <c r="U944" s="364">
        <f t="shared" ca="1" si="408"/>
        <v>0</v>
      </c>
      <c r="V944" s="359">
        <f t="shared" ca="1" si="409"/>
        <v>1.2208890804689867</v>
      </c>
      <c r="W944" s="357">
        <f t="shared" ca="1" si="410"/>
        <v>78.063088434027222</v>
      </c>
      <c r="X944" s="343"/>
      <c r="Y944" s="367" t="str">
        <f t="shared" ca="1" si="428"/>
        <v/>
      </c>
      <c r="Z944" s="368" t="str">
        <f t="shared" ca="1" si="429"/>
        <v/>
      </c>
      <c r="AA944" s="369" t="str">
        <f t="shared" ca="1" si="430"/>
        <v/>
      </c>
      <c r="AB944" s="344"/>
      <c r="AC944" s="363">
        <f t="shared" ca="1" si="431"/>
        <v>49.000000000000362</v>
      </c>
      <c r="AD944" s="376">
        <f t="shared" ca="1" si="432"/>
        <v>1776.1561105813587</v>
      </c>
      <c r="AE944" s="377" t="e">
        <f t="shared" ca="1" si="411"/>
        <v>#N/A</v>
      </c>
      <c r="AF944" s="344"/>
      <c r="AG944" s="359">
        <f t="shared" ca="1" si="433"/>
        <v>1.6801744795799856</v>
      </c>
      <c r="AH944" s="357">
        <f t="shared" ca="1" si="434"/>
        <v>-8.0698248130800376</v>
      </c>
    </row>
    <row r="945" spans="1:34" x14ac:dyDescent="0.25">
      <c r="A945" s="402">
        <f t="shared" ca="1" si="412"/>
        <v>0.1</v>
      </c>
      <c r="B945" s="357">
        <f t="shared" ca="1" si="413"/>
        <v>49.100000000000364</v>
      </c>
      <c r="C945" s="342"/>
      <c r="D945" s="359">
        <f t="shared" ca="1" si="414"/>
        <v>-0.88923064794909101</v>
      </c>
      <c r="E945" s="360">
        <f t="shared" ca="1" si="415"/>
        <v>-1.7594503495816944</v>
      </c>
      <c r="F945" s="357">
        <f t="shared" ca="1" si="416"/>
        <v>1.9713946022790838</v>
      </c>
      <c r="G945" s="359">
        <f t="shared" ca="1" si="417"/>
        <v>18.282394471349196</v>
      </c>
      <c r="H945" s="360">
        <f t="shared" ca="1" si="418"/>
        <v>-166.49860194004924</v>
      </c>
      <c r="I945" s="357">
        <f t="shared" ca="1" si="419"/>
        <v>167.49934446318585</v>
      </c>
      <c r="J945" s="359">
        <f t="shared" ca="1" si="420"/>
        <v>1777.9887961817333</v>
      </c>
      <c r="K945" s="360">
        <f t="shared" ca="1" si="421"/>
        <v>16.973867218230524</v>
      </c>
      <c r="L945" s="357">
        <f t="shared" ca="1" si="406"/>
        <v>1778.069816265973</v>
      </c>
      <c r="M945" s="359">
        <f t="shared" ca="1" si="422"/>
        <v>-1.4614293809129215</v>
      </c>
      <c r="N945" s="357">
        <f t="shared" ca="1" si="423"/>
        <v>-83.733735582727149</v>
      </c>
      <c r="O945" s="343"/>
      <c r="P945" s="363">
        <f t="shared" ca="1" si="424"/>
        <v>23</v>
      </c>
      <c r="Q945" s="357">
        <f t="shared" ca="1" si="425"/>
        <v>0</v>
      </c>
      <c r="R945" s="359">
        <f t="shared" ca="1" si="426"/>
        <v>0</v>
      </c>
      <c r="S945" s="360">
        <f t="shared" ca="1" si="427"/>
        <v>9.637999999999975</v>
      </c>
      <c r="T945" s="357">
        <f t="shared" ca="1" si="407"/>
        <v>94.548779999999766</v>
      </c>
      <c r="U945" s="364">
        <f t="shared" ca="1" si="408"/>
        <v>0</v>
      </c>
      <c r="V945" s="359">
        <f t="shared" ca="1" si="409"/>
        <v>1.2229224644563896</v>
      </c>
      <c r="W945" s="357">
        <f t="shared" ca="1" si="410"/>
        <v>78.347526310312531</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1.6511874616759865</v>
      </c>
      <c r="AH945" s="357">
        <f t="shared" ca="1" si="434"/>
        <v>-8.0995111469212926</v>
      </c>
    </row>
    <row r="946" spans="1:34" x14ac:dyDescent="0.25">
      <c r="A946" s="402">
        <f t="shared" ca="1" si="412"/>
        <v>0.1</v>
      </c>
      <c r="B946" s="357">
        <f t="shared" ca="1" si="413"/>
        <v>49.200000000000365</v>
      </c>
      <c r="C946" s="342"/>
      <c r="D946" s="359">
        <f t="shared" ca="1" si="414"/>
        <v>-0.88727517489583962</v>
      </c>
      <c r="E946" s="360">
        <f t="shared" ca="1" si="415"/>
        <v>-1.7295444345224222</v>
      </c>
      <c r="F946" s="357">
        <f t="shared" ca="1" si="416"/>
        <v>1.943857295938652</v>
      </c>
      <c r="G946" s="359">
        <f t="shared" ca="1" si="417"/>
        <v>18.193666953859612</v>
      </c>
      <c r="H946" s="360">
        <f t="shared" ca="1" si="418"/>
        <v>-166.6715563835015</v>
      </c>
      <c r="I946" s="357">
        <f t="shared" ca="1" si="419"/>
        <v>167.66161523892902</v>
      </c>
      <c r="J946" s="359">
        <f t="shared" ca="1" si="420"/>
        <v>1779.8125992529938</v>
      </c>
      <c r="K946" s="360">
        <f t="shared" ca="1" si="421"/>
        <v>0.31535930205298612</v>
      </c>
      <c r="L946" s="357">
        <f t="shared" ca="1" si="406"/>
        <v>1779.8126271917465</v>
      </c>
      <c r="M946" s="359">
        <f t="shared" ca="1" si="422"/>
        <v>-1.4620680197930269</v>
      </c>
      <c r="N946" s="357">
        <f t="shared" ca="1" si="423"/>
        <v>-83.770326895190152</v>
      </c>
      <c r="O946" s="343"/>
      <c r="P946" s="363">
        <f t="shared" ca="1" si="424"/>
        <v>23</v>
      </c>
      <c r="Q946" s="357">
        <f t="shared" ca="1" si="425"/>
        <v>0</v>
      </c>
      <c r="R946" s="359">
        <f t="shared" ca="1" si="426"/>
        <v>0</v>
      </c>
      <c r="S946" s="360">
        <f t="shared" ca="1" si="427"/>
        <v>9.637999999999975</v>
      </c>
      <c r="T946" s="357">
        <f t="shared" ca="1" si="407"/>
        <v>94.548779999999766</v>
      </c>
      <c r="U946" s="364">
        <f t="shared" ca="1" si="408"/>
        <v>0</v>
      </c>
      <c r="V946" s="359">
        <f t="shared" ca="1" si="409"/>
        <v>1.2249613690946293</v>
      </c>
      <c r="W946" s="357">
        <f t="shared" ca="1" si="410"/>
        <v>78.630280894081736</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1.6223658454306449</v>
      </c>
      <c r="AH946" s="357">
        <f t="shared" ca="1" si="434"/>
        <v>-8.1290232735331749</v>
      </c>
    </row>
    <row r="947" spans="1:34" x14ac:dyDescent="0.25">
      <c r="A947" s="402">
        <f t="shared" ca="1" si="412"/>
        <v>0.1</v>
      </c>
      <c r="B947" s="357">
        <f t="shared" ca="1" si="413"/>
        <v>49.300000000000367</v>
      </c>
      <c r="C947" s="342"/>
      <c r="D947" s="359">
        <f t="shared" ca="1" si="414"/>
        <v>-0.88529803399663121</v>
      </c>
      <c r="E947" s="360">
        <f t="shared" ca="1" si="415"/>
        <v>-1.6998151997791631</v>
      </c>
      <c r="F947" s="357">
        <f t="shared" ca="1" si="416"/>
        <v>1.9165396740998022</v>
      </c>
      <c r="G947" s="359">
        <f t="shared" ca="1" si="417"/>
        <v>18.105137150459949</v>
      </c>
      <c r="H947" s="360">
        <f t="shared" ca="1" si="418"/>
        <v>-166.84153790347941</v>
      </c>
      <c r="I947" s="357">
        <f t="shared" ca="1" si="419"/>
        <v>167.82102002203158</v>
      </c>
      <c r="J947" s="359">
        <f t="shared" ca="1" si="420"/>
        <v>1781.6275394582099</v>
      </c>
      <c r="K947" s="360">
        <f t="shared" ca="1" si="421"/>
        <v>-16.360295412296061</v>
      </c>
      <c r="L947" s="357">
        <f t="shared" ca="1" si="406"/>
        <v>1781.7026543792017</v>
      </c>
      <c r="M947" s="359">
        <f t="shared" ca="1" si="422"/>
        <v>-1.4627023410635265</v>
      </c>
      <c r="N947" s="357">
        <f t="shared" ca="1" si="423"/>
        <v>-83.806670826845149</v>
      </c>
      <c r="O947" s="343"/>
      <c r="P947" s="363">
        <f t="shared" ca="1" si="424"/>
        <v>23</v>
      </c>
      <c r="Q947" s="357">
        <f t="shared" ca="1" si="425"/>
        <v>0</v>
      </c>
      <c r="R947" s="359">
        <f t="shared" ca="1" si="426"/>
        <v>0</v>
      </c>
      <c r="S947" s="360">
        <f t="shared" ca="1" si="427"/>
        <v>9.637999999999975</v>
      </c>
      <c r="T947" s="357">
        <f t="shared" ca="1" si="407"/>
        <v>94.548779999999766</v>
      </c>
      <c r="U947" s="364">
        <f t="shared" ca="1" si="408"/>
        <v>0</v>
      </c>
      <c r="V947" s="359">
        <f t="shared" ca="1" si="409"/>
        <v>1.2270057769431724</v>
      </c>
      <c r="W947" s="357">
        <f t="shared" ca="1" si="410"/>
        <v>78.911348132640939</v>
      </c>
      <c r="X947" s="343"/>
      <c r="Y947" s="367" t="str">
        <f t="shared" ca="1" si="428"/>
        <v>Impact balistique</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1.5937102057933803</v>
      </c>
      <c r="AH947" s="357">
        <f t="shared" ca="1" si="434"/>
        <v>-8.158360748504041</v>
      </c>
    </row>
    <row r="948" spans="1:34" x14ac:dyDescent="0.25">
      <c r="A948" s="402">
        <f t="shared" ca="1" si="412"/>
        <v>1E-4</v>
      </c>
      <c r="B948" s="357">
        <f t="shared" ca="1" si="413"/>
        <v>49.30010000000037</v>
      </c>
      <c r="C948" s="342"/>
      <c r="D948" s="359">
        <f t="shared" ca="1" si="414"/>
        <v>-0.88329953874768274</v>
      </c>
      <c r="E948" s="360">
        <f t="shared" ca="1" si="415"/>
        <v>-1.670263070674757</v>
      </c>
      <c r="F948" s="357">
        <f t="shared" ca="1" si="416"/>
        <v>1.8894435160680876</v>
      </c>
      <c r="G948" s="359">
        <f t="shared" ca="1" si="417"/>
        <v>18.105048820506074</v>
      </c>
      <c r="H948" s="360">
        <f t="shared" ca="1" si="418"/>
        <v>-166.84170492978646</v>
      </c>
      <c r="I948" s="357">
        <f t="shared" ca="1" si="419"/>
        <v>167.82117654417405</v>
      </c>
      <c r="J948" s="359">
        <f t="shared" ca="1" si="420"/>
        <v>1781.6275394582099</v>
      </c>
      <c r="K948" s="360">
        <f t="shared" ca="1" si="421"/>
        <v>-16.376979574437723</v>
      </c>
      <c r="L948" s="357">
        <f t="shared" ca="1" si="406"/>
        <v>1781.7028076578588</v>
      </c>
      <c r="M948" s="359">
        <f t="shared" ca="1" si="422"/>
        <v>-1.4627029716980013</v>
      </c>
      <c r="N948" s="357">
        <f t="shared" ca="1" si="423"/>
        <v>-83.806706959538971</v>
      </c>
      <c r="O948" s="343"/>
      <c r="P948" s="363">
        <f t="shared" ca="1" si="424"/>
        <v>23</v>
      </c>
      <c r="Q948" s="357">
        <f t="shared" ca="1" si="425"/>
        <v>0</v>
      </c>
      <c r="R948" s="359">
        <f t="shared" ca="1" si="426"/>
        <v>0</v>
      </c>
      <c r="S948" s="360">
        <f t="shared" ca="1" si="427"/>
        <v>9.637999999999975</v>
      </c>
      <c r="T948" s="357">
        <f t="shared" ca="1" si="407"/>
        <v>94.548779999999766</v>
      </c>
      <c r="U948" s="364">
        <f t="shared" ca="1" si="408"/>
        <v>0</v>
      </c>
      <c r="V948" s="359">
        <f t="shared" ca="1" si="409"/>
        <v>1.2270078241025846</v>
      </c>
      <c r="W948" s="357">
        <f t="shared" ca="1" si="410"/>
        <v>78.911626987101258</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1.5652210914122389</v>
      </c>
      <c r="AH948" s="357">
        <f t="shared" ca="1" si="434"/>
        <v>-8.1875231513427202</v>
      </c>
    </row>
    <row r="949" spans="1:34" x14ac:dyDescent="0.25">
      <c r="A949" s="402">
        <f t="shared" ca="1" si="412"/>
        <v>1E-4</v>
      </c>
      <c r="B949" s="357">
        <f t="shared" ca="1" si="413"/>
        <v>49.300200000000373</v>
      </c>
      <c r="C949" s="342"/>
      <c r="D949" s="359">
        <f t="shared" ca="1" si="414"/>
        <v>-0.88329752690699836</v>
      </c>
      <c r="E949" s="360">
        <f t="shared" ca="1" si="415"/>
        <v>-1.6702337496868296</v>
      </c>
      <c r="F949" s="357">
        <f t="shared" ca="1" si="416"/>
        <v>1.8894166559107459</v>
      </c>
      <c r="G949" s="359">
        <f t="shared" ca="1" si="417"/>
        <v>18.104960490753385</v>
      </c>
      <c r="H949" s="360">
        <f t="shared" ca="1" si="418"/>
        <v>-166.84187195316142</v>
      </c>
      <c r="I949" s="357">
        <f t="shared" ca="1" si="419"/>
        <v>167.82133306349004</v>
      </c>
      <c r="J949" s="359">
        <f t="shared" ca="1" si="420"/>
        <v>1781.6275394582099</v>
      </c>
      <c r="K949" s="360">
        <f t="shared" ca="1" si="421"/>
        <v>-16.393663753281871</v>
      </c>
      <c r="L949" s="357">
        <f t="shared" ca="1" si="406"/>
        <v>1781.7029610928894</v>
      </c>
      <c r="M949" s="359">
        <f t="shared" ca="1" si="422"/>
        <v>-1.4627036023282229</v>
      </c>
      <c r="N949" s="357">
        <f t="shared" ca="1" si="423"/>
        <v>-83.806743091989105</v>
      </c>
      <c r="O949" s="343"/>
      <c r="P949" s="363">
        <f t="shared" ca="1" si="424"/>
        <v>23</v>
      </c>
      <c r="Q949" s="357">
        <f t="shared" ca="1" si="425"/>
        <v>0</v>
      </c>
      <c r="R949" s="359">
        <f t="shared" ca="1" si="426"/>
        <v>0</v>
      </c>
      <c r="S949" s="360">
        <f t="shared" ca="1" si="427"/>
        <v>9.637999999999975</v>
      </c>
      <c r="T949" s="357">
        <f t="shared" ca="1" si="407"/>
        <v>94.548779999999766</v>
      </c>
      <c r="U949" s="364">
        <f t="shared" ca="1" si="408"/>
        <v>0</v>
      </c>
      <c r="V949" s="359">
        <f t="shared" ca="1" si="409"/>
        <v>1.2270098712674646</v>
      </c>
      <c r="W949" s="357">
        <f t="shared" ca="1" si="410"/>
        <v>78.911905839883588</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1.5651928260209562</v>
      </c>
      <c r="AH949" s="357">
        <f t="shared" ca="1" si="434"/>
        <v>-8.1875520841566161</v>
      </c>
    </row>
    <row r="950" spans="1:34" x14ac:dyDescent="0.25">
      <c r="A950" s="402">
        <f t="shared" ca="1" si="412"/>
        <v>1E-4</v>
      </c>
      <c r="B950" s="357">
        <f t="shared" ca="1" si="413"/>
        <v>49.300300000000377</v>
      </c>
      <c r="C950" s="342"/>
      <c r="D950" s="359">
        <f t="shared" ca="1" si="414"/>
        <v>-0.88329551504552173</v>
      </c>
      <c r="E950" s="360">
        <f t="shared" ca="1" si="415"/>
        <v>-1.6702044288750475</v>
      </c>
      <c r="F950" s="357">
        <f t="shared" ca="1" si="416"/>
        <v>1.8893897959747104</v>
      </c>
      <c r="G950" s="359">
        <f t="shared" ca="1" si="417"/>
        <v>18.104872161201879</v>
      </c>
      <c r="H950" s="360">
        <f t="shared" ca="1" si="418"/>
        <v>-166.8420389736043</v>
      </c>
      <c r="I950" s="357">
        <f t="shared" ca="1" si="419"/>
        <v>167.82148957997947</v>
      </c>
      <c r="J950" s="359">
        <f t="shared" ca="1" si="420"/>
        <v>1781.6275394582099</v>
      </c>
      <c r="K950" s="360">
        <f t="shared" ca="1" si="421"/>
        <v>-16.41034794882821</v>
      </c>
      <c r="L950" s="357">
        <f t="shared" ca="1" si="406"/>
        <v>1781.7031146842946</v>
      </c>
      <c r="M950" s="359">
        <f t="shared" ca="1" si="422"/>
        <v>-1.4627042329541917</v>
      </c>
      <c r="N950" s="357">
        <f t="shared" ca="1" si="423"/>
        <v>-83.806779224195566</v>
      </c>
      <c r="O950" s="343"/>
      <c r="P950" s="363">
        <f t="shared" ca="1" si="424"/>
        <v>23</v>
      </c>
      <c r="Q950" s="357">
        <f t="shared" ca="1" si="425"/>
        <v>0</v>
      </c>
      <c r="R950" s="359">
        <f t="shared" ca="1" si="426"/>
        <v>0</v>
      </c>
      <c r="S950" s="360">
        <f t="shared" ca="1" si="427"/>
        <v>9.637999999999975</v>
      </c>
      <c r="T950" s="357">
        <f t="shared" ca="1" si="407"/>
        <v>94.548779999999766</v>
      </c>
      <c r="U950" s="364">
        <f t="shared" ca="1" si="408"/>
        <v>0</v>
      </c>
      <c r="V950" s="359">
        <f t="shared" ca="1" si="409"/>
        <v>1.2270119184378121</v>
      </c>
      <c r="W950" s="357">
        <f t="shared" ca="1" si="410"/>
        <v>78.912184690987829</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1.5651645607953952</v>
      </c>
      <c r="AH950" s="357">
        <f t="shared" ca="1" si="434"/>
        <v>-8.1875810167964094</v>
      </c>
    </row>
    <row r="951" spans="1:34" x14ac:dyDescent="0.25">
      <c r="A951" s="402">
        <f t="shared" ca="1" si="412"/>
        <v>1E-4</v>
      </c>
      <c r="B951" s="357">
        <f t="shared" ca="1" si="413"/>
        <v>49.30040000000038</v>
      </c>
      <c r="C951" s="342"/>
      <c r="D951" s="359">
        <f t="shared" ca="1" si="414"/>
        <v>-0.88329350316324906</v>
      </c>
      <c r="E951" s="360">
        <f t="shared" ca="1" si="415"/>
        <v>-1.6701751082394178</v>
      </c>
      <c r="F951" s="357">
        <f t="shared" ca="1" si="416"/>
        <v>1.889362936259986</v>
      </c>
      <c r="G951" s="359">
        <f t="shared" ca="1" si="417"/>
        <v>18.104783831851563</v>
      </c>
      <c r="H951" s="360">
        <f t="shared" ca="1" si="418"/>
        <v>-166.84220599111512</v>
      </c>
      <c r="I951" s="357">
        <f t="shared" ca="1" si="419"/>
        <v>167.82164609364241</v>
      </c>
      <c r="J951" s="359">
        <f t="shared" ca="1" si="420"/>
        <v>1781.6275394582099</v>
      </c>
      <c r="K951" s="360">
        <f t="shared" ca="1" si="421"/>
        <v>-16.427032161076447</v>
      </c>
      <c r="L951" s="357">
        <f t="shared" ca="1" si="406"/>
        <v>1781.7032684320743</v>
      </c>
      <c r="M951" s="359">
        <f t="shared" ca="1" si="422"/>
        <v>-1.4627048635759075</v>
      </c>
      <c r="N951" s="357">
        <f t="shared" ca="1" si="423"/>
        <v>-83.806815356158353</v>
      </c>
      <c r="O951" s="343"/>
      <c r="P951" s="363">
        <f t="shared" ca="1" si="424"/>
        <v>23</v>
      </c>
      <c r="Q951" s="357">
        <f t="shared" ca="1" si="425"/>
        <v>0</v>
      </c>
      <c r="R951" s="359">
        <f t="shared" ca="1" si="426"/>
        <v>0</v>
      </c>
      <c r="S951" s="360">
        <f t="shared" ca="1" si="427"/>
        <v>9.637999999999975</v>
      </c>
      <c r="T951" s="357">
        <f t="shared" ca="1" si="407"/>
        <v>94.548779999999766</v>
      </c>
      <c r="U951" s="364">
        <f t="shared" ca="1" si="408"/>
        <v>0</v>
      </c>
      <c r="V951" s="359">
        <f t="shared" ca="1" si="409"/>
        <v>1.2270139656136272</v>
      </c>
      <c r="W951" s="357">
        <f t="shared" ca="1" si="410"/>
        <v>78.912463540413981</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1.5651362957355666</v>
      </c>
      <c r="AH951" s="357">
        <f t="shared" ca="1" si="434"/>
        <v>-8.1876099492620913</v>
      </c>
    </row>
    <row r="952" spans="1:34" x14ac:dyDescent="0.25">
      <c r="A952" s="402">
        <f t="shared" ca="1" si="412"/>
        <v>1E-4</v>
      </c>
      <c r="B952" s="357">
        <f t="shared" ca="1" si="413"/>
        <v>49.300500000000383</v>
      </c>
      <c r="C952" s="342"/>
      <c r="D952" s="359">
        <f t="shared" ca="1" si="414"/>
        <v>-0.88329149126018269</v>
      </c>
      <c r="E952" s="360">
        <f t="shared" ca="1" si="415"/>
        <v>-1.6701457877799388</v>
      </c>
      <c r="F952" s="357">
        <f t="shared" ca="1" si="416"/>
        <v>1.8893360767665741</v>
      </c>
      <c r="G952" s="359">
        <f t="shared" ca="1" si="417"/>
        <v>18.104695502702437</v>
      </c>
      <c r="H952" s="360">
        <f t="shared" ca="1" si="418"/>
        <v>-166.8423730056939</v>
      </c>
      <c r="I952" s="357">
        <f t="shared" ca="1" si="419"/>
        <v>167.82180260447888</v>
      </c>
      <c r="J952" s="359">
        <f t="shared" ca="1" si="420"/>
        <v>1781.6275394582099</v>
      </c>
      <c r="K952" s="360">
        <f t="shared" ca="1" si="421"/>
        <v>-16.443716390026289</v>
      </c>
      <c r="L952" s="357">
        <f t="shared" ca="1" si="406"/>
        <v>1781.7034223362291</v>
      </c>
      <c r="M952" s="359">
        <f t="shared" ca="1" si="422"/>
        <v>-1.4627054941933704</v>
      </c>
      <c r="N952" s="357">
        <f t="shared" ca="1" si="423"/>
        <v>-83.806851487877466</v>
      </c>
      <c r="O952" s="343"/>
      <c r="P952" s="363">
        <f t="shared" ca="1" si="424"/>
        <v>23</v>
      </c>
      <c r="Q952" s="357">
        <f t="shared" ca="1" si="425"/>
        <v>0</v>
      </c>
      <c r="R952" s="359">
        <f t="shared" ca="1" si="426"/>
        <v>0</v>
      </c>
      <c r="S952" s="360">
        <f t="shared" ca="1" si="427"/>
        <v>9.637999999999975</v>
      </c>
      <c r="T952" s="357">
        <f t="shared" ca="1" si="407"/>
        <v>94.548779999999766</v>
      </c>
      <c r="U952" s="364">
        <f t="shared" ca="1" si="408"/>
        <v>0</v>
      </c>
      <c r="V952" s="359">
        <f t="shared" ca="1" si="409"/>
        <v>1.2270160127949101</v>
      </c>
      <c r="W952" s="357">
        <f t="shared" ca="1" si="410"/>
        <v>78.912742388162116</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1.5651080308414702</v>
      </c>
      <c r="AH952" s="357">
        <f t="shared" ca="1" si="434"/>
        <v>-8.1876388815536618</v>
      </c>
    </row>
    <row r="953" spans="1:34" x14ac:dyDescent="0.25">
      <c r="A953" s="402">
        <f t="shared" ca="1" si="412"/>
        <v>1E-4</v>
      </c>
      <c r="B953" s="357">
        <f t="shared" ca="1" si="413"/>
        <v>49.300600000000387</v>
      </c>
      <c r="C953" s="342"/>
      <c r="D953" s="359">
        <f t="shared" ca="1" si="414"/>
        <v>-0.88328947933632229</v>
      </c>
      <c r="E953" s="360">
        <f t="shared" ca="1" si="415"/>
        <v>-1.6701164674966087</v>
      </c>
      <c r="F953" s="357">
        <f t="shared" ca="1" si="416"/>
        <v>1.8893092174944741</v>
      </c>
      <c r="G953" s="359">
        <f t="shared" ca="1" si="417"/>
        <v>18.104607173754506</v>
      </c>
      <c r="H953" s="360">
        <f t="shared" ca="1" si="418"/>
        <v>-166.84254001734064</v>
      </c>
      <c r="I953" s="357">
        <f t="shared" ca="1" si="419"/>
        <v>167.82195911248883</v>
      </c>
      <c r="J953" s="359">
        <f t="shared" ca="1" si="420"/>
        <v>1781.6275394582099</v>
      </c>
      <c r="K953" s="360">
        <f t="shared" ca="1" si="421"/>
        <v>-16.460400635677441</v>
      </c>
      <c r="L953" s="357">
        <f t="shared" ca="1" si="406"/>
        <v>1781.703576396759</v>
      </c>
      <c r="M953" s="359">
        <f t="shared" ca="1" si="422"/>
        <v>-1.4627061248065805</v>
      </c>
      <c r="N953" s="357">
        <f t="shared" ca="1" si="423"/>
        <v>-83.806887619352906</v>
      </c>
      <c r="O953" s="343"/>
      <c r="P953" s="363">
        <f t="shared" ca="1" si="424"/>
        <v>23</v>
      </c>
      <c r="Q953" s="357">
        <f t="shared" ca="1" si="425"/>
        <v>0</v>
      </c>
      <c r="R953" s="359">
        <f t="shared" ca="1" si="426"/>
        <v>0</v>
      </c>
      <c r="S953" s="360">
        <f t="shared" ca="1" si="427"/>
        <v>9.637999999999975</v>
      </c>
      <c r="T953" s="357">
        <f t="shared" ca="1" si="407"/>
        <v>94.548779999999766</v>
      </c>
      <c r="U953" s="364">
        <f t="shared" ca="1" si="408"/>
        <v>0</v>
      </c>
      <c r="V953" s="359">
        <f t="shared" ca="1" si="409"/>
        <v>1.2270180599816609</v>
      </c>
      <c r="W953" s="357">
        <f t="shared" ca="1" si="410"/>
        <v>78.913021234232147</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1.5650797661130991</v>
      </c>
      <c r="AH953" s="357">
        <f t="shared" ca="1" si="434"/>
        <v>-8.1876678136711263</v>
      </c>
    </row>
    <row r="954" spans="1:34" x14ac:dyDescent="0.25">
      <c r="A954" s="402">
        <f t="shared" ca="1" si="412"/>
        <v>1E-4</v>
      </c>
      <c r="B954" s="357">
        <f t="shared" ca="1" si="413"/>
        <v>49.30070000000039</v>
      </c>
      <c r="C954" s="342"/>
      <c r="D954" s="359">
        <f t="shared" ca="1" si="414"/>
        <v>-0.88328746739166775</v>
      </c>
      <c r="E954" s="360">
        <f t="shared" ca="1" si="415"/>
        <v>-1.6700871473894292</v>
      </c>
      <c r="F954" s="357">
        <f t="shared" ca="1" si="416"/>
        <v>1.8892823584436891</v>
      </c>
      <c r="G954" s="359">
        <f t="shared" ca="1" si="417"/>
        <v>18.104518845007767</v>
      </c>
      <c r="H954" s="360">
        <f t="shared" ca="1" si="418"/>
        <v>-166.84270702605536</v>
      </c>
      <c r="I954" s="357">
        <f t="shared" ca="1" si="419"/>
        <v>167.82211561767235</v>
      </c>
      <c r="J954" s="359">
        <f t="shared" ca="1" si="420"/>
        <v>1781.6275394582099</v>
      </c>
      <c r="K954" s="360">
        <f t="shared" ca="1" si="421"/>
        <v>-16.477084898029609</v>
      </c>
      <c r="L954" s="357">
        <f t="shared" ca="1" si="406"/>
        <v>1781.7037306136651</v>
      </c>
      <c r="M954" s="359">
        <f t="shared" ca="1" si="422"/>
        <v>-1.4627067554155377</v>
      </c>
      <c r="N954" s="357">
        <f t="shared" ca="1" si="423"/>
        <v>-83.806923750584687</v>
      </c>
      <c r="O954" s="343"/>
      <c r="P954" s="363">
        <f t="shared" ca="1" si="424"/>
        <v>23</v>
      </c>
      <c r="Q954" s="357">
        <f t="shared" ca="1" si="425"/>
        <v>0</v>
      </c>
      <c r="R954" s="359">
        <f t="shared" ca="1" si="426"/>
        <v>0</v>
      </c>
      <c r="S954" s="360">
        <f t="shared" ca="1" si="427"/>
        <v>9.637999999999975</v>
      </c>
      <c r="T954" s="357">
        <f t="shared" ca="1" si="407"/>
        <v>94.548779999999766</v>
      </c>
      <c r="U954" s="364">
        <f t="shared" ca="1" si="408"/>
        <v>0</v>
      </c>
      <c r="V954" s="359">
        <f t="shared" ca="1" si="409"/>
        <v>1.2270201071738791</v>
      </c>
      <c r="W954" s="357">
        <f t="shared" ca="1" si="410"/>
        <v>78.913300078624133</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1.5650515015504602</v>
      </c>
      <c r="AH954" s="357">
        <f t="shared" ca="1" si="434"/>
        <v>-8.1876967456144794</v>
      </c>
    </row>
    <row r="955" spans="1:34" x14ac:dyDescent="0.25">
      <c r="A955" s="402">
        <f t="shared" ca="1" si="412"/>
        <v>1E-4</v>
      </c>
      <c r="B955" s="357">
        <f t="shared" ca="1" si="413"/>
        <v>49.300800000000393</v>
      </c>
      <c r="C955" s="342"/>
      <c r="D955" s="359">
        <f t="shared" ca="1" si="414"/>
        <v>-0.88328545542622028</v>
      </c>
      <c r="E955" s="360">
        <f t="shared" ca="1" si="415"/>
        <v>-1.6700578274584004</v>
      </c>
      <c r="F955" s="357">
        <f t="shared" ca="1" si="416"/>
        <v>1.8892554996142206</v>
      </c>
      <c r="G955" s="359">
        <f t="shared" ca="1" si="417"/>
        <v>18.104430516462227</v>
      </c>
      <c r="H955" s="360">
        <f t="shared" ca="1" si="418"/>
        <v>-166.84287403183811</v>
      </c>
      <c r="I955" s="357">
        <f t="shared" ca="1" si="419"/>
        <v>167.82227212002942</v>
      </c>
      <c r="J955" s="359">
        <f t="shared" ca="1" si="420"/>
        <v>1781.6275394582099</v>
      </c>
      <c r="K955" s="360">
        <f t="shared" ca="1" si="421"/>
        <v>-16.493769177082505</v>
      </c>
      <c r="L955" s="357">
        <f t="shared" ca="1" si="406"/>
        <v>1781.7038849869475</v>
      </c>
      <c r="M955" s="359">
        <f t="shared" ca="1" si="422"/>
        <v>-1.4627073860202422</v>
      </c>
      <c r="N955" s="357">
        <f t="shared" ca="1" si="423"/>
        <v>-83.806959881572794</v>
      </c>
      <c r="O955" s="343"/>
      <c r="P955" s="363">
        <f t="shared" ca="1" si="424"/>
        <v>23</v>
      </c>
      <c r="Q955" s="357">
        <f t="shared" ca="1" si="425"/>
        <v>0</v>
      </c>
      <c r="R955" s="359">
        <f t="shared" ca="1" si="426"/>
        <v>0</v>
      </c>
      <c r="S955" s="360">
        <f t="shared" ca="1" si="427"/>
        <v>9.637999999999975</v>
      </c>
      <c r="T955" s="357">
        <f t="shared" ca="1" si="407"/>
        <v>94.548779999999766</v>
      </c>
      <c r="U955" s="364">
        <f t="shared" ca="1" si="408"/>
        <v>0</v>
      </c>
      <c r="V955" s="359">
        <f t="shared" ca="1" si="409"/>
        <v>1.2270221543715651</v>
      </c>
      <c r="W955" s="357">
        <f t="shared" ca="1" si="410"/>
        <v>78.913578921338043</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1.565023237153552</v>
      </c>
      <c r="AH955" s="357">
        <f t="shared" ca="1" si="434"/>
        <v>-8.1877256773837246</v>
      </c>
    </row>
    <row r="956" spans="1:34" x14ac:dyDescent="0.25">
      <c r="A956" s="402">
        <f t="shared" ca="1" si="412"/>
        <v>1E-4</v>
      </c>
      <c r="B956" s="357">
        <f t="shared" ca="1" si="413"/>
        <v>49.300900000000397</v>
      </c>
      <c r="C956" s="342"/>
      <c r="D956" s="359">
        <f t="shared" ca="1" si="414"/>
        <v>-0.88328344343998044</v>
      </c>
      <c r="E956" s="360">
        <f t="shared" ca="1" si="415"/>
        <v>-1.6700285077035204</v>
      </c>
      <c r="F956" s="357">
        <f t="shared" ca="1" si="416"/>
        <v>1.8892286410060686</v>
      </c>
      <c r="G956" s="359">
        <f t="shared" ca="1" si="417"/>
        <v>18.104342188117883</v>
      </c>
      <c r="H956" s="360">
        <f t="shared" ca="1" si="418"/>
        <v>-166.84304103468887</v>
      </c>
      <c r="I956" s="357">
        <f t="shared" ca="1" si="419"/>
        <v>167.82242861956007</v>
      </c>
      <c r="J956" s="359">
        <f t="shared" ca="1" si="420"/>
        <v>1781.6275394582099</v>
      </c>
      <c r="K956" s="360">
        <f t="shared" ca="1" si="421"/>
        <v>-16.510453472835831</v>
      </c>
      <c r="L956" s="357">
        <f t="shared" ca="1" si="406"/>
        <v>1781.7040395166066</v>
      </c>
      <c r="M956" s="359">
        <f t="shared" ca="1" si="422"/>
        <v>-1.4627080166206938</v>
      </c>
      <c r="N956" s="357">
        <f t="shared" ca="1" si="423"/>
        <v>-83.806996012317228</v>
      </c>
      <c r="O956" s="343"/>
      <c r="P956" s="363">
        <f t="shared" ca="1" si="424"/>
        <v>23</v>
      </c>
      <c r="Q956" s="357">
        <f t="shared" ca="1" si="425"/>
        <v>0</v>
      </c>
      <c r="R956" s="359">
        <f t="shared" ca="1" si="426"/>
        <v>0</v>
      </c>
      <c r="S956" s="360">
        <f t="shared" ca="1" si="427"/>
        <v>9.637999999999975</v>
      </c>
      <c r="T956" s="357">
        <f t="shared" ca="1" si="407"/>
        <v>94.548779999999766</v>
      </c>
      <c r="U956" s="364">
        <f t="shared" ca="1" si="408"/>
        <v>0</v>
      </c>
      <c r="V956" s="359">
        <f t="shared" ca="1" si="409"/>
        <v>1.2270242015747181</v>
      </c>
      <c r="W956" s="357">
        <f t="shared" ca="1" si="410"/>
        <v>78.913857762373837</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1.5649949729223724</v>
      </c>
      <c r="AH956" s="357">
        <f t="shared" ca="1" si="434"/>
        <v>-8.1877546089788602</v>
      </c>
    </row>
    <row r="957" spans="1:34" x14ac:dyDescent="0.25">
      <c r="A957" s="402">
        <f t="shared" ca="1" si="412"/>
        <v>1E-4</v>
      </c>
      <c r="B957" s="357">
        <f t="shared" ca="1" si="413"/>
        <v>49.3010000000004</v>
      </c>
      <c r="C957" s="342"/>
      <c r="D957" s="359">
        <f t="shared" ca="1" si="414"/>
        <v>-0.88328143143294802</v>
      </c>
      <c r="E957" s="360">
        <f t="shared" ca="1" si="415"/>
        <v>-1.6699991881248</v>
      </c>
      <c r="F957" s="357">
        <f t="shared" ca="1" si="416"/>
        <v>1.889201782619244</v>
      </c>
      <c r="G957" s="359">
        <f t="shared" ca="1" si="417"/>
        <v>18.10425385997474</v>
      </c>
      <c r="H957" s="360">
        <f t="shared" ca="1" si="418"/>
        <v>-166.84320803460767</v>
      </c>
      <c r="I957" s="357">
        <f t="shared" ca="1" si="419"/>
        <v>167.82258511626432</v>
      </c>
      <c r="J957" s="359">
        <f t="shared" ca="1" si="420"/>
        <v>1781.6275394582099</v>
      </c>
      <c r="K957" s="360">
        <f t="shared" ca="1" si="421"/>
        <v>-16.527137785289295</v>
      </c>
      <c r="L957" s="357">
        <f t="shared" ca="1" si="406"/>
        <v>1781.7041942026428</v>
      </c>
      <c r="M957" s="359">
        <f t="shared" ca="1" si="422"/>
        <v>-1.4627086472168929</v>
      </c>
      <c r="N957" s="357">
        <f t="shared" ca="1" si="423"/>
        <v>-83.807032142818002</v>
      </c>
      <c r="O957" s="343"/>
      <c r="P957" s="363">
        <f t="shared" ca="1" si="424"/>
        <v>23</v>
      </c>
      <c r="Q957" s="357">
        <f t="shared" ca="1" si="425"/>
        <v>0</v>
      </c>
      <c r="R957" s="359">
        <f t="shared" ca="1" si="426"/>
        <v>0</v>
      </c>
      <c r="S957" s="360">
        <f t="shared" ca="1" si="427"/>
        <v>9.637999999999975</v>
      </c>
      <c r="T957" s="357">
        <f t="shared" ca="1" si="407"/>
        <v>94.548779999999766</v>
      </c>
      <c r="U957" s="364">
        <f t="shared" ca="1" si="408"/>
        <v>0</v>
      </c>
      <c r="V957" s="359">
        <f t="shared" ca="1" si="409"/>
        <v>1.2270262487833392</v>
      </c>
      <c r="W957" s="357">
        <f t="shared" ca="1" si="410"/>
        <v>78.91413660173157</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1.5649667088569306</v>
      </c>
      <c r="AH957" s="357">
        <f t="shared" ca="1" si="434"/>
        <v>-8.1877835403998791</v>
      </c>
    </row>
    <row r="958" spans="1:34" x14ac:dyDescent="0.25">
      <c r="A958" s="402">
        <f t="shared" ca="1" si="412"/>
        <v>1E-4</v>
      </c>
      <c r="B958" s="357">
        <f t="shared" ca="1" si="413"/>
        <v>49.301100000000403</v>
      </c>
      <c r="C958" s="342"/>
      <c r="D958" s="359">
        <f t="shared" ca="1" si="414"/>
        <v>-0.88327941940512311</v>
      </c>
      <c r="E958" s="360">
        <f t="shared" ca="1" si="415"/>
        <v>-1.6699698687222231</v>
      </c>
      <c r="F958" s="357">
        <f t="shared" ca="1" si="416"/>
        <v>1.8891749244537337</v>
      </c>
      <c r="G958" s="359">
        <f t="shared" ca="1" si="417"/>
        <v>18.104165532032798</v>
      </c>
      <c r="H958" s="360">
        <f t="shared" ca="1" si="418"/>
        <v>-166.84337503159455</v>
      </c>
      <c r="I958" s="357">
        <f t="shared" ca="1" si="419"/>
        <v>167.8227416101422</v>
      </c>
      <c r="J958" s="359">
        <f t="shared" ca="1" si="420"/>
        <v>1781.6275394582099</v>
      </c>
      <c r="K958" s="360">
        <f t="shared" ca="1" si="421"/>
        <v>-16.543822114442605</v>
      </c>
      <c r="L958" s="357">
        <f t="shared" ca="1" si="406"/>
        <v>1781.7043490450567</v>
      </c>
      <c r="M958" s="359">
        <f t="shared" ca="1" si="422"/>
        <v>-1.4627092778088393</v>
      </c>
      <c r="N958" s="357">
        <f t="shared" ca="1" si="423"/>
        <v>-83.807068273075132</v>
      </c>
      <c r="O958" s="343"/>
      <c r="P958" s="363">
        <f t="shared" ca="1" si="424"/>
        <v>23</v>
      </c>
      <c r="Q958" s="357">
        <f t="shared" ca="1" si="425"/>
        <v>0</v>
      </c>
      <c r="R958" s="359">
        <f t="shared" ca="1" si="426"/>
        <v>0</v>
      </c>
      <c r="S958" s="360">
        <f t="shared" ca="1" si="427"/>
        <v>9.637999999999975</v>
      </c>
      <c r="T958" s="357">
        <f t="shared" ca="1" si="407"/>
        <v>94.548779999999766</v>
      </c>
      <c r="U958" s="364">
        <f t="shared" ca="1" si="408"/>
        <v>0</v>
      </c>
      <c r="V958" s="359">
        <f t="shared" ca="1" si="409"/>
        <v>1.2270282959974284</v>
      </c>
      <c r="W958" s="357">
        <f t="shared" ca="1" si="410"/>
        <v>78.914415439411286</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1.5649384449572192</v>
      </c>
      <c r="AH958" s="357">
        <f t="shared" ca="1" si="434"/>
        <v>-8.1878124716467919</v>
      </c>
    </row>
    <row r="959" spans="1:34" x14ac:dyDescent="0.25">
      <c r="A959" s="402">
        <f t="shared" ca="1" si="412"/>
        <v>1E-4</v>
      </c>
      <c r="B959" s="357">
        <f t="shared" ca="1" si="413"/>
        <v>49.301200000000406</v>
      </c>
      <c r="C959" s="342"/>
      <c r="D959" s="359">
        <f t="shared" ca="1" si="414"/>
        <v>-0.88327740735650651</v>
      </c>
      <c r="E959" s="360">
        <f t="shared" ca="1" si="415"/>
        <v>-1.6699405494957951</v>
      </c>
      <c r="F959" s="357">
        <f t="shared" ca="1" si="416"/>
        <v>1.8891480665095444</v>
      </c>
      <c r="G959" s="359">
        <f t="shared" ca="1" si="417"/>
        <v>18.104077204292064</v>
      </c>
      <c r="H959" s="360">
        <f t="shared" ca="1" si="418"/>
        <v>-166.8435420256495</v>
      </c>
      <c r="I959" s="357">
        <f t="shared" ca="1" si="419"/>
        <v>167.82289810119369</v>
      </c>
      <c r="J959" s="359">
        <f t="shared" ca="1" si="420"/>
        <v>1781.6275394582099</v>
      </c>
      <c r="K959" s="360">
        <f t="shared" ca="1" si="421"/>
        <v>-16.560506460295468</v>
      </c>
      <c r="L959" s="357">
        <f t="shared" ca="1" si="406"/>
        <v>1781.7045040438486</v>
      </c>
      <c r="M959" s="359">
        <f t="shared" ca="1" si="422"/>
        <v>-1.4627099083965331</v>
      </c>
      <c r="N959" s="357">
        <f t="shared" ca="1" si="423"/>
        <v>-83.807104403088601</v>
      </c>
      <c r="O959" s="343"/>
      <c r="P959" s="363">
        <f t="shared" ca="1" si="424"/>
        <v>23</v>
      </c>
      <c r="Q959" s="357">
        <f t="shared" ca="1" si="425"/>
        <v>0</v>
      </c>
      <c r="R959" s="359">
        <f t="shared" ca="1" si="426"/>
        <v>0</v>
      </c>
      <c r="S959" s="360">
        <f t="shared" ca="1" si="427"/>
        <v>9.637999999999975</v>
      </c>
      <c r="T959" s="357">
        <f t="shared" ca="1" si="407"/>
        <v>94.548779999999766</v>
      </c>
      <c r="U959" s="364">
        <f t="shared" ca="1" si="408"/>
        <v>0</v>
      </c>
      <c r="V959" s="359">
        <f t="shared" ca="1" si="409"/>
        <v>1.2270303432169847</v>
      </c>
      <c r="W959" s="357">
        <f t="shared" ca="1" si="410"/>
        <v>78.914694275412856</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1.5649101812232331</v>
      </c>
      <c r="AH959" s="357">
        <f t="shared" ca="1" si="434"/>
        <v>-8.1878414027195987</v>
      </c>
    </row>
    <row r="960" spans="1:34" x14ac:dyDescent="0.25">
      <c r="A960" s="402">
        <f t="shared" ca="1" si="412"/>
        <v>1E-4</v>
      </c>
      <c r="B960" s="357">
        <f t="shared" ca="1" si="413"/>
        <v>49.30130000000041</v>
      </c>
      <c r="C960" s="342"/>
      <c r="D960" s="359">
        <f t="shared" ca="1" si="414"/>
        <v>-0.88327539528709775</v>
      </c>
      <c r="E960" s="360">
        <f t="shared" ca="1" si="415"/>
        <v>-1.6699112304455266</v>
      </c>
      <c r="F960" s="357">
        <f t="shared" ca="1" si="416"/>
        <v>1.8891212087866864</v>
      </c>
      <c r="G960" s="359">
        <f t="shared" ca="1" si="417"/>
        <v>18.103988876752535</v>
      </c>
      <c r="H960" s="360">
        <f t="shared" ca="1" si="418"/>
        <v>-166.84370901677255</v>
      </c>
      <c r="I960" s="357">
        <f t="shared" ca="1" si="419"/>
        <v>167.8230545894188</v>
      </c>
      <c r="J960" s="359">
        <f t="shared" ca="1" si="420"/>
        <v>1781.6275394582099</v>
      </c>
      <c r="K960" s="360">
        <f t="shared" ca="1" si="421"/>
        <v>-16.577190822847587</v>
      </c>
      <c r="L960" s="357">
        <f t="shared" ca="1" si="406"/>
        <v>1781.7046591990188</v>
      </c>
      <c r="M960" s="359">
        <f t="shared" ca="1" si="422"/>
        <v>-1.4627105389799744</v>
      </c>
      <c r="N960" s="357">
        <f t="shared" ca="1" si="423"/>
        <v>-83.807140532858412</v>
      </c>
      <c r="O960" s="343"/>
      <c r="P960" s="363">
        <f t="shared" ca="1" si="424"/>
        <v>23</v>
      </c>
      <c r="Q960" s="357">
        <f t="shared" ca="1" si="425"/>
        <v>0</v>
      </c>
      <c r="R960" s="359">
        <f t="shared" ca="1" si="426"/>
        <v>0</v>
      </c>
      <c r="S960" s="360">
        <f t="shared" ca="1" si="427"/>
        <v>9.637999999999975</v>
      </c>
      <c r="T960" s="357">
        <f t="shared" ca="1" si="407"/>
        <v>94.548779999999766</v>
      </c>
      <c r="U960" s="364">
        <f t="shared" ca="1" si="408"/>
        <v>0</v>
      </c>
      <c r="V960" s="359">
        <f t="shared" ca="1" si="409"/>
        <v>1.2270323904420084</v>
      </c>
      <c r="W960" s="357">
        <f t="shared" ca="1" si="410"/>
        <v>78.914973109736323</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1.5648819176549846</v>
      </c>
      <c r="AH960" s="357">
        <f t="shared" ca="1" si="434"/>
        <v>-8.1878703336182888</v>
      </c>
    </row>
    <row r="961" spans="1:34" x14ac:dyDescent="0.25">
      <c r="A961" s="402">
        <f t="shared" ca="1" si="412"/>
        <v>1E-4</v>
      </c>
      <c r="B961" s="357">
        <f t="shared" ca="1" si="413"/>
        <v>49.301400000000413</v>
      </c>
      <c r="C961" s="342"/>
      <c r="D961" s="359">
        <f t="shared" ca="1" si="414"/>
        <v>-0.88327338319689763</v>
      </c>
      <c r="E961" s="360">
        <f t="shared" ca="1" si="415"/>
        <v>-1.6698819115714105</v>
      </c>
      <c r="F961" s="357">
        <f t="shared" ca="1" si="416"/>
        <v>1.8890943512851552</v>
      </c>
      <c r="G961" s="359">
        <f t="shared" ca="1" si="417"/>
        <v>18.103900549414217</v>
      </c>
      <c r="H961" s="360">
        <f t="shared" ca="1" si="418"/>
        <v>-166.8438760049637</v>
      </c>
      <c r="I961" s="357">
        <f t="shared" ca="1" si="419"/>
        <v>167.82321107481761</v>
      </c>
      <c r="J961" s="359">
        <f t="shared" ca="1" si="420"/>
        <v>1781.6275394582099</v>
      </c>
      <c r="K961" s="360">
        <f t="shared" ca="1" si="421"/>
        <v>-16.593875202098673</v>
      </c>
      <c r="L961" s="357">
        <f t="shared" ca="1" si="406"/>
        <v>1781.704814510568</v>
      </c>
      <c r="M961" s="359">
        <f t="shared" ca="1" si="422"/>
        <v>-1.4627111695591632</v>
      </c>
      <c r="N961" s="357">
        <f t="shared" ca="1" si="423"/>
        <v>-83.807176662384592</v>
      </c>
      <c r="O961" s="343"/>
      <c r="P961" s="363">
        <f t="shared" ca="1" si="424"/>
        <v>23</v>
      </c>
      <c r="Q961" s="357">
        <f t="shared" ca="1" si="425"/>
        <v>0</v>
      </c>
      <c r="R961" s="359">
        <f t="shared" ca="1" si="426"/>
        <v>0</v>
      </c>
      <c r="S961" s="360">
        <f t="shared" ca="1" si="427"/>
        <v>9.637999999999975</v>
      </c>
      <c r="T961" s="357">
        <f t="shared" ca="1" si="407"/>
        <v>94.548779999999766</v>
      </c>
      <c r="U961" s="364">
        <f t="shared" ca="1" si="408"/>
        <v>0</v>
      </c>
      <c r="V961" s="359">
        <f t="shared" ca="1" si="409"/>
        <v>1.2270344376724993</v>
      </c>
      <c r="W961" s="357">
        <f t="shared" ca="1" si="410"/>
        <v>78.915251942381687</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1.564853654252472</v>
      </c>
      <c r="AH961" s="357">
        <f t="shared" ca="1" si="434"/>
        <v>-8.1878992643428639</v>
      </c>
    </row>
    <row r="962" spans="1:34" x14ac:dyDescent="0.25">
      <c r="A962" s="402">
        <f t="shared" ca="1" si="412"/>
        <v>1E-4</v>
      </c>
      <c r="B962" s="357">
        <f t="shared" ca="1" si="413"/>
        <v>49.301500000000416</v>
      </c>
      <c r="C962" s="342"/>
      <c r="D962" s="359">
        <f t="shared" ca="1" si="414"/>
        <v>-0.88327137108590548</v>
      </c>
      <c r="E962" s="360">
        <f t="shared" ca="1" si="415"/>
        <v>-1.6698525928734487</v>
      </c>
      <c r="F962" s="357">
        <f t="shared" ca="1" si="416"/>
        <v>1.8890674940049534</v>
      </c>
      <c r="G962" s="359">
        <f t="shared" ca="1" si="417"/>
        <v>18.103812222277107</v>
      </c>
      <c r="H962" s="360">
        <f t="shared" ca="1" si="418"/>
        <v>-166.84404299022299</v>
      </c>
      <c r="I962" s="357">
        <f t="shared" ca="1" si="419"/>
        <v>167.82336755739007</v>
      </c>
      <c r="J962" s="359">
        <f t="shared" ca="1" si="420"/>
        <v>1781.6275394582099</v>
      </c>
      <c r="K962" s="360">
        <f t="shared" ca="1" si="421"/>
        <v>-16.610559598048432</v>
      </c>
      <c r="L962" s="357">
        <f t="shared" ca="1" si="406"/>
        <v>1781.7049699784966</v>
      </c>
      <c r="M962" s="359">
        <f t="shared" ca="1" si="422"/>
        <v>-1.4627118001340995</v>
      </c>
      <c r="N962" s="357">
        <f t="shared" ca="1" si="423"/>
        <v>-83.807212791667098</v>
      </c>
      <c r="O962" s="343"/>
      <c r="P962" s="363">
        <f t="shared" ca="1" si="424"/>
        <v>23</v>
      </c>
      <c r="Q962" s="357">
        <f t="shared" ca="1" si="425"/>
        <v>0</v>
      </c>
      <c r="R962" s="359">
        <f t="shared" ca="1" si="426"/>
        <v>0</v>
      </c>
      <c r="S962" s="360">
        <f t="shared" ca="1" si="427"/>
        <v>9.637999999999975</v>
      </c>
      <c r="T962" s="357">
        <f t="shared" ca="1" si="407"/>
        <v>94.548779999999766</v>
      </c>
      <c r="U962" s="364">
        <f t="shared" ca="1" si="408"/>
        <v>0</v>
      </c>
      <c r="V962" s="359">
        <f t="shared" ca="1" si="409"/>
        <v>1.2270364849084581</v>
      </c>
      <c r="W962" s="357">
        <f t="shared" ca="1" si="410"/>
        <v>78.915530773348962</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1.5648253910156953</v>
      </c>
      <c r="AH962" s="357">
        <f t="shared" ca="1" si="434"/>
        <v>-8.1879281948933276</v>
      </c>
    </row>
    <row r="963" spans="1:34" x14ac:dyDescent="0.25">
      <c r="A963" s="402">
        <f t="shared" ca="1" si="412"/>
        <v>1E-4</v>
      </c>
      <c r="B963" s="357">
        <f t="shared" ca="1" si="413"/>
        <v>49.30160000000042</v>
      </c>
      <c r="C963" s="342"/>
      <c r="D963" s="359">
        <f t="shared" ca="1" si="414"/>
        <v>-0.88326935895412384</v>
      </c>
      <c r="E963" s="360">
        <f t="shared" ca="1" si="415"/>
        <v>-1.6698232743516375</v>
      </c>
      <c r="F963" s="357">
        <f t="shared" ca="1" si="416"/>
        <v>1.8890406369460804</v>
      </c>
      <c r="G963" s="359">
        <f t="shared" ca="1" si="417"/>
        <v>18.103723895341211</v>
      </c>
      <c r="H963" s="360">
        <f t="shared" ca="1" si="418"/>
        <v>-166.84420997255043</v>
      </c>
      <c r="I963" s="357">
        <f t="shared" ca="1" si="419"/>
        <v>167.82352403713625</v>
      </c>
      <c r="J963" s="359">
        <f t="shared" ca="1" si="420"/>
        <v>1781.6275394582099</v>
      </c>
      <c r="K963" s="360">
        <f t="shared" ca="1" si="421"/>
        <v>-16.627244010696572</v>
      </c>
      <c r="L963" s="357">
        <f t="shared" ca="1" si="406"/>
        <v>1781.7051256028046</v>
      </c>
      <c r="M963" s="359">
        <f t="shared" ca="1" si="422"/>
        <v>-1.4627124307047834</v>
      </c>
      <c r="N963" s="357">
        <f t="shared" ca="1" si="423"/>
        <v>-83.807248920705973</v>
      </c>
      <c r="O963" s="343"/>
      <c r="P963" s="363">
        <f t="shared" ca="1" si="424"/>
        <v>23</v>
      </c>
      <c r="Q963" s="357">
        <f t="shared" ca="1" si="425"/>
        <v>0</v>
      </c>
      <c r="R963" s="359">
        <f t="shared" ca="1" si="426"/>
        <v>0</v>
      </c>
      <c r="S963" s="360">
        <f t="shared" ca="1" si="427"/>
        <v>9.637999999999975</v>
      </c>
      <c r="T963" s="357">
        <f t="shared" ca="1" si="407"/>
        <v>94.548779999999766</v>
      </c>
      <c r="U963" s="364">
        <f t="shared" ca="1" si="408"/>
        <v>0</v>
      </c>
      <c r="V963" s="359">
        <f t="shared" ca="1" si="409"/>
        <v>1.2270385321498842</v>
      </c>
      <c r="W963" s="357">
        <f t="shared" ca="1" si="410"/>
        <v>78.915809602638149</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1.5647971279446491</v>
      </c>
      <c r="AH963" s="357">
        <f t="shared" ca="1" si="434"/>
        <v>-8.1879571252696799</v>
      </c>
    </row>
    <row r="964" spans="1:34" x14ac:dyDescent="0.25">
      <c r="A964" s="402">
        <f t="shared" ca="1" si="412"/>
        <v>1E-4</v>
      </c>
      <c r="B964" s="357">
        <f t="shared" ca="1" si="413"/>
        <v>49.301700000000423</v>
      </c>
      <c r="C964" s="342"/>
      <c r="D964" s="359">
        <f t="shared" ca="1" si="414"/>
        <v>-0.88326734680155128</v>
      </c>
      <c r="E964" s="360">
        <f t="shared" ca="1" si="415"/>
        <v>-1.6697939560059822</v>
      </c>
      <c r="F964" s="357">
        <f t="shared" ca="1" si="416"/>
        <v>1.8890137801085412</v>
      </c>
      <c r="G964" s="359">
        <f t="shared" ca="1" si="417"/>
        <v>18.103635568606531</v>
      </c>
      <c r="H964" s="360">
        <f t="shared" ca="1" si="418"/>
        <v>-166.84437695194603</v>
      </c>
      <c r="I964" s="357">
        <f t="shared" ca="1" si="419"/>
        <v>167.82368051405612</v>
      </c>
      <c r="J964" s="359">
        <f t="shared" ca="1" si="420"/>
        <v>1781.6275394582099</v>
      </c>
      <c r="K964" s="360">
        <f t="shared" ca="1" si="421"/>
        <v>-16.643928440042796</v>
      </c>
      <c r="L964" s="357">
        <f t="shared" ref="L964:L1004" ca="1" si="435">SQRT(pos_x^2+pos_z^2)</f>
        <v>1781.7052813834932</v>
      </c>
      <c r="M964" s="359">
        <f t="shared" ca="1" si="422"/>
        <v>-1.4627130612712149</v>
      </c>
      <c r="N964" s="357">
        <f t="shared" ca="1" si="423"/>
        <v>-83.807285049501203</v>
      </c>
      <c r="O964" s="343"/>
      <c r="P964" s="363">
        <f t="shared" ca="1" si="424"/>
        <v>23</v>
      </c>
      <c r="Q964" s="357">
        <f t="shared" ca="1" si="425"/>
        <v>0</v>
      </c>
      <c r="R964" s="359">
        <f t="shared" ca="1" si="426"/>
        <v>0</v>
      </c>
      <c r="S964" s="360">
        <f t="shared" ca="1" si="427"/>
        <v>9.637999999999975</v>
      </c>
      <c r="T964" s="357">
        <f t="shared" ref="T964:T1004" ca="1" si="436">m*g</f>
        <v>94.548779999999766</v>
      </c>
      <c r="U964" s="364">
        <f t="shared" ref="U964:U1004" ca="1" si="437">IF(pos_xz&lt;L_rampe,Poids*COS(Beta),0)</f>
        <v>0</v>
      </c>
      <c r="V964" s="359">
        <f t="shared" ref="V964:V1004" ca="1" si="438">Rho_moyen*(20000-Alt_rampe-pos_z)/(20000+Alt_rampe+pos_z)</f>
        <v>1.2270405793967785</v>
      </c>
      <c r="W964" s="357">
        <f t="shared" ref="W964:W1003" ca="1" si="439">1/2*Rho*Sref*Cx*vit_xz^2</f>
        <v>78.91608843024926</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1.5647688650393405</v>
      </c>
      <c r="AH964" s="357">
        <f t="shared" ca="1" si="434"/>
        <v>-8.187986055471919</v>
      </c>
    </row>
    <row r="965" spans="1:34" x14ac:dyDescent="0.25">
      <c r="A965" s="402">
        <f t="shared" ref="A965:A1004" ca="1" si="441">IF(B964+0.01&lt;=T_ini+ROUNDUP(Temps_fin_propu,0), 0.01, IF(K964&gt;0, 0.1, 0.0001))</f>
        <v>1E-4</v>
      </c>
      <c r="B965" s="357">
        <f t="shared" ref="B965:B1004" ca="1" si="442">B964+pas</f>
        <v>49.301800000000426</v>
      </c>
      <c r="C965" s="342"/>
      <c r="D965" s="359">
        <f t="shared" ref="D965:D1004" ca="1" si="443">IF(AND(L964&lt;L_rampe,Poussee&lt;Poids*SIN(M964)),0,(-W964+Poussee)/m*COS(M964)-U964/m*SIN(M964))</f>
        <v>-0.88326533462818901</v>
      </c>
      <c r="E965" s="360">
        <f t="shared" ref="E965:E1004" ca="1" si="444">IF(AND(L964&lt;L_rampe,Poussee&lt;Poids*SIN(M964)),0,(-W964+Poussee)/m*SIN(M964)+U964/m*COS(M964)-Poids/m)</f>
        <v>-1.6697646378364759</v>
      </c>
      <c r="F965" s="357">
        <f t="shared" ref="F965:F1004" ca="1" si="445">SQRT(acc_x^2+acc_z^2)</f>
        <v>1.8889869234923315</v>
      </c>
      <c r="G965" s="359">
        <f t="shared" ref="G965:G1004" ca="1" si="446">G964+acc_x*pas</f>
        <v>18.10354724207307</v>
      </c>
      <c r="H965" s="360">
        <f t="shared" ref="H965:H1004" ca="1" si="447">H964+acc_z*pas</f>
        <v>-166.84454392840982</v>
      </c>
      <c r="I965" s="357">
        <f t="shared" ref="I965:I1004" ca="1" si="448">SQRT(vit_x^2+vit_z^2)</f>
        <v>167.82383698814971</v>
      </c>
      <c r="J965" s="359">
        <f t="shared" ref="J965:J1004" ca="1" si="449">J964+0.5*(vit_x+G964)*pas*(K964&gt;=0)</f>
        <v>1781.6275394582099</v>
      </c>
      <c r="K965" s="360">
        <f t="shared" ref="K965:K1004" ca="1" si="450">K964+0.5*(vit_z+H964)*pas</f>
        <v>-16.660612886086813</v>
      </c>
      <c r="L965" s="357">
        <f t="shared" ca="1" si="435"/>
        <v>1781.7054373205619</v>
      </c>
      <c r="M965" s="359">
        <f t="shared" ref="M965:M1004" ca="1" si="451">IF(AND(L964&gt;L_rampe,G965&gt;0),ATAN2(G965,H965),$M$4)</f>
        <v>-1.4627136918333941</v>
      </c>
      <c r="N965" s="357">
        <f t="shared" ref="N965:N1004" ca="1" si="452">DEGREES(Beta)</f>
        <v>-83.807321178052788</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9.637999999999975</v>
      </c>
      <c r="T965" s="357">
        <f t="shared" ca="1" si="436"/>
        <v>94.548779999999766</v>
      </c>
      <c r="U965" s="364">
        <f t="shared" ca="1" si="437"/>
        <v>0</v>
      </c>
      <c r="V965" s="359">
        <f t="shared" ca="1" si="438"/>
        <v>1.2270426266491394</v>
      </c>
      <c r="W965" s="357">
        <f t="shared" ca="1" si="439"/>
        <v>78.916367256182198</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1.5647406022997608</v>
      </c>
      <c r="AH965" s="357">
        <f t="shared" ref="AH965:AH1004" ca="1" si="463">IF(AND(L964&lt;L_rampe,Poussee&lt;Poids*SIN(M964)), g*SIN(M964), (-W964+Poussee)/m)</f>
        <v>-8.1880149855000486</v>
      </c>
    </row>
    <row r="966" spans="1:34" x14ac:dyDescent="0.25">
      <c r="A966" s="402">
        <f t="shared" ca="1" si="441"/>
        <v>1E-4</v>
      </c>
      <c r="B966" s="357">
        <f t="shared" ca="1" si="442"/>
        <v>49.30190000000043</v>
      </c>
      <c r="C966" s="342"/>
      <c r="D966" s="359">
        <f t="shared" ca="1" si="443"/>
        <v>-0.88326332243403649</v>
      </c>
      <c r="E966" s="360">
        <f t="shared" ca="1" si="444"/>
        <v>-1.6697353198431326</v>
      </c>
      <c r="F966" s="357">
        <f t="shared" ca="1" si="445"/>
        <v>1.8889600670974656</v>
      </c>
      <c r="G966" s="359">
        <f t="shared" ca="1" si="446"/>
        <v>18.103458915740827</v>
      </c>
      <c r="H966" s="360">
        <f t="shared" ca="1" si="447"/>
        <v>-166.8447109019418</v>
      </c>
      <c r="I966" s="357">
        <f t="shared" ca="1" si="448"/>
        <v>167.82399345941704</v>
      </c>
      <c r="J966" s="359">
        <f t="shared" ca="1" si="449"/>
        <v>1781.6275394582099</v>
      </c>
      <c r="K966" s="360">
        <f t="shared" ca="1" si="450"/>
        <v>-16.677297348828329</v>
      </c>
      <c r="L966" s="357">
        <f t="shared" ca="1" si="435"/>
        <v>1781.7055934140119</v>
      </c>
      <c r="M966" s="359">
        <f t="shared" ca="1" si="451"/>
        <v>-1.462714322391321</v>
      </c>
      <c r="N966" s="357">
        <f t="shared" ca="1" si="452"/>
        <v>-83.807357306360743</v>
      </c>
      <c r="O966" s="343"/>
      <c r="P966" s="363">
        <f t="shared" ca="1" si="453"/>
        <v>23</v>
      </c>
      <c r="Q966" s="357">
        <f t="shared" ca="1" si="454"/>
        <v>0</v>
      </c>
      <c r="R966" s="359">
        <f t="shared" ca="1" si="455"/>
        <v>0</v>
      </c>
      <c r="S966" s="360">
        <f t="shared" ca="1" si="456"/>
        <v>9.637999999999975</v>
      </c>
      <c r="T966" s="357">
        <f t="shared" ca="1" si="436"/>
        <v>94.548779999999766</v>
      </c>
      <c r="U966" s="364">
        <f t="shared" ca="1" si="437"/>
        <v>0</v>
      </c>
      <c r="V966" s="359">
        <f t="shared" ca="1" si="438"/>
        <v>1.2270446739069683</v>
      </c>
      <c r="W966" s="357">
        <f t="shared" ca="1" si="439"/>
        <v>78.916646080437062</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1.5647123397259239</v>
      </c>
      <c r="AH966" s="357">
        <f t="shared" ca="1" si="463"/>
        <v>-8.1880439153540578</v>
      </c>
    </row>
    <row r="967" spans="1:34" x14ac:dyDescent="0.25">
      <c r="A967" s="402">
        <f t="shared" ca="1" si="441"/>
        <v>1E-4</v>
      </c>
      <c r="B967" s="357">
        <f t="shared" ca="1" si="442"/>
        <v>49.302000000000433</v>
      </c>
      <c r="C967" s="342"/>
      <c r="D967" s="359">
        <f t="shared" ca="1" si="443"/>
        <v>-0.8832613102190936</v>
      </c>
      <c r="E967" s="360">
        <f t="shared" ca="1" si="444"/>
        <v>-1.66970600202594</v>
      </c>
      <c r="F967" s="357">
        <f t="shared" ca="1" si="445"/>
        <v>1.8889332109239327</v>
      </c>
      <c r="G967" s="359">
        <f t="shared" ca="1" si="446"/>
        <v>18.103370589609806</v>
      </c>
      <c r="H967" s="360">
        <f t="shared" ca="1" si="447"/>
        <v>-166.84487787254199</v>
      </c>
      <c r="I967" s="357">
        <f t="shared" ca="1" si="448"/>
        <v>167.82414992785812</v>
      </c>
      <c r="J967" s="359">
        <f t="shared" ca="1" si="449"/>
        <v>1781.6275394582099</v>
      </c>
      <c r="K967" s="360">
        <f t="shared" ca="1" si="450"/>
        <v>-16.693981828267052</v>
      </c>
      <c r="L967" s="357">
        <f t="shared" ca="1" si="435"/>
        <v>1781.7057496638431</v>
      </c>
      <c r="M967" s="359">
        <f t="shared" ca="1" si="451"/>
        <v>-1.4627149529449956</v>
      </c>
      <c r="N967" s="357">
        <f t="shared" ca="1" si="452"/>
        <v>-83.807393434425052</v>
      </c>
      <c r="O967" s="343"/>
      <c r="P967" s="363">
        <f t="shared" ca="1" si="453"/>
        <v>23</v>
      </c>
      <c r="Q967" s="357">
        <f t="shared" ca="1" si="454"/>
        <v>0</v>
      </c>
      <c r="R967" s="359">
        <f t="shared" ca="1" si="455"/>
        <v>0</v>
      </c>
      <c r="S967" s="360">
        <f t="shared" ca="1" si="456"/>
        <v>9.637999999999975</v>
      </c>
      <c r="T967" s="357">
        <f t="shared" ca="1" si="436"/>
        <v>94.548779999999766</v>
      </c>
      <c r="U967" s="364">
        <f t="shared" ca="1" si="437"/>
        <v>0</v>
      </c>
      <c r="V967" s="359">
        <f t="shared" ca="1" si="438"/>
        <v>1.2270467211702638</v>
      </c>
      <c r="W967" s="357">
        <f t="shared" ca="1" si="439"/>
        <v>78.916924903013722</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1.564684077317823</v>
      </c>
      <c r="AH967" s="357">
        <f t="shared" ca="1" si="463"/>
        <v>-8.1880728450339557</v>
      </c>
    </row>
    <row r="968" spans="1:34" x14ac:dyDescent="0.25">
      <c r="A968" s="402">
        <f t="shared" ca="1" si="441"/>
        <v>1E-4</v>
      </c>
      <c r="B968" s="357">
        <f t="shared" ca="1" si="442"/>
        <v>49.302100000000436</v>
      </c>
      <c r="C968" s="342"/>
      <c r="D968" s="359">
        <f t="shared" ca="1" si="443"/>
        <v>-0.88325929798336178</v>
      </c>
      <c r="E968" s="360">
        <f t="shared" ca="1" si="444"/>
        <v>-1.6696766843849105</v>
      </c>
      <c r="F968" s="357">
        <f t="shared" ca="1" si="445"/>
        <v>1.8889063549717462</v>
      </c>
      <c r="G968" s="359">
        <f t="shared" ca="1" si="446"/>
        <v>18.103282263680008</v>
      </c>
      <c r="H968" s="360">
        <f t="shared" ca="1" si="447"/>
        <v>-166.84504484021042</v>
      </c>
      <c r="I968" s="357">
        <f t="shared" ca="1" si="448"/>
        <v>167.82430639347299</v>
      </c>
      <c r="J968" s="359">
        <f t="shared" ca="1" si="449"/>
        <v>1781.6275394582099</v>
      </c>
      <c r="K968" s="360">
        <f t="shared" ca="1" si="450"/>
        <v>-16.710666324402691</v>
      </c>
      <c r="L968" s="357">
        <f t="shared" ca="1" si="435"/>
        <v>1781.7059060700565</v>
      </c>
      <c r="M968" s="359">
        <f t="shared" ca="1" si="451"/>
        <v>-1.4627155834944181</v>
      </c>
      <c r="N968" s="357">
        <f t="shared" ca="1" si="452"/>
        <v>-83.80742956224573</v>
      </c>
      <c r="O968" s="343"/>
      <c r="P968" s="363">
        <f t="shared" ca="1" si="453"/>
        <v>23</v>
      </c>
      <c r="Q968" s="357">
        <f t="shared" ca="1" si="454"/>
        <v>0</v>
      </c>
      <c r="R968" s="359">
        <f t="shared" ca="1" si="455"/>
        <v>0</v>
      </c>
      <c r="S968" s="360">
        <f t="shared" ca="1" si="456"/>
        <v>9.637999999999975</v>
      </c>
      <c r="T968" s="357">
        <f t="shared" ca="1" si="436"/>
        <v>94.548779999999766</v>
      </c>
      <c r="U968" s="364">
        <f t="shared" ca="1" si="437"/>
        <v>0</v>
      </c>
      <c r="V968" s="359">
        <f t="shared" ca="1" si="438"/>
        <v>1.2270487684390272</v>
      </c>
      <c r="W968" s="357">
        <f t="shared" ca="1" si="439"/>
        <v>78.917203723912337</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1.564655815075465</v>
      </c>
      <c r="AH968" s="357">
        <f t="shared" ca="1" si="463"/>
        <v>-8.1881017745397315</v>
      </c>
    </row>
    <row r="969" spans="1:34" x14ac:dyDescent="0.25">
      <c r="A969" s="402">
        <f t="shared" ca="1" si="441"/>
        <v>1E-4</v>
      </c>
      <c r="B969" s="357">
        <f t="shared" ca="1" si="442"/>
        <v>49.30220000000044</v>
      </c>
      <c r="C969" s="342"/>
      <c r="D969" s="359">
        <f t="shared" ca="1" si="443"/>
        <v>-0.88325728572684148</v>
      </c>
      <c r="E969" s="360">
        <f t="shared" ca="1" si="444"/>
        <v>-1.6696473669200298</v>
      </c>
      <c r="F969" s="357">
        <f t="shared" ca="1" si="445"/>
        <v>1.8888794992408955</v>
      </c>
      <c r="G969" s="359">
        <f t="shared" ca="1" si="446"/>
        <v>18.103193937951435</v>
      </c>
      <c r="H969" s="360">
        <f t="shared" ca="1" si="447"/>
        <v>-166.8452118049471</v>
      </c>
      <c r="I969" s="357">
        <f t="shared" ca="1" si="448"/>
        <v>167.82446285626165</v>
      </c>
      <c r="J969" s="359">
        <f t="shared" ca="1" si="449"/>
        <v>1781.6275394582099</v>
      </c>
      <c r="K969" s="360">
        <f t="shared" ca="1" si="450"/>
        <v>-16.727350837234948</v>
      </c>
      <c r="L969" s="357">
        <f t="shared" ca="1" si="435"/>
        <v>1781.7060626326518</v>
      </c>
      <c r="M969" s="359">
        <f t="shared" ca="1" si="451"/>
        <v>-1.4627162140395884</v>
      </c>
      <c r="N969" s="357">
        <f t="shared" ca="1" si="452"/>
        <v>-83.807465689822791</v>
      </c>
      <c r="O969" s="343"/>
      <c r="P969" s="363">
        <f t="shared" ca="1" si="453"/>
        <v>23</v>
      </c>
      <c r="Q969" s="357">
        <f t="shared" ca="1" si="454"/>
        <v>0</v>
      </c>
      <c r="R969" s="359">
        <f t="shared" ca="1" si="455"/>
        <v>0</v>
      </c>
      <c r="S969" s="360">
        <f t="shared" ca="1" si="456"/>
        <v>9.637999999999975</v>
      </c>
      <c r="T969" s="357">
        <f t="shared" ca="1" si="436"/>
        <v>94.548779999999766</v>
      </c>
      <c r="U969" s="364">
        <f t="shared" ca="1" si="437"/>
        <v>0</v>
      </c>
      <c r="V969" s="359">
        <f t="shared" ca="1" si="438"/>
        <v>1.2270508157132582</v>
      </c>
      <c r="W969" s="357">
        <f t="shared" ca="1" si="439"/>
        <v>78.917482543132806</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1.5646275529988394</v>
      </c>
      <c r="AH969" s="357">
        <f t="shared" ca="1" si="463"/>
        <v>-8.1881307038713995</v>
      </c>
    </row>
    <row r="970" spans="1:34" x14ac:dyDescent="0.25">
      <c r="A970" s="402">
        <f t="shared" ca="1" si="441"/>
        <v>1E-4</v>
      </c>
      <c r="B970" s="357">
        <f t="shared" ca="1" si="442"/>
        <v>49.302300000000443</v>
      </c>
      <c r="C970" s="342"/>
      <c r="D970" s="359">
        <f t="shared" ca="1" si="443"/>
        <v>-0.88325527344953203</v>
      </c>
      <c r="E970" s="360">
        <f t="shared" ca="1" si="444"/>
        <v>-1.6696180496313104</v>
      </c>
      <c r="F970" s="357">
        <f t="shared" ca="1" si="445"/>
        <v>1.8888526437313919</v>
      </c>
      <c r="G970" s="359">
        <f t="shared" ca="1" si="446"/>
        <v>18.103105612424091</v>
      </c>
      <c r="H970" s="360">
        <f t="shared" ca="1" si="447"/>
        <v>-166.84537876675205</v>
      </c>
      <c r="I970" s="357">
        <f t="shared" ca="1" si="448"/>
        <v>167.8246193162241</v>
      </c>
      <c r="J970" s="359">
        <f t="shared" ca="1" si="449"/>
        <v>1781.6275394582099</v>
      </c>
      <c r="K970" s="360">
        <f t="shared" ca="1" si="450"/>
        <v>-16.744035366763534</v>
      </c>
      <c r="L970" s="357">
        <f t="shared" ca="1" si="435"/>
        <v>1781.7062193516299</v>
      </c>
      <c r="M970" s="359">
        <f t="shared" ca="1" si="451"/>
        <v>-1.4627168445805065</v>
      </c>
      <c r="N970" s="357">
        <f t="shared" ca="1" si="452"/>
        <v>-83.807501817156208</v>
      </c>
      <c r="O970" s="343"/>
      <c r="P970" s="363">
        <f t="shared" ca="1" si="453"/>
        <v>23</v>
      </c>
      <c r="Q970" s="357">
        <f t="shared" ca="1" si="454"/>
        <v>0</v>
      </c>
      <c r="R970" s="359">
        <f t="shared" ca="1" si="455"/>
        <v>0</v>
      </c>
      <c r="S970" s="360">
        <f t="shared" ca="1" si="456"/>
        <v>9.637999999999975</v>
      </c>
      <c r="T970" s="357">
        <f t="shared" ca="1" si="436"/>
        <v>94.548779999999766</v>
      </c>
      <c r="U970" s="364">
        <f t="shared" ca="1" si="437"/>
        <v>0</v>
      </c>
      <c r="V970" s="359">
        <f t="shared" ca="1" si="438"/>
        <v>1.2270528629929562</v>
      </c>
      <c r="W970" s="357">
        <f t="shared" ca="1" si="439"/>
        <v>78.917761360675129</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1.5645992910879531</v>
      </c>
      <c r="AH970" s="357">
        <f t="shared" ca="1" si="463"/>
        <v>-8.188159633028949</v>
      </c>
    </row>
    <row r="971" spans="1:34" x14ac:dyDescent="0.25">
      <c r="A971" s="402">
        <f t="shared" ca="1" si="441"/>
        <v>1E-4</v>
      </c>
      <c r="B971" s="357">
        <f t="shared" ca="1" si="442"/>
        <v>49.302400000000446</v>
      </c>
      <c r="C971" s="342"/>
      <c r="D971" s="359">
        <f t="shared" ca="1" si="443"/>
        <v>-0.88325326115143454</v>
      </c>
      <c r="E971" s="360">
        <f t="shared" ca="1" si="444"/>
        <v>-1.6695887325187471</v>
      </c>
      <c r="F971" s="357">
        <f t="shared" ca="1" si="445"/>
        <v>1.8888257884432329</v>
      </c>
      <c r="G971" s="359">
        <f t="shared" ca="1" si="446"/>
        <v>18.103017287097977</v>
      </c>
      <c r="H971" s="360">
        <f t="shared" ca="1" si="447"/>
        <v>-166.8455457256253</v>
      </c>
      <c r="I971" s="357">
        <f t="shared" ca="1" si="448"/>
        <v>167.82477577336039</v>
      </c>
      <c r="J971" s="359">
        <f t="shared" ca="1" si="449"/>
        <v>1781.6275394582099</v>
      </c>
      <c r="K971" s="360">
        <f t="shared" ca="1" si="450"/>
        <v>-16.760719912988151</v>
      </c>
      <c r="L971" s="357">
        <f t="shared" ca="1" si="435"/>
        <v>1781.7063762269911</v>
      </c>
      <c r="M971" s="359">
        <f t="shared" ca="1" si="451"/>
        <v>-1.4627174751171725</v>
      </c>
      <c r="N971" s="357">
        <f t="shared" ca="1" si="452"/>
        <v>-83.807537944245993</v>
      </c>
      <c r="O971" s="343"/>
      <c r="P971" s="363">
        <f t="shared" ca="1" si="453"/>
        <v>23</v>
      </c>
      <c r="Q971" s="357">
        <f t="shared" ca="1" si="454"/>
        <v>0</v>
      </c>
      <c r="R971" s="359">
        <f t="shared" ca="1" si="455"/>
        <v>0</v>
      </c>
      <c r="S971" s="360">
        <f t="shared" ca="1" si="456"/>
        <v>9.637999999999975</v>
      </c>
      <c r="T971" s="357">
        <f t="shared" ca="1" si="436"/>
        <v>94.548779999999766</v>
      </c>
      <c r="U971" s="364">
        <f t="shared" ca="1" si="437"/>
        <v>0</v>
      </c>
      <c r="V971" s="359">
        <f t="shared" ca="1" si="438"/>
        <v>1.2270549102781221</v>
      </c>
      <c r="W971" s="357">
        <f t="shared" ca="1" si="439"/>
        <v>78.91804017653935</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1.5645710293428063</v>
      </c>
      <c r="AH971" s="357">
        <f t="shared" ca="1" si="463"/>
        <v>-8.1881885620123818</v>
      </c>
    </row>
    <row r="972" spans="1:34" x14ac:dyDescent="0.25">
      <c r="A972" s="402">
        <f t="shared" ca="1" si="441"/>
        <v>1E-4</v>
      </c>
      <c r="B972" s="357">
        <f t="shared" ca="1" si="442"/>
        <v>49.30250000000045</v>
      </c>
      <c r="C972" s="342"/>
      <c r="D972" s="359">
        <f t="shared" ca="1" si="443"/>
        <v>-0.88325124883255002</v>
      </c>
      <c r="E972" s="360">
        <f t="shared" ca="1" si="444"/>
        <v>-1.6695594155823379</v>
      </c>
      <c r="F972" s="357">
        <f t="shared" ca="1" si="445"/>
        <v>1.8887989333764188</v>
      </c>
      <c r="G972" s="359">
        <f t="shared" ca="1" si="446"/>
        <v>18.102928961973095</v>
      </c>
      <c r="H972" s="360">
        <f t="shared" ca="1" si="447"/>
        <v>-166.84571268156685</v>
      </c>
      <c r="I972" s="357">
        <f t="shared" ca="1" si="448"/>
        <v>167.8249322276705</v>
      </c>
      <c r="J972" s="359">
        <f t="shared" ca="1" si="449"/>
        <v>1781.6275394582099</v>
      </c>
      <c r="K972" s="360">
        <f t="shared" ca="1" si="450"/>
        <v>-16.777404475908511</v>
      </c>
      <c r="L972" s="357">
        <f t="shared" ca="1" si="435"/>
        <v>1781.706533258736</v>
      </c>
      <c r="M972" s="359">
        <f t="shared" ca="1" si="451"/>
        <v>-1.4627181056495866</v>
      </c>
      <c r="N972" s="357">
        <f t="shared" ca="1" si="452"/>
        <v>-83.807574071092162</v>
      </c>
      <c r="O972" s="343"/>
      <c r="P972" s="363">
        <f t="shared" ca="1" si="453"/>
        <v>23</v>
      </c>
      <c r="Q972" s="357">
        <f t="shared" ca="1" si="454"/>
        <v>0</v>
      </c>
      <c r="R972" s="359">
        <f t="shared" ca="1" si="455"/>
        <v>0</v>
      </c>
      <c r="S972" s="360">
        <f t="shared" ca="1" si="456"/>
        <v>9.637999999999975</v>
      </c>
      <c r="T972" s="357">
        <f t="shared" ca="1" si="436"/>
        <v>94.548779999999766</v>
      </c>
      <c r="U972" s="364">
        <f t="shared" ca="1" si="437"/>
        <v>0</v>
      </c>
      <c r="V972" s="359">
        <f t="shared" ca="1" si="438"/>
        <v>1.2270569575687551</v>
      </c>
      <c r="W972" s="357">
        <f t="shared" ca="1" si="439"/>
        <v>78.918318990725425</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1.5645427677633972</v>
      </c>
      <c r="AH972" s="357">
        <f t="shared" ca="1" si="463"/>
        <v>-8.1882174908217014</v>
      </c>
    </row>
    <row r="973" spans="1:34" x14ac:dyDescent="0.25">
      <c r="A973" s="402">
        <f t="shared" ca="1" si="441"/>
        <v>1E-4</v>
      </c>
      <c r="B973" s="357">
        <f t="shared" ca="1" si="442"/>
        <v>49.302600000000453</v>
      </c>
      <c r="C973" s="342"/>
      <c r="D973" s="359">
        <f t="shared" ca="1" si="443"/>
        <v>-0.88324923649287679</v>
      </c>
      <c r="E973" s="360">
        <f t="shared" ca="1" si="444"/>
        <v>-1.6695300988220882</v>
      </c>
      <c r="F973" s="357">
        <f t="shared" ca="1" si="445"/>
        <v>1.8887720785309543</v>
      </c>
      <c r="G973" s="359">
        <f t="shared" ca="1" si="446"/>
        <v>18.102840637049447</v>
      </c>
      <c r="H973" s="360">
        <f t="shared" ca="1" si="447"/>
        <v>-166.84587963457673</v>
      </c>
      <c r="I973" s="357">
        <f t="shared" ca="1" si="448"/>
        <v>167.8250886791545</v>
      </c>
      <c r="J973" s="359">
        <f t="shared" ca="1" si="449"/>
        <v>1781.6275394582099</v>
      </c>
      <c r="K973" s="360">
        <f t="shared" ca="1" si="450"/>
        <v>-16.794089055524317</v>
      </c>
      <c r="L973" s="357">
        <f t="shared" ca="1" si="435"/>
        <v>1781.7066904468647</v>
      </c>
      <c r="M973" s="359">
        <f t="shared" ca="1" si="451"/>
        <v>-1.4627187361777485</v>
      </c>
      <c r="N973" s="357">
        <f t="shared" ca="1" si="452"/>
        <v>-83.807610197694714</v>
      </c>
      <c r="O973" s="343"/>
      <c r="P973" s="363">
        <f t="shared" ca="1" si="453"/>
        <v>23</v>
      </c>
      <c r="Q973" s="357">
        <f t="shared" ca="1" si="454"/>
        <v>0</v>
      </c>
      <c r="R973" s="359">
        <f t="shared" ca="1" si="455"/>
        <v>0</v>
      </c>
      <c r="S973" s="360">
        <f t="shared" ca="1" si="456"/>
        <v>9.637999999999975</v>
      </c>
      <c r="T973" s="357">
        <f t="shared" ca="1" si="436"/>
        <v>94.548779999999766</v>
      </c>
      <c r="U973" s="364">
        <f t="shared" ca="1" si="437"/>
        <v>0</v>
      </c>
      <c r="V973" s="359">
        <f t="shared" ca="1" si="438"/>
        <v>1.2270590048648553</v>
      </c>
      <c r="W973" s="357">
        <f t="shared" ca="1" si="439"/>
        <v>78.918597803233368</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1.5645145063497292</v>
      </c>
      <c r="AH973" s="357">
        <f t="shared" ca="1" si="463"/>
        <v>-8.1882464194569025</v>
      </c>
    </row>
    <row r="974" spans="1:34" x14ac:dyDescent="0.25">
      <c r="A974" s="402">
        <f t="shared" ca="1" si="441"/>
        <v>1E-4</v>
      </c>
      <c r="B974" s="357">
        <f t="shared" ca="1" si="442"/>
        <v>49.302700000000456</v>
      </c>
      <c r="C974" s="342"/>
      <c r="D974" s="359">
        <f t="shared" ca="1" si="443"/>
        <v>-0.88324722413241763</v>
      </c>
      <c r="E974" s="360">
        <f t="shared" ca="1" si="444"/>
        <v>-1.6695007822379946</v>
      </c>
      <c r="F974" s="357">
        <f t="shared" ca="1" si="445"/>
        <v>1.8887452239068394</v>
      </c>
      <c r="G974" s="359">
        <f t="shared" ca="1" si="446"/>
        <v>18.102752312327034</v>
      </c>
      <c r="H974" s="360">
        <f t="shared" ca="1" si="447"/>
        <v>-166.84604658465494</v>
      </c>
      <c r="I974" s="357">
        <f t="shared" ca="1" si="448"/>
        <v>167.82524512781237</v>
      </c>
      <c r="J974" s="359">
        <f t="shared" ca="1" si="449"/>
        <v>1781.6275394582099</v>
      </c>
      <c r="K974" s="360">
        <f t="shared" ca="1" si="450"/>
        <v>-16.81077365183528</v>
      </c>
      <c r="L974" s="357">
        <f t="shared" ca="1" si="435"/>
        <v>1781.7068477913779</v>
      </c>
      <c r="M974" s="359">
        <f t="shared" ca="1" si="451"/>
        <v>-1.4627193667016587</v>
      </c>
      <c r="N974" s="357">
        <f t="shared" ca="1" si="452"/>
        <v>-83.80764632405365</v>
      </c>
      <c r="O974" s="343"/>
      <c r="P974" s="363">
        <f t="shared" ca="1" si="453"/>
        <v>23</v>
      </c>
      <c r="Q974" s="357">
        <f t="shared" ca="1" si="454"/>
        <v>0</v>
      </c>
      <c r="R974" s="359">
        <f t="shared" ca="1" si="455"/>
        <v>0</v>
      </c>
      <c r="S974" s="360">
        <f t="shared" ca="1" si="456"/>
        <v>9.637999999999975</v>
      </c>
      <c r="T974" s="357">
        <f t="shared" ca="1" si="436"/>
        <v>94.548779999999766</v>
      </c>
      <c r="U974" s="364">
        <f t="shared" ca="1" si="437"/>
        <v>0</v>
      </c>
      <c r="V974" s="359">
        <f t="shared" ca="1" si="438"/>
        <v>1.2270610521664227</v>
      </c>
      <c r="W974" s="357">
        <f t="shared" ca="1" si="439"/>
        <v>78.918876614063151</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1.5644862451017989</v>
      </c>
      <c r="AH974" s="357">
        <f t="shared" ca="1" si="463"/>
        <v>-8.1882753479179886</v>
      </c>
    </row>
    <row r="975" spans="1:34" x14ac:dyDescent="0.25">
      <c r="A975" s="402">
        <f t="shared" ca="1" si="441"/>
        <v>1E-4</v>
      </c>
      <c r="B975" s="357">
        <f t="shared" ca="1" si="442"/>
        <v>49.30280000000046</v>
      </c>
      <c r="C975" s="342"/>
      <c r="D975" s="359">
        <f t="shared" ca="1" si="443"/>
        <v>-0.8832452117511691</v>
      </c>
      <c r="E975" s="360">
        <f t="shared" ca="1" si="444"/>
        <v>-1.6694714658300622</v>
      </c>
      <c r="F975" s="357">
        <f t="shared" ca="1" si="445"/>
        <v>1.8887183695040783</v>
      </c>
      <c r="G975" s="359">
        <f t="shared" ca="1" si="446"/>
        <v>18.102663987805858</v>
      </c>
      <c r="H975" s="360">
        <f t="shared" ca="1" si="447"/>
        <v>-166.84621353180154</v>
      </c>
      <c r="I975" s="357">
        <f t="shared" ca="1" si="448"/>
        <v>167.82540157364414</v>
      </c>
      <c r="J975" s="359">
        <f t="shared" ca="1" si="449"/>
        <v>1781.6275394582099</v>
      </c>
      <c r="K975" s="360">
        <f t="shared" ca="1" si="450"/>
        <v>-16.827458264841102</v>
      </c>
      <c r="L975" s="357">
        <f t="shared" ca="1" si="435"/>
        <v>1781.7070052922759</v>
      </c>
      <c r="M975" s="359">
        <f t="shared" ca="1" si="451"/>
        <v>-1.4627199972213167</v>
      </c>
      <c r="N975" s="357">
        <f t="shared" ca="1" si="452"/>
        <v>-83.807682450168954</v>
      </c>
      <c r="O975" s="343"/>
      <c r="P975" s="363">
        <f t="shared" ca="1" si="453"/>
        <v>23</v>
      </c>
      <c r="Q975" s="357">
        <f t="shared" ca="1" si="454"/>
        <v>0</v>
      </c>
      <c r="R975" s="359">
        <f t="shared" ca="1" si="455"/>
        <v>0</v>
      </c>
      <c r="S975" s="360">
        <f t="shared" ca="1" si="456"/>
        <v>9.637999999999975</v>
      </c>
      <c r="T975" s="357">
        <f t="shared" ca="1" si="436"/>
        <v>94.548779999999766</v>
      </c>
      <c r="U975" s="364">
        <f t="shared" ca="1" si="437"/>
        <v>0</v>
      </c>
      <c r="V975" s="359">
        <f t="shared" ca="1" si="438"/>
        <v>1.2270630994734575</v>
      </c>
      <c r="W975" s="357">
        <f t="shared" ca="1" si="439"/>
        <v>78.919155423214804</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1.5644579840196098</v>
      </c>
      <c r="AH975" s="357">
        <f t="shared" ca="1" si="463"/>
        <v>-8.1883042762049545</v>
      </c>
    </row>
    <row r="976" spans="1:34" x14ac:dyDescent="0.25">
      <c r="A976" s="402">
        <f t="shared" ca="1" si="441"/>
        <v>1E-4</v>
      </c>
      <c r="B976" s="357">
        <f t="shared" ca="1" si="442"/>
        <v>49.302900000000463</v>
      </c>
      <c r="C976" s="342"/>
      <c r="D976" s="359">
        <f t="shared" ca="1" si="443"/>
        <v>-0.88324319934913631</v>
      </c>
      <c r="E976" s="360">
        <f t="shared" ca="1" si="444"/>
        <v>-1.6694421495982841</v>
      </c>
      <c r="F976" s="357">
        <f t="shared" ca="1" si="445"/>
        <v>1.8886915153226684</v>
      </c>
      <c r="G976" s="359">
        <f t="shared" ca="1" si="446"/>
        <v>18.102575663485922</v>
      </c>
      <c r="H976" s="360">
        <f t="shared" ca="1" si="447"/>
        <v>-166.84638047601649</v>
      </c>
      <c r="I976" s="357">
        <f t="shared" ca="1" si="448"/>
        <v>167.82555801664981</v>
      </c>
      <c r="J976" s="359">
        <f t="shared" ca="1" si="449"/>
        <v>1781.6275394582099</v>
      </c>
      <c r="K976" s="360">
        <f t="shared" ca="1" si="450"/>
        <v>-16.844142894541491</v>
      </c>
      <c r="L976" s="357">
        <f t="shared" ca="1" si="435"/>
        <v>1781.707162949559</v>
      </c>
      <c r="M976" s="359">
        <f t="shared" ca="1" si="451"/>
        <v>-1.4627206277367231</v>
      </c>
      <c r="N976" s="357">
        <f t="shared" ca="1" si="452"/>
        <v>-83.807718576040656</v>
      </c>
      <c r="O976" s="343"/>
      <c r="P976" s="363">
        <f t="shared" ca="1" si="453"/>
        <v>23</v>
      </c>
      <c r="Q976" s="357">
        <f t="shared" ca="1" si="454"/>
        <v>0</v>
      </c>
      <c r="R976" s="359">
        <f t="shared" ca="1" si="455"/>
        <v>0</v>
      </c>
      <c r="S976" s="360">
        <f t="shared" ca="1" si="456"/>
        <v>9.637999999999975</v>
      </c>
      <c r="T976" s="357">
        <f t="shared" ca="1" si="436"/>
        <v>94.548779999999766</v>
      </c>
      <c r="U976" s="364">
        <f t="shared" ca="1" si="437"/>
        <v>0</v>
      </c>
      <c r="V976" s="359">
        <f t="shared" ca="1" si="438"/>
        <v>1.2270651467859595</v>
      </c>
      <c r="W976" s="357">
        <f t="shared" ca="1" si="439"/>
        <v>78.919434230688296</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1.5644297231031636</v>
      </c>
      <c r="AH976" s="357">
        <f t="shared" ca="1" si="463"/>
        <v>-8.1883332043178054</v>
      </c>
    </row>
    <row r="977" spans="1:34" x14ac:dyDescent="0.25">
      <c r="A977" s="402">
        <f t="shared" ca="1" si="441"/>
        <v>1E-4</v>
      </c>
      <c r="B977" s="357">
        <f t="shared" ca="1" si="442"/>
        <v>49.303000000000466</v>
      </c>
      <c r="C977" s="342"/>
      <c r="D977" s="359">
        <f t="shared" ca="1" si="443"/>
        <v>-0.88324118692631548</v>
      </c>
      <c r="E977" s="360">
        <f t="shared" ca="1" si="444"/>
        <v>-1.669412833542669</v>
      </c>
      <c r="F977" s="357">
        <f t="shared" ca="1" si="445"/>
        <v>1.8886646613626172</v>
      </c>
      <c r="G977" s="359">
        <f t="shared" ca="1" si="446"/>
        <v>18.102487339367229</v>
      </c>
      <c r="H977" s="360">
        <f t="shared" ca="1" si="447"/>
        <v>-166.84654741729986</v>
      </c>
      <c r="I977" s="357">
        <f t="shared" ca="1" si="448"/>
        <v>167.82571445682942</v>
      </c>
      <c r="J977" s="359">
        <f t="shared" ca="1" si="449"/>
        <v>1781.6275394582099</v>
      </c>
      <c r="K977" s="360">
        <f t="shared" ca="1" si="450"/>
        <v>-16.860827540936157</v>
      </c>
      <c r="L977" s="357">
        <f t="shared" ca="1" si="435"/>
        <v>1781.7073207632279</v>
      </c>
      <c r="M977" s="359">
        <f t="shared" ca="1" si="451"/>
        <v>-1.4627212582478777</v>
      </c>
      <c r="N977" s="357">
        <f t="shared" ca="1" si="452"/>
        <v>-83.807754701668742</v>
      </c>
      <c r="O977" s="343"/>
      <c r="P977" s="363">
        <f t="shared" ca="1" si="453"/>
        <v>23</v>
      </c>
      <c r="Q977" s="357">
        <f t="shared" ca="1" si="454"/>
        <v>0</v>
      </c>
      <c r="R977" s="359">
        <f t="shared" ca="1" si="455"/>
        <v>0</v>
      </c>
      <c r="S977" s="360">
        <f t="shared" ca="1" si="456"/>
        <v>9.637999999999975</v>
      </c>
      <c r="T977" s="357">
        <f t="shared" ca="1" si="436"/>
        <v>94.548779999999766</v>
      </c>
      <c r="U977" s="364">
        <f t="shared" ca="1" si="437"/>
        <v>0</v>
      </c>
      <c r="V977" s="359">
        <f t="shared" ca="1" si="438"/>
        <v>1.2270671941039286</v>
      </c>
      <c r="W977" s="357">
        <f t="shared" ca="1" si="439"/>
        <v>78.919713036483643</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1.5644014623524587</v>
      </c>
      <c r="AH977" s="357">
        <f t="shared" ca="1" si="463"/>
        <v>-8.1883621322565361</v>
      </c>
    </row>
    <row r="978" spans="1:34" x14ac:dyDescent="0.25">
      <c r="A978" s="402">
        <f t="shared" ca="1" si="441"/>
        <v>1E-4</v>
      </c>
      <c r="B978" s="357">
        <f t="shared" ca="1" si="442"/>
        <v>49.30310000000047</v>
      </c>
      <c r="C978" s="342"/>
      <c r="D978" s="359">
        <f t="shared" ca="1" si="443"/>
        <v>-0.88323917448270783</v>
      </c>
      <c r="E978" s="360">
        <f t="shared" ca="1" si="444"/>
        <v>-1.6693835176632117</v>
      </c>
      <c r="F978" s="357">
        <f t="shared" ca="1" si="445"/>
        <v>1.8886378076239219</v>
      </c>
      <c r="G978" s="359">
        <f t="shared" ca="1" si="446"/>
        <v>18.10239901544978</v>
      </c>
      <c r="H978" s="360">
        <f t="shared" ca="1" si="447"/>
        <v>-166.84671435565161</v>
      </c>
      <c r="I978" s="357">
        <f t="shared" ca="1" si="448"/>
        <v>167.82587089418294</v>
      </c>
      <c r="J978" s="359">
        <f t="shared" ca="1" si="449"/>
        <v>1781.6275394582099</v>
      </c>
      <c r="K978" s="360">
        <f t="shared" ca="1" si="450"/>
        <v>-16.877512204024804</v>
      </c>
      <c r="L978" s="357">
        <f t="shared" ca="1" si="435"/>
        <v>1781.7074787332829</v>
      </c>
      <c r="M978" s="359">
        <f t="shared" ca="1" si="451"/>
        <v>-1.4627218887547804</v>
      </c>
      <c r="N978" s="357">
        <f t="shared" ca="1" si="452"/>
        <v>-83.807790827053225</v>
      </c>
      <c r="O978" s="343"/>
      <c r="P978" s="363">
        <f t="shared" ca="1" si="453"/>
        <v>23</v>
      </c>
      <c r="Q978" s="357">
        <f t="shared" ca="1" si="454"/>
        <v>0</v>
      </c>
      <c r="R978" s="359">
        <f t="shared" ca="1" si="455"/>
        <v>0</v>
      </c>
      <c r="S978" s="360">
        <f t="shared" ca="1" si="456"/>
        <v>9.637999999999975</v>
      </c>
      <c r="T978" s="357">
        <f t="shared" ca="1" si="436"/>
        <v>94.548779999999766</v>
      </c>
      <c r="U978" s="364">
        <f t="shared" ca="1" si="437"/>
        <v>0</v>
      </c>
      <c r="V978" s="359">
        <f t="shared" ca="1" si="438"/>
        <v>1.2270692414273652</v>
      </c>
      <c r="W978" s="357">
        <f t="shared" ca="1" si="439"/>
        <v>78.919991840600829</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1.5643732017674932</v>
      </c>
      <c r="AH978" s="357">
        <f t="shared" ca="1" si="463"/>
        <v>-8.18839106002115</v>
      </c>
    </row>
    <row r="979" spans="1:34" x14ac:dyDescent="0.25">
      <c r="A979" s="402">
        <f t="shared" ca="1" si="441"/>
        <v>1E-4</v>
      </c>
      <c r="B979" s="357">
        <f t="shared" ca="1" si="442"/>
        <v>49.303200000000473</v>
      </c>
      <c r="C979" s="342"/>
      <c r="D979" s="359">
        <f t="shared" ca="1" si="443"/>
        <v>-0.8832371620183157</v>
      </c>
      <c r="E979" s="360">
        <f t="shared" ca="1" si="444"/>
        <v>-1.6693542019599139</v>
      </c>
      <c r="F979" s="357">
        <f t="shared" ca="1" si="445"/>
        <v>1.8886109541065861</v>
      </c>
      <c r="G979" s="359">
        <f t="shared" ca="1" si="446"/>
        <v>18.102310691733578</v>
      </c>
      <c r="H979" s="360">
        <f t="shared" ca="1" si="447"/>
        <v>-166.84688129107181</v>
      </c>
      <c r="I979" s="357">
        <f t="shared" ca="1" si="448"/>
        <v>167.82602732871044</v>
      </c>
      <c r="J979" s="359">
        <f t="shared" ca="1" si="449"/>
        <v>1781.6275394582099</v>
      </c>
      <c r="K979" s="360">
        <f t="shared" ca="1" si="450"/>
        <v>-16.89419688380714</v>
      </c>
      <c r="L979" s="357">
        <f t="shared" ca="1" si="435"/>
        <v>1781.7076368597245</v>
      </c>
      <c r="M979" s="359">
        <f t="shared" ca="1" si="451"/>
        <v>-1.4627225192574314</v>
      </c>
      <c r="N979" s="357">
        <f t="shared" ca="1" si="452"/>
        <v>-83.807826952194105</v>
      </c>
      <c r="O979" s="343"/>
      <c r="P979" s="363">
        <f t="shared" ca="1" si="453"/>
        <v>23</v>
      </c>
      <c r="Q979" s="357">
        <f t="shared" ca="1" si="454"/>
        <v>0</v>
      </c>
      <c r="R979" s="359">
        <f t="shared" ca="1" si="455"/>
        <v>0</v>
      </c>
      <c r="S979" s="360">
        <f t="shared" ca="1" si="456"/>
        <v>9.637999999999975</v>
      </c>
      <c r="T979" s="357">
        <f t="shared" ca="1" si="436"/>
        <v>94.548779999999766</v>
      </c>
      <c r="U979" s="364">
        <f t="shared" ca="1" si="437"/>
        <v>0</v>
      </c>
      <c r="V979" s="359">
        <f t="shared" ca="1" si="438"/>
        <v>1.2270712887562691</v>
      </c>
      <c r="W979" s="357">
        <f t="shared" ca="1" si="439"/>
        <v>78.920270643039871</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1.5643449413482742</v>
      </c>
      <c r="AH979" s="357">
        <f t="shared" ca="1" si="463"/>
        <v>-8.1884199876116455</v>
      </c>
    </row>
    <row r="980" spans="1:34" x14ac:dyDescent="0.25">
      <c r="A980" s="402">
        <f t="shared" ca="1" si="441"/>
        <v>1E-4</v>
      </c>
      <c r="B980" s="357">
        <f t="shared" ca="1" si="442"/>
        <v>49.303300000000476</v>
      </c>
      <c r="C980" s="342"/>
      <c r="D980" s="359">
        <f t="shared" ca="1" si="443"/>
        <v>-0.88323514953313786</v>
      </c>
      <c r="E980" s="360">
        <f t="shared" ca="1" si="444"/>
        <v>-1.6693248864327739</v>
      </c>
      <c r="F980" s="357">
        <f t="shared" ca="1" si="445"/>
        <v>1.8885841008106095</v>
      </c>
      <c r="G980" s="359">
        <f t="shared" ca="1" si="446"/>
        <v>18.102222368218627</v>
      </c>
      <c r="H980" s="360">
        <f t="shared" ca="1" si="447"/>
        <v>-166.84704822356045</v>
      </c>
      <c r="I980" s="357">
        <f t="shared" ca="1" si="448"/>
        <v>167.82618376041188</v>
      </c>
      <c r="J980" s="359">
        <f t="shared" ca="1" si="449"/>
        <v>1781.6275394582099</v>
      </c>
      <c r="K980" s="360">
        <f t="shared" ca="1" si="450"/>
        <v>-16.910881580282872</v>
      </c>
      <c r="L980" s="357">
        <f t="shared" ca="1" si="435"/>
        <v>1781.7077951425529</v>
      </c>
      <c r="M980" s="359">
        <f t="shared" ca="1" si="451"/>
        <v>-1.4627231497558306</v>
      </c>
      <c r="N980" s="357">
        <f t="shared" ca="1" si="452"/>
        <v>-83.807863077091369</v>
      </c>
      <c r="O980" s="343"/>
      <c r="P980" s="363">
        <f t="shared" ca="1" si="453"/>
        <v>23</v>
      </c>
      <c r="Q980" s="357">
        <f t="shared" ca="1" si="454"/>
        <v>0</v>
      </c>
      <c r="R980" s="359">
        <f t="shared" ca="1" si="455"/>
        <v>0</v>
      </c>
      <c r="S980" s="360">
        <f t="shared" ca="1" si="456"/>
        <v>9.637999999999975</v>
      </c>
      <c r="T980" s="357">
        <f t="shared" ca="1" si="436"/>
        <v>94.548779999999766</v>
      </c>
      <c r="U980" s="364">
        <f t="shared" ca="1" si="437"/>
        <v>0</v>
      </c>
      <c r="V980" s="359">
        <f t="shared" ca="1" si="438"/>
        <v>1.2270733360906401</v>
      </c>
      <c r="W980" s="357">
        <f t="shared" ca="1" si="439"/>
        <v>78.920549443800709</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1.5643166810947928</v>
      </c>
      <c r="AH980" s="357">
        <f t="shared" ca="1" si="463"/>
        <v>-8.1884489150280224</v>
      </c>
    </row>
    <row r="981" spans="1:34" x14ac:dyDescent="0.25">
      <c r="A981" s="402">
        <f t="shared" ca="1" si="441"/>
        <v>1E-4</v>
      </c>
      <c r="B981" s="357">
        <f t="shared" ca="1" si="442"/>
        <v>49.30340000000048</v>
      </c>
      <c r="C981" s="342"/>
      <c r="D981" s="359">
        <f t="shared" ca="1" si="443"/>
        <v>-0.88323313702717443</v>
      </c>
      <c r="E981" s="360">
        <f t="shared" ca="1" si="444"/>
        <v>-1.6692955710818005</v>
      </c>
      <c r="F981" s="357">
        <f t="shared" ca="1" si="445"/>
        <v>1.8885572477360006</v>
      </c>
      <c r="G981" s="359">
        <f t="shared" ca="1" si="446"/>
        <v>18.102134044904926</v>
      </c>
      <c r="H981" s="360">
        <f t="shared" ca="1" si="447"/>
        <v>-166.84721515311756</v>
      </c>
      <c r="I981" s="357">
        <f t="shared" ca="1" si="448"/>
        <v>167.82634018928735</v>
      </c>
      <c r="J981" s="359">
        <f t="shared" ca="1" si="449"/>
        <v>1781.6275394582099</v>
      </c>
      <c r="K981" s="360">
        <f t="shared" ca="1" si="450"/>
        <v>-16.927566293451704</v>
      </c>
      <c r="L981" s="357">
        <f t="shared" ca="1" si="435"/>
        <v>1781.7079535817688</v>
      </c>
      <c r="M981" s="359">
        <f t="shared" ca="1" si="451"/>
        <v>-1.4627237802499784</v>
      </c>
      <c r="N981" s="357">
        <f t="shared" ca="1" si="452"/>
        <v>-83.807899201745045</v>
      </c>
      <c r="O981" s="343"/>
      <c r="P981" s="363">
        <f t="shared" ca="1" si="453"/>
        <v>23</v>
      </c>
      <c r="Q981" s="357">
        <f t="shared" ca="1" si="454"/>
        <v>0</v>
      </c>
      <c r="R981" s="359">
        <f t="shared" ca="1" si="455"/>
        <v>0</v>
      </c>
      <c r="S981" s="360">
        <f t="shared" ca="1" si="456"/>
        <v>9.637999999999975</v>
      </c>
      <c r="T981" s="357">
        <f t="shared" ca="1" si="436"/>
        <v>94.548779999999766</v>
      </c>
      <c r="U981" s="364">
        <f t="shared" ca="1" si="437"/>
        <v>0</v>
      </c>
      <c r="V981" s="359">
        <f t="shared" ca="1" si="438"/>
        <v>1.2270753834304782</v>
      </c>
      <c r="W981" s="357">
        <f t="shared" ca="1" si="439"/>
        <v>78.920828242883402</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1.5642884210070633</v>
      </c>
      <c r="AH981" s="357">
        <f t="shared" ca="1" si="463"/>
        <v>-8.1884778422702755</v>
      </c>
    </row>
    <row r="982" spans="1:34" x14ac:dyDescent="0.25">
      <c r="A982" s="402">
        <f t="shared" ca="1" si="441"/>
        <v>1E-4</v>
      </c>
      <c r="B982" s="357">
        <f t="shared" ca="1" si="442"/>
        <v>49.303500000000483</v>
      </c>
      <c r="C982" s="342"/>
      <c r="D982" s="359">
        <f t="shared" ca="1" si="443"/>
        <v>-0.88323112450042529</v>
      </c>
      <c r="E982" s="360">
        <f t="shared" ca="1" si="444"/>
        <v>-1.6692662559069831</v>
      </c>
      <c r="F982" s="357">
        <f t="shared" ca="1" si="445"/>
        <v>1.8885303948827519</v>
      </c>
      <c r="G982" s="359">
        <f t="shared" ca="1" si="446"/>
        <v>18.102045721792475</v>
      </c>
      <c r="H982" s="360">
        <f t="shared" ca="1" si="447"/>
        <v>-166.84738207974314</v>
      </c>
      <c r="I982" s="357">
        <f t="shared" ca="1" si="448"/>
        <v>167.82649661533682</v>
      </c>
      <c r="J982" s="359">
        <f t="shared" ca="1" si="449"/>
        <v>1781.6275394582099</v>
      </c>
      <c r="K982" s="360">
        <f t="shared" ca="1" si="450"/>
        <v>-16.944251023313349</v>
      </c>
      <c r="L982" s="357">
        <f t="shared" ca="1" si="435"/>
        <v>1781.7081121773724</v>
      </c>
      <c r="M982" s="359">
        <f t="shared" ca="1" si="451"/>
        <v>-1.4627244107398745</v>
      </c>
      <c r="N982" s="357">
        <f t="shared" ca="1" si="452"/>
        <v>-83.807935326155118</v>
      </c>
      <c r="O982" s="343"/>
      <c r="P982" s="363">
        <f t="shared" ca="1" si="453"/>
        <v>23</v>
      </c>
      <c r="Q982" s="357">
        <f t="shared" ca="1" si="454"/>
        <v>0</v>
      </c>
      <c r="R982" s="359">
        <f t="shared" ca="1" si="455"/>
        <v>0</v>
      </c>
      <c r="S982" s="360">
        <f t="shared" ca="1" si="456"/>
        <v>9.637999999999975</v>
      </c>
      <c r="T982" s="357">
        <f t="shared" ca="1" si="436"/>
        <v>94.548779999999766</v>
      </c>
      <c r="U982" s="364">
        <f t="shared" ca="1" si="437"/>
        <v>0</v>
      </c>
      <c r="V982" s="359">
        <f t="shared" ca="1" si="438"/>
        <v>1.2270774307757832</v>
      </c>
      <c r="W982" s="357">
        <f t="shared" ca="1" si="439"/>
        <v>78.921107040287907</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1.5642601610850715</v>
      </c>
      <c r="AH982" s="357">
        <f t="shared" ca="1" si="463"/>
        <v>-8.1885067693384119</v>
      </c>
    </row>
    <row r="983" spans="1:34" x14ac:dyDescent="0.25">
      <c r="A983" s="402">
        <f t="shared" ca="1" si="441"/>
        <v>1E-4</v>
      </c>
      <c r="B983" s="357">
        <f t="shared" ca="1" si="442"/>
        <v>49.303600000000486</v>
      </c>
      <c r="C983" s="342"/>
      <c r="D983" s="359">
        <f t="shared" ca="1" si="443"/>
        <v>-0.88322911195289211</v>
      </c>
      <c r="E983" s="360">
        <f t="shared" ca="1" si="444"/>
        <v>-1.6692369409083323</v>
      </c>
      <c r="F983" s="357">
        <f t="shared" ca="1" si="445"/>
        <v>1.8885035422508747</v>
      </c>
      <c r="G983" s="359">
        <f t="shared" ca="1" si="446"/>
        <v>18.101957398881279</v>
      </c>
      <c r="H983" s="360">
        <f t="shared" ca="1" si="447"/>
        <v>-166.84754900343722</v>
      </c>
      <c r="I983" s="357">
        <f t="shared" ca="1" si="448"/>
        <v>167.82665303856029</v>
      </c>
      <c r="J983" s="359">
        <f t="shared" ca="1" si="449"/>
        <v>1781.6275394582099</v>
      </c>
      <c r="K983" s="360">
        <f t="shared" ca="1" si="450"/>
        <v>-16.960935769867508</v>
      </c>
      <c r="L983" s="357">
        <f t="shared" ca="1" si="435"/>
        <v>1781.7082709293643</v>
      </c>
      <c r="M983" s="359">
        <f t="shared" ca="1" si="451"/>
        <v>-1.4627250412255188</v>
      </c>
      <c r="N983" s="357">
        <f t="shared" ca="1" si="452"/>
        <v>-83.807971450321574</v>
      </c>
      <c r="O983" s="343"/>
      <c r="P983" s="363">
        <f t="shared" ca="1" si="453"/>
        <v>23</v>
      </c>
      <c r="Q983" s="357">
        <f t="shared" ca="1" si="454"/>
        <v>0</v>
      </c>
      <c r="R983" s="359">
        <f t="shared" ca="1" si="455"/>
        <v>0</v>
      </c>
      <c r="S983" s="360">
        <f t="shared" ca="1" si="456"/>
        <v>9.637999999999975</v>
      </c>
      <c r="T983" s="357">
        <f t="shared" ca="1" si="436"/>
        <v>94.548779999999766</v>
      </c>
      <c r="U983" s="364">
        <f t="shared" ca="1" si="437"/>
        <v>0</v>
      </c>
      <c r="V983" s="359">
        <f t="shared" ca="1" si="438"/>
        <v>1.2270794781265559</v>
      </c>
      <c r="W983" s="357">
        <f t="shared" ca="1" si="439"/>
        <v>78.921385836014252</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1.5642319013288297</v>
      </c>
      <c r="AH983" s="357">
        <f t="shared" ca="1" si="463"/>
        <v>-8.1885356962324245</v>
      </c>
    </row>
    <row r="984" spans="1:34" x14ac:dyDescent="0.25">
      <c r="A984" s="402">
        <f t="shared" ca="1" si="441"/>
        <v>1E-4</v>
      </c>
      <c r="B984" s="357">
        <f t="shared" ca="1" si="442"/>
        <v>49.303700000000489</v>
      </c>
      <c r="C984" s="342"/>
      <c r="D984" s="359">
        <f t="shared" ca="1" si="443"/>
        <v>-0.88322709938457611</v>
      </c>
      <c r="E984" s="360">
        <f t="shared" ca="1" si="444"/>
        <v>-1.6692076260858375</v>
      </c>
      <c r="F984" s="357">
        <f t="shared" ca="1" si="445"/>
        <v>1.8884766898403615</v>
      </c>
      <c r="G984" s="359">
        <f t="shared" ca="1" si="446"/>
        <v>18.10186907617134</v>
      </c>
      <c r="H984" s="360">
        <f t="shared" ca="1" si="447"/>
        <v>-166.84771592419983</v>
      </c>
      <c r="I984" s="357">
        <f t="shared" ca="1" si="448"/>
        <v>167.82680945895783</v>
      </c>
      <c r="J984" s="359">
        <f t="shared" ca="1" si="449"/>
        <v>1781.6275394582099</v>
      </c>
      <c r="K984" s="360">
        <f t="shared" ca="1" si="450"/>
        <v>-16.977620533113889</v>
      </c>
      <c r="L984" s="357">
        <f t="shared" ca="1" si="435"/>
        <v>1781.7084298377445</v>
      </c>
      <c r="M984" s="359">
        <f t="shared" ca="1" si="451"/>
        <v>-1.4627256717069119</v>
      </c>
      <c r="N984" s="357">
        <f t="shared" ca="1" si="452"/>
        <v>-83.808007574244471</v>
      </c>
      <c r="O984" s="343"/>
      <c r="P984" s="363">
        <f t="shared" ca="1" si="453"/>
        <v>23</v>
      </c>
      <c r="Q984" s="357">
        <f t="shared" ca="1" si="454"/>
        <v>0</v>
      </c>
      <c r="R984" s="359">
        <f t="shared" ca="1" si="455"/>
        <v>0</v>
      </c>
      <c r="S984" s="360">
        <f t="shared" ca="1" si="456"/>
        <v>9.637999999999975</v>
      </c>
      <c r="T984" s="357">
        <f t="shared" ca="1" si="436"/>
        <v>94.548779999999766</v>
      </c>
      <c r="U984" s="364">
        <f t="shared" ca="1" si="437"/>
        <v>0</v>
      </c>
      <c r="V984" s="359">
        <f t="shared" ca="1" si="438"/>
        <v>1.2270815254827956</v>
      </c>
      <c r="W984" s="357">
        <f t="shared" ca="1" si="439"/>
        <v>78.921664630062423</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1.5642036417383292</v>
      </c>
      <c r="AH984" s="357">
        <f t="shared" ca="1" si="463"/>
        <v>-8.1885646229523203</v>
      </c>
    </row>
    <row r="985" spans="1:34" x14ac:dyDescent="0.25">
      <c r="A985" s="402">
        <f t="shared" ca="1" si="441"/>
        <v>1E-4</v>
      </c>
      <c r="B985" s="357">
        <f t="shared" ca="1" si="442"/>
        <v>49.303800000000493</v>
      </c>
      <c r="C985" s="342"/>
      <c r="D985" s="359">
        <f t="shared" ca="1" si="443"/>
        <v>-0.88322508679547407</v>
      </c>
      <c r="E985" s="360">
        <f t="shared" ca="1" si="444"/>
        <v>-1.6691783114395076</v>
      </c>
      <c r="F985" s="357">
        <f t="shared" ca="1" si="445"/>
        <v>1.8884498376512198</v>
      </c>
      <c r="G985" s="359">
        <f t="shared" ca="1" si="446"/>
        <v>18.101780753662659</v>
      </c>
      <c r="H985" s="360">
        <f t="shared" ca="1" si="447"/>
        <v>-166.84788284203097</v>
      </c>
      <c r="I985" s="357">
        <f t="shared" ca="1" si="448"/>
        <v>167.82696587652941</v>
      </c>
      <c r="J985" s="359">
        <f t="shared" ca="1" si="449"/>
        <v>1781.6275394582099</v>
      </c>
      <c r="K985" s="360">
        <f t="shared" ca="1" si="450"/>
        <v>-16.994305313052202</v>
      </c>
      <c r="L985" s="357">
        <f t="shared" ca="1" si="435"/>
        <v>1781.7085889025141</v>
      </c>
      <c r="M985" s="359">
        <f t="shared" ca="1" si="451"/>
        <v>-1.4627263021840533</v>
      </c>
      <c r="N985" s="357">
        <f t="shared" ca="1" si="452"/>
        <v>-83.80804369792375</v>
      </c>
      <c r="O985" s="343"/>
      <c r="P985" s="363">
        <f t="shared" ca="1" si="453"/>
        <v>23</v>
      </c>
      <c r="Q985" s="357">
        <f t="shared" ca="1" si="454"/>
        <v>0</v>
      </c>
      <c r="R985" s="359">
        <f t="shared" ca="1" si="455"/>
        <v>0</v>
      </c>
      <c r="S985" s="360">
        <f t="shared" ca="1" si="456"/>
        <v>9.637999999999975</v>
      </c>
      <c r="T985" s="357">
        <f t="shared" ca="1" si="436"/>
        <v>94.548779999999766</v>
      </c>
      <c r="U985" s="364">
        <f t="shared" ca="1" si="437"/>
        <v>0</v>
      </c>
      <c r="V985" s="359">
        <f t="shared" ca="1" si="438"/>
        <v>1.227083572844502</v>
      </c>
      <c r="W985" s="357">
        <f t="shared" ca="1" si="439"/>
        <v>78.921943422432392</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1.5641753823135751</v>
      </c>
      <c r="AH985" s="357">
        <f t="shared" ca="1" si="463"/>
        <v>-8.1885935494980941</v>
      </c>
    </row>
    <row r="986" spans="1:34" x14ac:dyDescent="0.25">
      <c r="A986" s="402">
        <f t="shared" ca="1" si="441"/>
        <v>1E-4</v>
      </c>
      <c r="B986" s="357">
        <f t="shared" ca="1" si="442"/>
        <v>49.303900000000496</v>
      </c>
      <c r="C986" s="342"/>
      <c r="D986" s="359">
        <f t="shared" ca="1" si="443"/>
        <v>-0.8832230741855901</v>
      </c>
      <c r="E986" s="360">
        <f t="shared" ca="1" si="444"/>
        <v>-1.6691489969693407</v>
      </c>
      <c r="F986" s="357">
        <f t="shared" ca="1" si="445"/>
        <v>1.8884229856834513</v>
      </c>
      <c r="G986" s="359">
        <f t="shared" ca="1" si="446"/>
        <v>18.101692431355239</v>
      </c>
      <c r="H986" s="360">
        <f t="shared" ca="1" si="447"/>
        <v>-166.84804975693066</v>
      </c>
      <c r="I986" s="357">
        <f t="shared" ca="1" si="448"/>
        <v>167.82712229127506</v>
      </c>
      <c r="J986" s="359">
        <f t="shared" ca="1" si="449"/>
        <v>1781.6275394582099</v>
      </c>
      <c r="K986" s="360">
        <f t="shared" ca="1" si="450"/>
        <v>-17.010990109682151</v>
      </c>
      <c r="L986" s="357">
        <f t="shared" ca="1" si="435"/>
        <v>1781.7087481236731</v>
      </c>
      <c r="M986" s="359">
        <f t="shared" ca="1" si="451"/>
        <v>-1.4627269326569434</v>
      </c>
      <c r="N986" s="357">
        <f t="shared" ca="1" si="452"/>
        <v>-83.808079821359442</v>
      </c>
      <c r="O986" s="343"/>
      <c r="P986" s="363">
        <f t="shared" ca="1" si="453"/>
        <v>23</v>
      </c>
      <c r="Q986" s="357">
        <f t="shared" ca="1" si="454"/>
        <v>0</v>
      </c>
      <c r="R986" s="359">
        <f t="shared" ca="1" si="455"/>
        <v>0</v>
      </c>
      <c r="S986" s="360">
        <f t="shared" ca="1" si="456"/>
        <v>9.637999999999975</v>
      </c>
      <c r="T986" s="357">
        <f t="shared" ca="1" si="436"/>
        <v>94.548779999999766</v>
      </c>
      <c r="U986" s="364">
        <f t="shared" ca="1" si="437"/>
        <v>0</v>
      </c>
      <c r="V986" s="359">
        <f t="shared" ca="1" si="438"/>
        <v>1.227085620211676</v>
      </c>
      <c r="W986" s="357">
        <f t="shared" ca="1" si="439"/>
        <v>78.922222213124186</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1.5641471230545694</v>
      </c>
      <c r="AH986" s="357">
        <f t="shared" ca="1" si="463"/>
        <v>-8.1886224758697441</v>
      </c>
    </row>
    <row r="987" spans="1:34" x14ac:dyDescent="0.25">
      <c r="A987" s="402">
        <f t="shared" ca="1" si="441"/>
        <v>1E-4</v>
      </c>
      <c r="B987" s="357">
        <f t="shared" ca="1" si="442"/>
        <v>49.304000000000499</v>
      </c>
      <c r="C987" s="342"/>
      <c r="D987" s="359">
        <f t="shared" ca="1" si="443"/>
        <v>-0.88322106155492142</v>
      </c>
      <c r="E987" s="360">
        <f t="shared" ca="1" si="444"/>
        <v>-1.6691196826753369</v>
      </c>
      <c r="F987" s="357">
        <f t="shared" ca="1" si="445"/>
        <v>1.8883961339370561</v>
      </c>
      <c r="G987" s="359">
        <f t="shared" ca="1" si="446"/>
        <v>18.101604109249084</v>
      </c>
      <c r="H987" s="360">
        <f t="shared" ca="1" si="447"/>
        <v>-166.84821666889894</v>
      </c>
      <c r="I987" s="357">
        <f t="shared" ca="1" si="448"/>
        <v>167.82727870319482</v>
      </c>
      <c r="J987" s="359">
        <f t="shared" ca="1" si="449"/>
        <v>1781.6275394582099</v>
      </c>
      <c r="K987" s="360">
        <f t="shared" ca="1" si="450"/>
        <v>-17.027674923003442</v>
      </c>
      <c r="L987" s="357">
        <f t="shared" ca="1" si="435"/>
        <v>1781.708907501222</v>
      </c>
      <c r="M987" s="359">
        <f t="shared" ca="1" si="451"/>
        <v>-1.4627275631255821</v>
      </c>
      <c r="N987" s="357">
        <f t="shared" ca="1" si="452"/>
        <v>-83.80811594455156</v>
      </c>
      <c r="O987" s="343"/>
      <c r="P987" s="363">
        <f t="shared" ca="1" si="453"/>
        <v>23</v>
      </c>
      <c r="Q987" s="357">
        <f t="shared" ca="1" si="454"/>
        <v>0</v>
      </c>
      <c r="R987" s="359">
        <f t="shared" ca="1" si="455"/>
        <v>0</v>
      </c>
      <c r="S987" s="360">
        <f t="shared" ca="1" si="456"/>
        <v>9.637999999999975</v>
      </c>
      <c r="T987" s="357">
        <f t="shared" ca="1" si="436"/>
        <v>94.548779999999766</v>
      </c>
      <c r="U987" s="364">
        <f t="shared" ca="1" si="437"/>
        <v>0</v>
      </c>
      <c r="V987" s="359">
        <f t="shared" ca="1" si="438"/>
        <v>1.2270876675843168</v>
      </c>
      <c r="W987" s="357">
        <f t="shared" ca="1" si="439"/>
        <v>78.922501002137778</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1.5641188639613066</v>
      </c>
      <c r="AH987" s="357">
        <f t="shared" ca="1" si="463"/>
        <v>-8.1886514020672738</v>
      </c>
    </row>
    <row r="988" spans="1:34" x14ac:dyDescent="0.25">
      <c r="A988" s="402">
        <f t="shared" ca="1" si="441"/>
        <v>1E-4</v>
      </c>
      <c r="B988" s="357">
        <f t="shared" ca="1" si="442"/>
        <v>49.304100000000503</v>
      </c>
      <c r="C988" s="342"/>
      <c r="D988" s="359">
        <f t="shared" ca="1" si="443"/>
        <v>-0.88321904890347058</v>
      </c>
      <c r="E988" s="360">
        <f t="shared" ca="1" si="444"/>
        <v>-1.6690903685574945</v>
      </c>
      <c r="F988" s="357">
        <f t="shared" ca="1" si="445"/>
        <v>1.8883692824120351</v>
      </c>
      <c r="G988" s="359">
        <f t="shared" ca="1" si="446"/>
        <v>18.101515787344194</v>
      </c>
      <c r="H988" s="360">
        <f t="shared" ca="1" si="447"/>
        <v>-166.84838357793581</v>
      </c>
      <c r="I988" s="357">
        <f t="shared" ca="1" si="448"/>
        <v>167.8274351122887</v>
      </c>
      <c r="J988" s="359">
        <f t="shared" ca="1" si="449"/>
        <v>1781.6275394582099</v>
      </c>
      <c r="K988" s="360">
        <f t="shared" ca="1" si="450"/>
        <v>-17.044359753015783</v>
      </c>
      <c r="L988" s="357">
        <f t="shared" ca="1" si="435"/>
        <v>1781.7090670351615</v>
      </c>
      <c r="M988" s="359">
        <f t="shared" ca="1" si="451"/>
        <v>-1.4627281935899694</v>
      </c>
      <c r="N988" s="357">
        <f t="shared" ca="1" si="452"/>
        <v>-83.808152067500089</v>
      </c>
      <c r="O988" s="343"/>
      <c r="P988" s="363">
        <f t="shared" ca="1" si="453"/>
        <v>23</v>
      </c>
      <c r="Q988" s="357">
        <f t="shared" ca="1" si="454"/>
        <v>0</v>
      </c>
      <c r="R988" s="359">
        <f t="shared" ca="1" si="455"/>
        <v>0</v>
      </c>
      <c r="S988" s="360">
        <f t="shared" ca="1" si="456"/>
        <v>9.637999999999975</v>
      </c>
      <c r="T988" s="357">
        <f t="shared" ca="1" si="436"/>
        <v>94.548779999999766</v>
      </c>
      <c r="U988" s="364">
        <f t="shared" ca="1" si="437"/>
        <v>0</v>
      </c>
      <c r="V988" s="359">
        <f t="shared" ca="1" si="438"/>
        <v>1.2270897149624247</v>
      </c>
      <c r="W988" s="357">
        <f t="shared" ca="1" si="439"/>
        <v>78.922779789473225</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1.5640906050337939</v>
      </c>
      <c r="AH988" s="357">
        <f t="shared" ca="1" si="463"/>
        <v>-8.1886803280906815</v>
      </c>
    </row>
    <row r="989" spans="1:34" x14ac:dyDescent="0.25">
      <c r="A989" s="402">
        <f t="shared" ca="1" si="441"/>
        <v>1E-4</v>
      </c>
      <c r="B989" s="357">
        <f t="shared" ca="1" si="442"/>
        <v>49.304200000000506</v>
      </c>
      <c r="C989" s="342"/>
      <c r="D989" s="359">
        <f t="shared" ca="1" si="443"/>
        <v>-0.88321703623123682</v>
      </c>
      <c r="E989" s="360">
        <f t="shared" ca="1" si="444"/>
        <v>-1.6690610546158116</v>
      </c>
      <c r="F989" s="357">
        <f t="shared" ca="1" si="445"/>
        <v>1.8883424311083874</v>
      </c>
      <c r="G989" s="359">
        <f t="shared" ca="1" si="446"/>
        <v>18.101427465640572</v>
      </c>
      <c r="H989" s="360">
        <f t="shared" ca="1" si="447"/>
        <v>-166.84855048404125</v>
      </c>
      <c r="I989" s="357">
        <f t="shared" ca="1" si="448"/>
        <v>167.82759151855666</v>
      </c>
      <c r="J989" s="359">
        <f t="shared" ca="1" si="449"/>
        <v>1781.6275394582099</v>
      </c>
      <c r="K989" s="360">
        <f t="shared" ca="1" si="450"/>
        <v>-17.061044599718883</v>
      </c>
      <c r="L989" s="357">
        <f t="shared" ca="1" si="435"/>
        <v>1781.7092267254914</v>
      </c>
      <c r="M989" s="359">
        <f t="shared" ca="1" si="451"/>
        <v>-1.4627288240501053</v>
      </c>
      <c r="N989" s="357">
        <f t="shared" ca="1" si="452"/>
        <v>-83.808188190205016</v>
      </c>
      <c r="O989" s="343"/>
      <c r="P989" s="363">
        <f t="shared" ca="1" si="453"/>
        <v>23</v>
      </c>
      <c r="Q989" s="357">
        <f t="shared" ca="1" si="454"/>
        <v>0</v>
      </c>
      <c r="R989" s="359">
        <f t="shared" ca="1" si="455"/>
        <v>0</v>
      </c>
      <c r="S989" s="360">
        <f t="shared" ca="1" si="456"/>
        <v>9.637999999999975</v>
      </c>
      <c r="T989" s="357">
        <f t="shared" ca="1" si="436"/>
        <v>94.548779999999766</v>
      </c>
      <c r="U989" s="364">
        <f t="shared" ca="1" si="437"/>
        <v>0</v>
      </c>
      <c r="V989" s="359">
        <f t="shared" ca="1" si="438"/>
        <v>1.2270917623459996</v>
      </c>
      <c r="W989" s="357">
        <f t="shared" ca="1" si="439"/>
        <v>78.923058575130412</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1.5640623462720242</v>
      </c>
      <c r="AH989" s="357">
        <f t="shared" ca="1" si="463"/>
        <v>-8.1887092539399706</v>
      </c>
    </row>
    <row r="990" spans="1:34" x14ac:dyDescent="0.25">
      <c r="A990" s="402">
        <f t="shared" ca="1" si="441"/>
        <v>1E-4</v>
      </c>
      <c r="B990" s="357">
        <f t="shared" ca="1" si="442"/>
        <v>49.304300000000509</v>
      </c>
      <c r="C990" s="342"/>
      <c r="D990" s="359">
        <f t="shared" ca="1" si="443"/>
        <v>-0.88321502353822112</v>
      </c>
      <c r="E990" s="360">
        <f t="shared" ca="1" si="444"/>
        <v>-1.6690317408503024</v>
      </c>
      <c r="F990" s="357">
        <f t="shared" ca="1" si="445"/>
        <v>1.8883155800261278</v>
      </c>
      <c r="G990" s="359">
        <f t="shared" ca="1" si="446"/>
        <v>18.101339144138219</v>
      </c>
      <c r="H990" s="360">
        <f t="shared" ca="1" si="447"/>
        <v>-166.84871738721534</v>
      </c>
      <c r="I990" s="357">
        <f t="shared" ca="1" si="448"/>
        <v>167.82774792199879</v>
      </c>
      <c r="J990" s="359">
        <f t="shared" ca="1" si="449"/>
        <v>1781.6275394582099</v>
      </c>
      <c r="K990" s="360">
        <f t="shared" ca="1" si="450"/>
        <v>-17.077729463112448</v>
      </c>
      <c r="L990" s="357">
        <f t="shared" ca="1" si="435"/>
        <v>1781.7093865722127</v>
      </c>
      <c r="M990" s="359">
        <f t="shared" ca="1" si="451"/>
        <v>-1.4627294545059901</v>
      </c>
      <c r="N990" s="357">
        <f t="shared" ca="1" si="452"/>
        <v>-83.808224312666397</v>
      </c>
      <c r="O990" s="343"/>
      <c r="P990" s="363">
        <f t="shared" ca="1" si="453"/>
        <v>23</v>
      </c>
      <c r="Q990" s="357">
        <f t="shared" ca="1" si="454"/>
        <v>0</v>
      </c>
      <c r="R990" s="359">
        <f t="shared" ca="1" si="455"/>
        <v>0</v>
      </c>
      <c r="S990" s="360">
        <f t="shared" ca="1" si="456"/>
        <v>9.637999999999975</v>
      </c>
      <c r="T990" s="357">
        <f t="shared" ca="1" si="436"/>
        <v>94.548779999999766</v>
      </c>
      <c r="U990" s="364">
        <f t="shared" ca="1" si="437"/>
        <v>0</v>
      </c>
      <c r="V990" s="359">
        <f t="shared" ca="1" si="438"/>
        <v>1.2270938097350415</v>
      </c>
      <c r="W990" s="357">
        <f t="shared" ca="1" si="439"/>
        <v>78.923337359109411</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1.5640340876760099</v>
      </c>
      <c r="AH990" s="357">
        <f t="shared" ca="1" si="463"/>
        <v>-8.1887381796151288</v>
      </c>
    </row>
    <row r="991" spans="1:34" x14ac:dyDescent="0.25">
      <c r="A991" s="402">
        <f t="shared" ca="1" si="441"/>
        <v>1E-4</v>
      </c>
      <c r="B991" s="357">
        <f t="shared" ca="1" si="442"/>
        <v>49.304400000000513</v>
      </c>
      <c r="C991" s="342"/>
      <c r="D991" s="359">
        <f t="shared" ca="1" si="443"/>
        <v>-0.88321301082442216</v>
      </c>
      <c r="E991" s="360">
        <f t="shared" ca="1" si="444"/>
        <v>-1.6690024272609527</v>
      </c>
      <c r="F991" s="357">
        <f t="shared" ca="1" si="445"/>
        <v>1.8882887291652442</v>
      </c>
      <c r="G991" s="359">
        <f t="shared" ca="1" si="446"/>
        <v>18.101250822837137</v>
      </c>
      <c r="H991" s="360">
        <f t="shared" ca="1" si="447"/>
        <v>-166.84888428745808</v>
      </c>
      <c r="I991" s="357">
        <f t="shared" ca="1" si="448"/>
        <v>167.82790432261507</v>
      </c>
      <c r="J991" s="359">
        <f t="shared" ca="1" si="449"/>
        <v>1781.6275394582099</v>
      </c>
      <c r="K991" s="360">
        <f t="shared" ca="1" si="450"/>
        <v>-17.094414343196181</v>
      </c>
      <c r="L991" s="357">
        <f t="shared" ca="1" si="435"/>
        <v>1781.7095465753255</v>
      </c>
      <c r="M991" s="359">
        <f t="shared" ca="1" si="451"/>
        <v>-1.4627300849576237</v>
      </c>
      <c r="N991" s="357">
        <f t="shared" ca="1" si="452"/>
        <v>-83.808260434884176</v>
      </c>
      <c r="O991" s="343"/>
      <c r="P991" s="363">
        <f t="shared" ca="1" si="453"/>
        <v>23</v>
      </c>
      <c r="Q991" s="357">
        <f t="shared" ca="1" si="454"/>
        <v>0</v>
      </c>
      <c r="R991" s="359">
        <f t="shared" ca="1" si="455"/>
        <v>0</v>
      </c>
      <c r="S991" s="360">
        <f t="shared" ca="1" si="456"/>
        <v>9.637999999999975</v>
      </c>
      <c r="T991" s="357">
        <f t="shared" ca="1" si="436"/>
        <v>94.548779999999766</v>
      </c>
      <c r="U991" s="364">
        <f t="shared" ca="1" si="437"/>
        <v>0</v>
      </c>
      <c r="V991" s="359">
        <f t="shared" ca="1" si="438"/>
        <v>1.2270958571295503</v>
      </c>
      <c r="W991" s="357">
        <f t="shared" ca="1" si="439"/>
        <v>78.923616141410221</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1.5640058292457404</v>
      </c>
      <c r="AH991" s="357">
        <f t="shared" ca="1" si="463"/>
        <v>-8.1887671051161668</v>
      </c>
    </row>
    <row r="992" spans="1:34" x14ac:dyDescent="0.25">
      <c r="A992" s="402">
        <f t="shared" ca="1" si="441"/>
        <v>1E-4</v>
      </c>
      <c r="B992" s="357">
        <f t="shared" ca="1" si="442"/>
        <v>49.304500000000516</v>
      </c>
      <c r="C992" s="342"/>
      <c r="D992" s="359">
        <f t="shared" ca="1" si="443"/>
        <v>-0.88321099808984171</v>
      </c>
      <c r="E992" s="360">
        <f t="shared" ca="1" si="444"/>
        <v>-1.6689731138477679</v>
      </c>
      <c r="F992" s="357">
        <f t="shared" ca="1" si="445"/>
        <v>1.8882618785257435</v>
      </c>
      <c r="G992" s="359">
        <f t="shared" ca="1" si="446"/>
        <v>18.101162501737328</v>
      </c>
      <c r="H992" s="360">
        <f t="shared" ca="1" si="447"/>
        <v>-166.84905118476945</v>
      </c>
      <c r="I992" s="357">
        <f t="shared" ca="1" si="448"/>
        <v>167.82806072040552</v>
      </c>
      <c r="J992" s="359">
        <f t="shared" ca="1" si="449"/>
        <v>1781.6275394582099</v>
      </c>
      <c r="K992" s="360">
        <f t="shared" ca="1" si="450"/>
        <v>-17.111099239969793</v>
      </c>
      <c r="L992" s="357">
        <f t="shared" ca="1" si="435"/>
        <v>1781.7097067348304</v>
      </c>
      <c r="M992" s="359">
        <f t="shared" ca="1" si="451"/>
        <v>-1.462730715405006</v>
      </c>
      <c r="N992" s="357">
        <f t="shared" ca="1" si="452"/>
        <v>-83.808296556858394</v>
      </c>
      <c r="O992" s="343"/>
      <c r="P992" s="363">
        <f t="shared" ca="1" si="453"/>
        <v>23</v>
      </c>
      <c r="Q992" s="357">
        <f t="shared" ca="1" si="454"/>
        <v>0</v>
      </c>
      <c r="R992" s="359">
        <f t="shared" ca="1" si="455"/>
        <v>0</v>
      </c>
      <c r="S992" s="360">
        <f t="shared" ca="1" si="456"/>
        <v>9.637999999999975</v>
      </c>
      <c r="T992" s="357">
        <f t="shared" ca="1" si="436"/>
        <v>94.548779999999766</v>
      </c>
      <c r="U992" s="364">
        <f t="shared" ca="1" si="437"/>
        <v>0</v>
      </c>
      <c r="V992" s="359">
        <f t="shared" ca="1" si="438"/>
        <v>1.2270979045295265</v>
      </c>
      <c r="W992" s="357">
        <f t="shared" ca="1" si="439"/>
        <v>78.923894922032815</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1.5639775709812191</v>
      </c>
      <c r="AH992" s="357">
        <f t="shared" ca="1" si="463"/>
        <v>-8.1887960304430827</v>
      </c>
    </row>
    <row r="993" spans="1:34" x14ac:dyDescent="0.25">
      <c r="A993" s="402">
        <f t="shared" ca="1" si="441"/>
        <v>1E-4</v>
      </c>
      <c r="B993" s="357">
        <f t="shared" ca="1" si="442"/>
        <v>49.304600000000519</v>
      </c>
      <c r="C993" s="342"/>
      <c r="D993" s="359">
        <f t="shared" ca="1" si="443"/>
        <v>-0.88320898533448045</v>
      </c>
      <c r="E993" s="360">
        <f t="shared" ca="1" si="444"/>
        <v>-1.668943800610748</v>
      </c>
      <c r="F993" s="357">
        <f t="shared" ca="1" si="445"/>
        <v>1.888235028107627</v>
      </c>
      <c r="G993" s="359">
        <f t="shared" ca="1" si="446"/>
        <v>18.101074180838793</v>
      </c>
      <c r="H993" s="360">
        <f t="shared" ca="1" si="447"/>
        <v>-166.84921807914952</v>
      </c>
      <c r="I993" s="357">
        <f t="shared" ca="1" si="448"/>
        <v>167.82821711537017</v>
      </c>
      <c r="J993" s="359">
        <f t="shared" ca="1" si="449"/>
        <v>1781.6275394582099</v>
      </c>
      <c r="K993" s="360">
        <f t="shared" ca="1" si="450"/>
        <v>-17.127784153432987</v>
      </c>
      <c r="L993" s="357">
        <f t="shared" ca="1" si="435"/>
        <v>1781.7098670507276</v>
      </c>
      <c r="M993" s="359">
        <f t="shared" ca="1" si="451"/>
        <v>-1.4627313458481372</v>
      </c>
      <c r="N993" s="357">
        <f t="shared" ca="1" si="452"/>
        <v>-83.808332678589039</v>
      </c>
      <c r="O993" s="343"/>
      <c r="P993" s="363">
        <f t="shared" ca="1" si="453"/>
        <v>23</v>
      </c>
      <c r="Q993" s="357">
        <f t="shared" ca="1" si="454"/>
        <v>0</v>
      </c>
      <c r="R993" s="359">
        <f t="shared" ca="1" si="455"/>
        <v>0</v>
      </c>
      <c r="S993" s="360">
        <f t="shared" ca="1" si="456"/>
        <v>9.637999999999975</v>
      </c>
      <c r="T993" s="357">
        <f t="shared" ca="1" si="436"/>
        <v>94.548779999999766</v>
      </c>
      <c r="U993" s="364">
        <f t="shared" ca="1" si="437"/>
        <v>0</v>
      </c>
      <c r="V993" s="359">
        <f t="shared" ca="1" si="438"/>
        <v>1.2270999519349692</v>
      </c>
      <c r="W993" s="357">
        <f t="shared" ca="1" si="439"/>
        <v>78.924173700977207</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1.5639493128824515</v>
      </c>
      <c r="AH993" s="357">
        <f t="shared" ca="1" si="463"/>
        <v>-8.188824955595873</v>
      </c>
    </row>
    <row r="994" spans="1:34" x14ac:dyDescent="0.25">
      <c r="A994" s="402">
        <f t="shared" ca="1" si="441"/>
        <v>1E-4</v>
      </c>
      <c r="B994" s="357">
        <f t="shared" ca="1" si="442"/>
        <v>49.304700000000523</v>
      </c>
      <c r="C994" s="342"/>
      <c r="D994" s="359">
        <f t="shared" ca="1" si="443"/>
        <v>-0.88320697255833736</v>
      </c>
      <c r="E994" s="360">
        <f t="shared" ca="1" si="444"/>
        <v>-1.6689144875498929</v>
      </c>
      <c r="F994" s="357">
        <f t="shared" ca="1" si="445"/>
        <v>1.8882081779108957</v>
      </c>
      <c r="G994" s="359">
        <f t="shared" ca="1" si="446"/>
        <v>18.100985860141538</v>
      </c>
      <c r="H994" s="360">
        <f t="shared" ca="1" si="447"/>
        <v>-166.84938497059827</v>
      </c>
      <c r="I994" s="357">
        <f t="shared" ca="1" si="448"/>
        <v>167.82837350750899</v>
      </c>
      <c r="J994" s="359">
        <f t="shared" ca="1" si="449"/>
        <v>1781.6275394582099</v>
      </c>
      <c r="K994" s="360">
        <f t="shared" ca="1" si="450"/>
        <v>-17.144469083585474</v>
      </c>
      <c r="L994" s="357">
        <f t="shared" ca="1" si="435"/>
        <v>1781.7100275230177</v>
      </c>
      <c r="M994" s="359">
        <f t="shared" ca="1" si="451"/>
        <v>-1.4627319762870175</v>
      </c>
      <c r="N994" s="357">
        <f t="shared" ca="1" si="452"/>
        <v>-83.80836880007611</v>
      </c>
      <c r="O994" s="343"/>
      <c r="P994" s="363">
        <f t="shared" ca="1" si="453"/>
        <v>23</v>
      </c>
      <c r="Q994" s="357">
        <f t="shared" ca="1" si="454"/>
        <v>0</v>
      </c>
      <c r="R994" s="359">
        <f t="shared" ca="1" si="455"/>
        <v>0</v>
      </c>
      <c r="S994" s="360">
        <f t="shared" ca="1" si="456"/>
        <v>9.637999999999975</v>
      </c>
      <c r="T994" s="357">
        <f t="shared" ca="1" si="436"/>
        <v>94.548779999999766</v>
      </c>
      <c r="U994" s="364">
        <f t="shared" ca="1" si="437"/>
        <v>0</v>
      </c>
      <c r="V994" s="359">
        <f t="shared" ca="1" si="438"/>
        <v>1.2271019993458792</v>
      </c>
      <c r="W994" s="357">
        <f t="shared" ca="1" si="439"/>
        <v>78.924452478243353</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1.5639210549494305</v>
      </c>
      <c r="AH994" s="357">
        <f t="shared" ca="1" si="463"/>
        <v>-8.1888538805745394</v>
      </c>
    </row>
    <row r="995" spans="1:34" x14ac:dyDescent="0.25">
      <c r="A995" s="402">
        <f t="shared" ca="1" si="441"/>
        <v>1E-4</v>
      </c>
      <c r="B995" s="357">
        <f t="shared" ca="1" si="442"/>
        <v>49.304800000000526</v>
      </c>
      <c r="C995" s="342"/>
      <c r="D995" s="359">
        <f t="shared" ca="1" si="443"/>
        <v>-0.88320495976141267</v>
      </c>
      <c r="E995" s="360">
        <f t="shared" ca="1" si="444"/>
        <v>-1.6688851746652063</v>
      </c>
      <c r="F995" s="357">
        <f t="shared" ca="1" si="445"/>
        <v>1.8881813279355546</v>
      </c>
      <c r="G995" s="359">
        <f t="shared" ca="1" si="446"/>
        <v>18.100897539645562</v>
      </c>
      <c r="H995" s="360">
        <f t="shared" ca="1" si="447"/>
        <v>-166.84955185911573</v>
      </c>
      <c r="I995" s="357">
        <f t="shared" ca="1" si="448"/>
        <v>167.82852989682206</v>
      </c>
      <c r="J995" s="359">
        <f t="shared" ca="1" si="449"/>
        <v>1781.6275394582099</v>
      </c>
      <c r="K995" s="360">
        <f t="shared" ca="1" si="450"/>
        <v>-17.16115403042696</v>
      </c>
      <c r="L995" s="357">
        <f t="shared" ca="1" si="435"/>
        <v>1781.7101881517012</v>
      </c>
      <c r="M995" s="359">
        <f t="shared" ca="1" si="451"/>
        <v>-1.4627326067216466</v>
      </c>
      <c r="N995" s="357">
        <f t="shared" ca="1" si="452"/>
        <v>-83.808404921319621</v>
      </c>
      <c r="O995" s="343"/>
      <c r="P995" s="363">
        <f t="shared" ca="1" si="453"/>
        <v>23</v>
      </c>
      <c r="Q995" s="357">
        <f t="shared" ca="1" si="454"/>
        <v>0</v>
      </c>
      <c r="R995" s="359">
        <f t="shared" ca="1" si="455"/>
        <v>0</v>
      </c>
      <c r="S995" s="360">
        <f t="shared" ca="1" si="456"/>
        <v>9.637999999999975</v>
      </c>
      <c r="T995" s="357">
        <f t="shared" ca="1" si="436"/>
        <v>94.548779999999766</v>
      </c>
      <c r="U995" s="364">
        <f t="shared" ca="1" si="437"/>
        <v>0</v>
      </c>
      <c r="V995" s="359">
        <f t="shared" ca="1" si="438"/>
        <v>1.227104046762256</v>
      </c>
      <c r="W995" s="357">
        <f t="shared" ca="1" si="439"/>
        <v>78.924731253831311</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1.563892797182163</v>
      </c>
      <c r="AH995" s="357">
        <f t="shared" ca="1" si="463"/>
        <v>-8.1888828053790785</v>
      </c>
    </row>
    <row r="996" spans="1:34" x14ac:dyDescent="0.25">
      <c r="A996" s="402">
        <f t="shared" ca="1" si="441"/>
        <v>1E-4</v>
      </c>
      <c r="B996" s="357">
        <f t="shared" ca="1" si="442"/>
        <v>49.304900000000529</v>
      </c>
      <c r="C996" s="342"/>
      <c r="D996" s="359">
        <f t="shared" ca="1" si="443"/>
        <v>-0.88320294694370782</v>
      </c>
      <c r="E996" s="360">
        <f t="shared" ca="1" si="444"/>
        <v>-1.6688558619566844</v>
      </c>
      <c r="F996" s="357">
        <f t="shared" ca="1" si="445"/>
        <v>1.8881544781816022</v>
      </c>
      <c r="G996" s="359">
        <f t="shared" ca="1" si="446"/>
        <v>18.100809219350868</v>
      </c>
      <c r="H996" s="360">
        <f t="shared" ca="1" si="447"/>
        <v>-166.84971874470193</v>
      </c>
      <c r="I996" s="357">
        <f t="shared" ca="1" si="448"/>
        <v>167.82868628330937</v>
      </c>
      <c r="J996" s="359">
        <f t="shared" ca="1" si="449"/>
        <v>1781.6275394582099</v>
      </c>
      <c r="K996" s="360">
        <f t="shared" ca="1" si="450"/>
        <v>-17.177838993957153</v>
      </c>
      <c r="L996" s="357">
        <f t="shared" ca="1" si="435"/>
        <v>1781.7103489367787</v>
      </c>
      <c r="M996" s="359">
        <f t="shared" ca="1" si="451"/>
        <v>-1.4627332371520245</v>
      </c>
      <c r="N996" s="357">
        <f t="shared" ca="1" si="452"/>
        <v>-83.808441042319558</v>
      </c>
      <c r="O996" s="343"/>
      <c r="P996" s="363">
        <f t="shared" ca="1" si="453"/>
        <v>23</v>
      </c>
      <c r="Q996" s="357">
        <f t="shared" ca="1" si="454"/>
        <v>0</v>
      </c>
      <c r="R996" s="359">
        <f t="shared" ca="1" si="455"/>
        <v>0</v>
      </c>
      <c r="S996" s="360">
        <f t="shared" ca="1" si="456"/>
        <v>9.637999999999975</v>
      </c>
      <c r="T996" s="357">
        <f t="shared" ca="1" si="436"/>
        <v>94.548779999999766</v>
      </c>
      <c r="U996" s="364">
        <f t="shared" ca="1" si="437"/>
        <v>0</v>
      </c>
      <c r="V996" s="359">
        <f t="shared" ca="1" si="438"/>
        <v>1.2271060941840999</v>
      </c>
      <c r="W996" s="357">
        <f t="shared" ca="1" si="439"/>
        <v>78.925010027741038</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1.5638645395806439</v>
      </c>
      <c r="AH996" s="357">
        <f t="shared" ca="1" si="463"/>
        <v>-8.1889117300094956</v>
      </c>
    </row>
    <row r="997" spans="1:34" x14ac:dyDescent="0.25">
      <c r="A997" s="402">
        <f t="shared" ca="1" si="441"/>
        <v>1E-4</v>
      </c>
      <c r="B997" s="357">
        <f t="shared" ca="1" si="442"/>
        <v>49.305000000000533</v>
      </c>
      <c r="C997" s="342"/>
      <c r="D997" s="359">
        <f t="shared" ca="1" si="443"/>
        <v>-0.8832009341052246</v>
      </c>
      <c r="E997" s="360">
        <f t="shared" ca="1" si="444"/>
        <v>-1.6688265494243293</v>
      </c>
      <c r="F997" s="357">
        <f t="shared" ca="1" si="445"/>
        <v>1.888127628649042</v>
      </c>
      <c r="G997" s="359">
        <f t="shared" ca="1" si="446"/>
        <v>18.100720899257457</v>
      </c>
      <c r="H997" s="360">
        <f t="shared" ca="1" si="447"/>
        <v>-166.84988562735688</v>
      </c>
      <c r="I997" s="357">
        <f t="shared" ca="1" si="448"/>
        <v>167.82884266697096</v>
      </c>
      <c r="J997" s="359">
        <f t="shared" ca="1" si="449"/>
        <v>1781.6275394582099</v>
      </c>
      <c r="K997" s="360">
        <f t="shared" ca="1" si="450"/>
        <v>-17.194523974175755</v>
      </c>
      <c r="L997" s="357">
        <f t="shared" ca="1" si="435"/>
        <v>1781.7105098782499</v>
      </c>
      <c r="M997" s="359">
        <f t="shared" ca="1" si="451"/>
        <v>-1.4627338675781518</v>
      </c>
      <c r="N997" s="357">
        <f t="shared" ca="1" si="452"/>
        <v>-83.808477163075949</v>
      </c>
      <c r="O997" s="343"/>
      <c r="P997" s="363">
        <f t="shared" ca="1" si="453"/>
        <v>23</v>
      </c>
      <c r="Q997" s="357">
        <f t="shared" ca="1" si="454"/>
        <v>0</v>
      </c>
      <c r="R997" s="359">
        <f t="shared" ca="1" si="455"/>
        <v>0</v>
      </c>
      <c r="S997" s="360">
        <f t="shared" ca="1" si="456"/>
        <v>9.637999999999975</v>
      </c>
      <c r="T997" s="357">
        <f t="shared" ca="1" si="436"/>
        <v>94.548779999999766</v>
      </c>
      <c r="U997" s="364">
        <f t="shared" ca="1" si="437"/>
        <v>0</v>
      </c>
      <c r="V997" s="359">
        <f t="shared" ca="1" si="438"/>
        <v>1.2271081416114105</v>
      </c>
      <c r="W997" s="357">
        <f t="shared" ca="1" si="439"/>
        <v>78.925288799972563</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1.5638362821448784</v>
      </c>
      <c r="AH997" s="357">
        <f t="shared" ca="1" si="463"/>
        <v>-8.1889406544657852</v>
      </c>
    </row>
    <row r="998" spans="1:34" x14ac:dyDescent="0.25">
      <c r="A998" s="402">
        <f t="shared" ca="1" si="441"/>
        <v>1E-4</v>
      </c>
      <c r="B998" s="357">
        <f t="shared" ca="1" si="442"/>
        <v>49.305100000000536</v>
      </c>
      <c r="C998" s="342"/>
      <c r="D998" s="359">
        <f t="shared" ca="1" si="443"/>
        <v>-0.88319892124595889</v>
      </c>
      <c r="E998" s="360">
        <f t="shared" ca="1" si="444"/>
        <v>-1.6687972370681372</v>
      </c>
      <c r="F998" s="357">
        <f t="shared" ca="1" si="445"/>
        <v>1.8881007793378706</v>
      </c>
      <c r="G998" s="359">
        <f t="shared" ca="1" si="446"/>
        <v>18.100632579365332</v>
      </c>
      <c r="H998" s="360">
        <f t="shared" ca="1" si="447"/>
        <v>-166.85005250708059</v>
      </c>
      <c r="I998" s="357">
        <f t="shared" ca="1" si="448"/>
        <v>167.8289990478068</v>
      </c>
      <c r="J998" s="359">
        <f t="shared" ca="1" si="449"/>
        <v>1781.6275394582099</v>
      </c>
      <c r="K998" s="360">
        <f t="shared" ca="1" si="450"/>
        <v>-17.211208971082478</v>
      </c>
      <c r="L998" s="357">
        <f t="shared" ca="1" si="435"/>
        <v>1781.710670976116</v>
      </c>
      <c r="M998" s="359">
        <f t="shared" ca="1" si="451"/>
        <v>-1.4627344980000281</v>
      </c>
      <c r="N998" s="357">
        <f t="shared" ca="1" si="452"/>
        <v>-83.808513283588766</v>
      </c>
      <c r="O998" s="343"/>
      <c r="P998" s="363">
        <f t="shared" ca="1" si="453"/>
        <v>23</v>
      </c>
      <c r="Q998" s="357">
        <f t="shared" ca="1" si="454"/>
        <v>0</v>
      </c>
      <c r="R998" s="359">
        <f t="shared" ca="1" si="455"/>
        <v>0</v>
      </c>
      <c r="S998" s="360">
        <f t="shared" ca="1" si="456"/>
        <v>9.637999999999975</v>
      </c>
      <c r="T998" s="357">
        <f t="shared" ca="1" si="436"/>
        <v>94.548779999999766</v>
      </c>
      <c r="U998" s="364">
        <f t="shared" ca="1" si="437"/>
        <v>0</v>
      </c>
      <c r="V998" s="359">
        <f t="shared" ca="1" si="438"/>
        <v>1.2271101890441882</v>
      </c>
      <c r="W998" s="357">
        <f t="shared" ca="1" si="439"/>
        <v>78.925567570525843</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1.5638080248748611</v>
      </c>
      <c r="AH998" s="357">
        <f t="shared" ca="1" si="463"/>
        <v>-8.1889695787479528</v>
      </c>
    </row>
    <row r="999" spans="1:34" x14ac:dyDescent="0.25">
      <c r="A999" s="402">
        <f t="shared" ca="1" si="441"/>
        <v>1E-4</v>
      </c>
      <c r="B999" s="357">
        <f t="shared" ca="1" si="442"/>
        <v>49.305200000000539</v>
      </c>
      <c r="C999" s="342"/>
      <c r="D999" s="359">
        <f t="shared" ca="1" si="443"/>
        <v>-0.88319690836591425</v>
      </c>
      <c r="E999" s="360">
        <f t="shared" ca="1" si="444"/>
        <v>-1.6687679248881171</v>
      </c>
      <c r="F999" s="357">
        <f t="shared" ca="1" si="445"/>
        <v>1.8880739302480984</v>
      </c>
      <c r="G999" s="359">
        <f t="shared" ca="1" si="446"/>
        <v>18.100544259674496</v>
      </c>
      <c r="H999" s="360">
        <f t="shared" ca="1" si="447"/>
        <v>-166.85021938387308</v>
      </c>
      <c r="I999" s="357">
        <f t="shared" ca="1" si="448"/>
        <v>167.82915542581691</v>
      </c>
      <c r="J999" s="359">
        <f t="shared" ca="1" si="449"/>
        <v>1781.6275394582099</v>
      </c>
      <c r="K999" s="360">
        <f t="shared" ca="1" si="450"/>
        <v>-17.227893984677024</v>
      </c>
      <c r="L999" s="357">
        <f t="shared" ca="1" si="435"/>
        <v>1781.7108322303768</v>
      </c>
      <c r="M999" s="359">
        <f t="shared" ca="1" si="451"/>
        <v>-1.4627351284176533</v>
      </c>
      <c r="N999" s="357">
        <f t="shared" ca="1" si="452"/>
        <v>-83.808549403858024</v>
      </c>
      <c r="O999" s="343"/>
      <c r="P999" s="363">
        <f t="shared" ca="1" si="453"/>
        <v>23</v>
      </c>
      <c r="Q999" s="357">
        <f t="shared" ca="1" si="454"/>
        <v>0</v>
      </c>
      <c r="R999" s="359">
        <f t="shared" ca="1" si="455"/>
        <v>0</v>
      </c>
      <c r="S999" s="360">
        <f t="shared" ca="1" si="456"/>
        <v>9.637999999999975</v>
      </c>
      <c r="T999" s="357">
        <f t="shared" ca="1" si="436"/>
        <v>94.548779999999766</v>
      </c>
      <c r="U999" s="364">
        <f t="shared" ca="1" si="437"/>
        <v>0</v>
      </c>
      <c r="V999" s="359">
        <f t="shared" ca="1" si="438"/>
        <v>1.2271122364824325</v>
      </c>
      <c r="W999" s="357">
        <f t="shared" ca="1" si="439"/>
        <v>78.925846339400863</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1.5637797677705993</v>
      </c>
      <c r="AH999" s="357">
        <f t="shared" ca="1" si="463"/>
        <v>-8.1889985028559913</v>
      </c>
    </row>
    <row r="1000" spans="1:34" x14ac:dyDescent="0.25">
      <c r="A1000" s="402">
        <f t="shared" ca="1" si="441"/>
        <v>1E-4</v>
      </c>
      <c r="B1000" s="357">
        <f t="shared" ca="1" si="442"/>
        <v>49.305300000000543</v>
      </c>
      <c r="C1000" s="342"/>
      <c r="D1000" s="359">
        <f t="shared" ca="1" si="443"/>
        <v>-0.88319489546509156</v>
      </c>
      <c r="E1000" s="360">
        <f t="shared" ca="1" si="444"/>
        <v>-1.6687386128842654</v>
      </c>
      <c r="F1000" s="357">
        <f t="shared" ca="1" si="445"/>
        <v>1.8880470813797245</v>
      </c>
      <c r="G1000" s="359">
        <f t="shared" ca="1" si="446"/>
        <v>18.100455940184951</v>
      </c>
      <c r="H1000" s="360">
        <f t="shared" ca="1" si="447"/>
        <v>-166.85038625773436</v>
      </c>
      <c r="I1000" s="357">
        <f t="shared" ca="1" si="448"/>
        <v>167.82931180100132</v>
      </c>
      <c r="J1000" s="359">
        <f t="shared" ca="1" si="449"/>
        <v>1781.6275394582099</v>
      </c>
      <c r="K1000" s="360">
        <f t="shared" ca="1" si="450"/>
        <v>-17.244579014959104</v>
      </c>
      <c r="L1000" s="357">
        <f t="shared" ca="1" si="435"/>
        <v>1781.7109936410334</v>
      </c>
      <c r="M1000" s="359">
        <f t="shared" ca="1" si="451"/>
        <v>-1.4627357588310279</v>
      </c>
      <c r="N1000" s="357">
        <f t="shared" ca="1" si="452"/>
        <v>-83.808585523883735</v>
      </c>
      <c r="O1000" s="343"/>
      <c r="P1000" s="363">
        <f t="shared" ca="1" si="453"/>
        <v>23</v>
      </c>
      <c r="Q1000" s="357">
        <f t="shared" ca="1" si="454"/>
        <v>0</v>
      </c>
      <c r="R1000" s="359">
        <f t="shared" ca="1" si="455"/>
        <v>0</v>
      </c>
      <c r="S1000" s="360">
        <f t="shared" ca="1" si="456"/>
        <v>9.637999999999975</v>
      </c>
      <c r="T1000" s="357">
        <f t="shared" ca="1" si="436"/>
        <v>94.548779999999766</v>
      </c>
      <c r="U1000" s="364">
        <f t="shared" ca="1" si="437"/>
        <v>0</v>
      </c>
      <c r="V1000" s="359">
        <f t="shared" ca="1" si="438"/>
        <v>1.2271142839261437</v>
      </c>
      <c r="W1000" s="357">
        <f t="shared" ca="1" si="439"/>
        <v>78.926125106597638</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1.563751510832093</v>
      </c>
      <c r="AH1000" s="357">
        <f t="shared" ca="1" si="463"/>
        <v>-8.1890274267899006</v>
      </c>
    </row>
    <row r="1001" spans="1:34" x14ac:dyDescent="0.25">
      <c r="A1001" s="402">
        <f t="shared" ca="1" si="441"/>
        <v>1E-4</v>
      </c>
      <c r="B1001" s="357">
        <f t="shared" ca="1" si="442"/>
        <v>49.305400000000546</v>
      </c>
      <c r="C1001" s="342"/>
      <c r="D1001" s="359">
        <f t="shared" ca="1" si="443"/>
        <v>-0.88319288254348771</v>
      </c>
      <c r="E1001" s="360">
        <f t="shared" ca="1" si="444"/>
        <v>-1.6687093010565821</v>
      </c>
      <c r="F1001" s="357">
        <f t="shared" ca="1" si="445"/>
        <v>1.8880202327327484</v>
      </c>
      <c r="G1001" s="359">
        <f t="shared" ca="1" si="446"/>
        <v>18.100367620896698</v>
      </c>
      <c r="H1001" s="360">
        <f t="shared" ca="1" si="447"/>
        <v>-166.85055312866447</v>
      </c>
      <c r="I1001" s="357">
        <f t="shared" ca="1" si="448"/>
        <v>167.82946817336011</v>
      </c>
      <c r="J1001" s="359">
        <f t="shared" ca="1" si="449"/>
        <v>1781.6275394582099</v>
      </c>
      <c r="K1001" s="360">
        <f t="shared" ca="1" si="450"/>
        <v>-17.261264061928426</v>
      </c>
      <c r="L1001" s="357">
        <f t="shared" ca="1" si="435"/>
        <v>1781.7111552080855</v>
      </c>
      <c r="M1001" s="359">
        <f t="shared" ca="1" si="451"/>
        <v>-1.4627363892401515</v>
      </c>
      <c r="N1001" s="357">
        <f t="shared" ca="1" si="452"/>
        <v>-83.808621643665887</v>
      </c>
      <c r="O1001" s="343"/>
      <c r="P1001" s="363">
        <f t="shared" ca="1" si="453"/>
        <v>23</v>
      </c>
      <c r="Q1001" s="357">
        <f t="shared" ca="1" si="454"/>
        <v>0</v>
      </c>
      <c r="R1001" s="359">
        <f t="shared" ca="1" si="455"/>
        <v>0</v>
      </c>
      <c r="S1001" s="360">
        <f t="shared" ca="1" si="456"/>
        <v>9.637999999999975</v>
      </c>
      <c r="T1001" s="357">
        <f t="shared" ca="1" si="436"/>
        <v>94.548779999999766</v>
      </c>
      <c r="U1001" s="364">
        <f t="shared" ca="1" si="437"/>
        <v>0</v>
      </c>
      <c r="V1001" s="359">
        <f t="shared" ca="1" si="438"/>
        <v>1.2271163313753219</v>
      </c>
      <c r="W1001" s="357">
        <f t="shared" ca="1" si="439"/>
        <v>78.926403872116225</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1.563723254059342</v>
      </c>
      <c r="AH1001" s="357">
        <f t="shared" ca="1" si="463"/>
        <v>-8.1890563505496825</v>
      </c>
    </row>
    <row r="1002" spans="1:34" x14ac:dyDescent="0.25">
      <c r="A1002" s="402">
        <f t="shared" ca="1" si="441"/>
        <v>1E-4</v>
      </c>
      <c r="B1002" s="357">
        <f t="shared" ca="1" si="442"/>
        <v>49.305500000000549</v>
      </c>
      <c r="C1002" s="342"/>
      <c r="D1002" s="359">
        <f t="shared" ca="1" si="443"/>
        <v>-0.88319086960110804</v>
      </c>
      <c r="E1002" s="360">
        <f t="shared" ca="1" si="444"/>
        <v>-1.6686799894050637</v>
      </c>
      <c r="F1002" s="357">
        <f t="shared" ca="1" si="445"/>
        <v>1.887993384307171</v>
      </c>
      <c r="G1002" s="359">
        <f t="shared" ca="1" si="446"/>
        <v>18.100279301809739</v>
      </c>
      <c r="H1002" s="360">
        <f t="shared" ca="1" si="447"/>
        <v>-166.8507199966634</v>
      </c>
      <c r="I1002" s="357">
        <f t="shared" ca="1" si="448"/>
        <v>167.82962454289319</v>
      </c>
      <c r="J1002" s="359">
        <f t="shared" ca="1" si="449"/>
        <v>1781.6275394582099</v>
      </c>
      <c r="K1002" s="360">
        <f t="shared" ca="1" si="450"/>
        <v>-17.277949125584691</v>
      </c>
      <c r="L1002" s="357">
        <f t="shared" ca="1" si="435"/>
        <v>1781.7113169315339</v>
      </c>
      <c r="M1002" s="359">
        <f t="shared" ca="1" si="451"/>
        <v>-1.4627370196450244</v>
      </c>
      <c r="N1002" s="357">
        <f t="shared" ca="1" si="452"/>
        <v>-83.808657763204494</v>
      </c>
      <c r="O1002" s="343"/>
      <c r="P1002" s="363">
        <f t="shared" ca="1" si="453"/>
        <v>23</v>
      </c>
      <c r="Q1002" s="357">
        <f t="shared" ca="1" si="454"/>
        <v>0</v>
      </c>
      <c r="R1002" s="359">
        <f t="shared" ca="1" si="455"/>
        <v>0</v>
      </c>
      <c r="S1002" s="360">
        <f t="shared" ca="1" si="456"/>
        <v>9.637999999999975</v>
      </c>
      <c r="T1002" s="357">
        <f t="shared" ca="1" si="436"/>
        <v>94.548779999999766</v>
      </c>
      <c r="U1002" s="364">
        <f t="shared" ca="1" si="437"/>
        <v>0</v>
      </c>
      <c r="V1002" s="359">
        <f t="shared" ca="1" si="438"/>
        <v>1.2271183788299671</v>
      </c>
      <c r="W1002" s="357">
        <f t="shared" ca="1" si="439"/>
        <v>78.926682635956539</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1.5636949974523358</v>
      </c>
      <c r="AH1002" s="357">
        <f t="shared" ca="1" si="463"/>
        <v>-8.1890852741353424</v>
      </c>
    </row>
    <row r="1003" spans="1:34" x14ac:dyDescent="0.25">
      <c r="A1003" s="402">
        <f t="shared" ca="1" si="441"/>
        <v>1E-4</v>
      </c>
      <c r="B1003" s="357">
        <f t="shared" ca="1" si="442"/>
        <v>49.305600000000553</v>
      </c>
      <c r="C1003" s="342"/>
      <c r="D1003" s="359">
        <f t="shared" ca="1" si="443"/>
        <v>-0.88318885663794822</v>
      </c>
      <c r="E1003" s="360">
        <f t="shared" ca="1" si="444"/>
        <v>-1.6686506779297154</v>
      </c>
      <c r="F1003" s="357">
        <f t="shared" ca="1" si="445"/>
        <v>1.887966536102996</v>
      </c>
      <c r="G1003" s="359">
        <f t="shared" ca="1" si="446"/>
        <v>18.100190982924076</v>
      </c>
      <c r="H1003" s="360">
        <f t="shared" ca="1" si="447"/>
        <v>-166.8508868617312</v>
      </c>
      <c r="I1003" s="357">
        <f t="shared" ca="1" si="448"/>
        <v>167.82978090960063</v>
      </c>
      <c r="J1003" s="359">
        <f t="shared" ca="1" si="449"/>
        <v>1781.6275394582099</v>
      </c>
      <c r="K1003" s="360">
        <f t="shared" ca="1" si="450"/>
        <v>-17.294634205927611</v>
      </c>
      <c r="L1003" s="357">
        <f t="shared" ca="1" si="435"/>
        <v>1781.7114788113793</v>
      </c>
      <c r="M1003" s="359">
        <f t="shared" ca="1" si="451"/>
        <v>-1.4627376500456468</v>
      </c>
      <c r="N1003" s="357">
        <f t="shared" ca="1" si="452"/>
        <v>-83.808693882499554</v>
      </c>
      <c r="O1003" s="343"/>
      <c r="P1003" s="363">
        <f t="shared" ca="1" si="453"/>
        <v>23</v>
      </c>
      <c r="Q1003" s="357">
        <f t="shared" ca="1" si="454"/>
        <v>0</v>
      </c>
      <c r="R1003" s="359">
        <f t="shared" ca="1" si="455"/>
        <v>0</v>
      </c>
      <c r="S1003" s="360">
        <f t="shared" ca="1" si="456"/>
        <v>9.637999999999975</v>
      </c>
      <c r="T1003" s="357">
        <f t="shared" ca="1" si="436"/>
        <v>94.548779999999766</v>
      </c>
      <c r="U1003" s="364">
        <f t="shared" ca="1" si="437"/>
        <v>0</v>
      </c>
      <c r="V1003" s="359">
        <f ca="1">Rho_moyen*(20000-Alt_rampe-pos_z)/(20000+Alt_rampe+pos_z)</f>
        <v>1.2271204262900783</v>
      </c>
      <c r="W1003" s="357">
        <f t="shared" ca="1" si="439"/>
        <v>78.926961398118578</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1.5636667410110903</v>
      </c>
      <c r="AH1003" s="357">
        <f t="shared" ca="1" si="463"/>
        <v>-8.1891141975468713</v>
      </c>
    </row>
    <row r="1004" spans="1:34" x14ac:dyDescent="0.25">
      <c r="A1004" s="403">
        <f t="shared" ca="1" si="441"/>
        <v>1E-4</v>
      </c>
      <c r="B1004" s="358">
        <f t="shared" ca="1" si="442"/>
        <v>49.305700000000556</v>
      </c>
      <c r="C1004" s="342"/>
      <c r="D1004" s="361">
        <f t="shared" ca="1" si="443"/>
        <v>-0.88318684365400923</v>
      </c>
      <c r="E1004" s="362">
        <f t="shared" ca="1" si="444"/>
        <v>-1.6686213666305392</v>
      </c>
      <c r="F1004" s="358">
        <f t="shared" ca="1" si="445"/>
        <v>1.8879396881202268</v>
      </c>
      <c r="G1004" s="361">
        <f t="shared" ca="1" si="446"/>
        <v>18.10010266423971</v>
      </c>
      <c r="H1004" s="362">
        <f t="shared" ca="1" si="447"/>
        <v>-166.85105372386786</v>
      </c>
      <c r="I1004" s="358">
        <f t="shared" ca="1" si="448"/>
        <v>167.82993727348244</v>
      </c>
      <c r="J1004" s="361">
        <f t="shared" ca="1" si="449"/>
        <v>1781.6275394582099</v>
      </c>
      <c r="K1004" s="362">
        <f t="shared" ca="1" si="450"/>
        <v>-17.311319302956893</v>
      </c>
      <c r="L1004" s="358">
        <f t="shared" ca="1" si="435"/>
        <v>1781.7116408476215</v>
      </c>
      <c r="M1004" s="361">
        <f t="shared" ca="1" si="451"/>
        <v>-1.4627382804420184</v>
      </c>
      <c r="N1004" s="358">
        <f t="shared" ca="1" si="452"/>
        <v>-83.808730001551055</v>
      </c>
      <c r="O1004" s="343"/>
      <c r="P1004" s="365">
        <f t="shared" ca="1" si="453"/>
        <v>23</v>
      </c>
      <c r="Q1004" s="358">
        <f t="shared" ca="1" si="454"/>
        <v>0</v>
      </c>
      <c r="R1004" s="361">
        <f t="shared" ca="1" si="455"/>
        <v>0</v>
      </c>
      <c r="S1004" s="362">
        <f t="shared" ca="1" si="456"/>
        <v>9.637999999999975</v>
      </c>
      <c r="T1004" s="358">
        <f t="shared" ca="1" si="436"/>
        <v>94.548779999999766</v>
      </c>
      <c r="U1004" s="366">
        <f t="shared" ca="1" si="437"/>
        <v>0</v>
      </c>
      <c r="V1004" s="361">
        <f t="shared" ca="1" si="438"/>
        <v>1.2271224737556572</v>
      </c>
      <c r="W1004" s="358">
        <f ca="1">1/2*Rho*Sref*Cx*vit_xz^2</f>
        <v>78.927240158602416</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1.5636384847356037</v>
      </c>
      <c r="AH1004" s="358">
        <f t="shared" ca="1" si="463"/>
        <v>-8.1891431207842693</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35" t="s">
        <v>282</v>
      </c>
      <c r="D2" s="735"/>
      <c r="E2" s="81"/>
      <c r="F2" s="81"/>
      <c r="G2" s="81"/>
      <c r="H2" s="81"/>
      <c r="I2" s="81"/>
      <c r="J2" s="81"/>
      <c r="K2" s="81"/>
      <c r="L2" s="81"/>
      <c r="M2" s="97"/>
    </row>
    <row r="3" spans="1:13" ht="12.75" customHeight="1" x14ac:dyDescent="0.25">
      <c r="A3" s="77"/>
      <c r="B3" s="2"/>
      <c r="C3" s="735"/>
      <c r="D3" s="735"/>
      <c r="E3" s="81"/>
      <c r="F3" s="81"/>
      <c r="G3" s="81"/>
      <c r="H3" s="81"/>
      <c r="I3" s="81"/>
      <c r="J3" s="81"/>
      <c r="K3" s="81"/>
      <c r="L3" s="81"/>
      <c r="M3" s="97"/>
    </row>
    <row r="4" spans="1:13" x14ac:dyDescent="0.25">
      <c r="A4" s="77"/>
      <c r="B4" s="2"/>
      <c r="C4" s="738" t="str">
        <f>IF(Lang="Français","Abaques de performance",IF(Lang="English","Performance charts",""))</f>
        <v>Abaques de performance</v>
      </c>
      <c r="D4" s="738"/>
      <c r="E4" s="81"/>
      <c r="F4" s="81"/>
      <c r="G4" s="81"/>
      <c r="H4" s="81"/>
      <c r="I4" s="81"/>
      <c r="J4" s="81"/>
      <c r="K4" s="81"/>
      <c r="L4" s="81"/>
      <c r="M4" s="97"/>
    </row>
    <row r="5" spans="1:13" x14ac:dyDescent="0.25">
      <c r="A5" s="77"/>
      <c r="B5" s="2"/>
      <c r="C5" s="738" t="str">
        <f>IF(Lang="Français","Calcul analytique simple",IF(Lang="English","Analytical computation",""))</f>
        <v>Calcul analytique simple</v>
      </c>
      <c r="D5" s="738"/>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17" t="str">
        <f>IF(Lang="Français","Fusée",IF(Lang="English","Rocket",""))</f>
        <v>Fusée</v>
      </c>
      <c r="D7" s="717"/>
      <c r="E7" s="81"/>
      <c r="F7" s="81"/>
      <c r="G7" s="81"/>
      <c r="H7" s="81"/>
      <c r="I7" s="81"/>
      <c r="J7" s="81"/>
      <c r="K7" s="81"/>
      <c r="L7" s="81"/>
      <c r="M7" s="97"/>
    </row>
    <row r="8" spans="1:13" ht="15.6" x14ac:dyDescent="0.3">
      <c r="A8" s="80"/>
      <c r="B8" s="173" t="str">
        <f>IF(Lang="Français","Nom",IF(Lang="English","Name",""))</f>
        <v>Nom</v>
      </c>
      <c r="C8" s="736" t="str">
        <f>Nom</f>
        <v>Indra</v>
      </c>
      <c r="D8" s="736"/>
      <c r="E8" s="81"/>
      <c r="F8" s="81"/>
      <c r="G8" s="81"/>
      <c r="H8" s="81"/>
      <c r="I8" s="81"/>
      <c r="J8" s="81"/>
      <c r="K8" s="81"/>
      <c r="L8" s="81"/>
      <c r="M8" s="97"/>
    </row>
    <row r="9" spans="1:13" ht="15.6" x14ac:dyDescent="0.3">
      <c r="A9" s="80"/>
      <c r="B9" s="173" t="s">
        <v>4</v>
      </c>
      <c r="C9" s="736" t="str">
        <f>Club</f>
        <v>Space'Tech Orléans</v>
      </c>
      <c r="D9" s="736"/>
      <c r="E9" s="81"/>
      <c r="F9" s="81"/>
      <c r="G9" s="81"/>
      <c r="H9" s="81"/>
      <c r="I9" s="81"/>
      <c r="J9" s="81"/>
      <c r="K9" s="81"/>
      <c r="L9" s="81"/>
      <c r="M9" s="97"/>
    </row>
    <row r="10" spans="1:13" x14ac:dyDescent="0.25">
      <c r="A10" s="80"/>
      <c r="B10" s="173" t="str">
        <f>IF(Lang="Français","Masse sans propu",IF(Lang="English","Mass without M",""))</f>
        <v>Masse sans propu</v>
      </c>
      <c r="C10" s="769">
        <f>MasseSans</f>
        <v>8</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11,511 kg ±8 kg</v>
      </c>
      <c r="D11" s="772"/>
      <c r="E11" s="81"/>
      <c r="F11" s="81"/>
      <c r="G11" s="81"/>
      <c r="H11" s="81"/>
      <c r="I11" s="81"/>
      <c r="J11" s="81"/>
      <c r="K11" s="81"/>
      <c r="L11" s="81"/>
      <c r="M11" s="97"/>
    </row>
    <row r="12" spans="1:13" x14ac:dyDescent="0.25">
      <c r="A12" s="80"/>
      <c r="B12" s="266" t="str">
        <f>IF(Lang="Français","Propulseur",IF(Lang="English","Motor",""))</f>
        <v>Propulseur</v>
      </c>
      <c r="C12" s="715" t="str">
        <f>Propu</f>
        <v>Orignal (Pro75-3G C)</v>
      </c>
      <c r="D12" s="716"/>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17" t="str">
        <f>IF(Lang="Français","Traînée Aérdynamique",IF(Lang="English","Drag",""))</f>
        <v>Traînée Aérdynamique</v>
      </c>
      <c r="D14" s="717"/>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75</v>
      </c>
      <c r="C41" s="464">
        <f t="shared" ref="C41:C67" ca="1" si="1">1/2*Rho_moyen*PI()*D_var^2/4*Cx/10^6</f>
        <v>1.3529710549151357E-3</v>
      </c>
      <c r="D41" s="461">
        <f ca="1">MpropuPlein+0*MasseSans</f>
        <v>3.5110000000000001</v>
      </c>
      <c r="E41" s="461">
        <f t="shared" ref="E41:E67" ca="1" si="2">m_var - 0.5*m_poudre</f>
        <v>2.5745</v>
      </c>
      <c r="F41" s="461">
        <f t="shared" ref="F41:F67" ca="1" si="3">m_var - m_poudre</f>
        <v>1.6379999999999999</v>
      </c>
      <c r="G41" s="468">
        <f t="shared" ref="G41:G67" ca="1" si="4">MAX(0, (I_total/Temps_fin_propu)/m_prop-g)</f>
        <v>300.51733100610352</v>
      </c>
      <c r="H41" s="467">
        <f t="shared" ref="H41:H67" ca="1" si="5">Q_var/m_prop</f>
        <v>5.2552769660716087E-4</v>
      </c>
      <c r="I41" s="464">
        <f t="shared" ref="I41:I67" ca="1" si="6">Q_var/m_bal</f>
        <v>8.2598965501534541E-4</v>
      </c>
      <c r="J41" s="464">
        <f t="shared" ref="J41:J67" ca="1" si="7">1/(2*b_prop)*LN(  ((EXP(2*SQRT(a_prop*b_prop)*Temps_fin_propu)+1)^2)  /  (((1+1)^2)*EXP(2*SQRT(a_prop*b_prop)*Temps_fin_propu)))</f>
        <v>2265.6407110585924</v>
      </c>
      <c r="K41" s="471">
        <f t="shared" ref="K41:K67" ca="1" si="8">SQRT(a_prop/b_prop)  *  (EXP(2*SQRT(a_prop*b_prop)*Temps_fin_propu)-1)/(EXP(2*SQRT(a_prop*b_prop)*Temps_fin_propu)+1)</f>
        <v>720.40587937186433</v>
      </c>
      <c r="L41" s="474">
        <f t="shared" ref="L41:L67" ca="1" si="9">alt_prop + 1/(2*b_bal) * LN(1+b_bal/g*V_prop^2)</f>
        <v>4565.8665325686015</v>
      </c>
      <c r="M41" s="477">
        <f t="shared" ref="M41:M67" ca="1" si="10">Temps_fin_propu + ATAN(SQRT(b_bal/g)*V_prop)/SQRT(b_bal*g)</f>
        <v>20.462214926687707</v>
      </c>
    </row>
    <row r="42" spans="1:13" x14ac:dyDescent="0.25">
      <c r="B42" s="490">
        <f t="shared" ca="1" si="0"/>
        <v>75</v>
      </c>
      <c r="C42" s="465">
        <f t="shared" ca="1" si="1"/>
        <v>1.3529710549151357E-3</v>
      </c>
      <c r="D42" s="462">
        <f ca="1">MpropuPlein+0.25*MasseSans</f>
        <v>5.5110000000000001</v>
      </c>
      <c r="E42" s="462">
        <f t="shared" ca="1" si="2"/>
        <v>4.5745000000000005</v>
      </c>
      <c r="F42" s="462">
        <f t="shared" ca="1" si="3"/>
        <v>3.6379999999999999</v>
      </c>
      <c r="G42" s="469">
        <f t="shared" ca="1" si="4"/>
        <v>164.8402817084301</v>
      </c>
      <c r="H42" s="465">
        <f t="shared" ca="1" si="5"/>
        <v>2.9576370202538758E-4</v>
      </c>
      <c r="I42" s="465">
        <f t="shared" ca="1" si="6"/>
        <v>3.7189968524330283E-4</v>
      </c>
      <c r="J42" s="465">
        <f t="shared" ca="1" si="7"/>
        <v>1553.3152684279084</v>
      </c>
      <c r="K42" s="472">
        <f t="shared" ca="1" si="8"/>
        <v>578.76395208833526</v>
      </c>
      <c r="L42" s="475">
        <f t="shared" ca="1" si="9"/>
        <v>5072.1431695839892</v>
      </c>
      <c r="M42" s="478">
        <f t="shared" ca="1" si="10"/>
        <v>26.156500249503708</v>
      </c>
    </row>
    <row r="43" spans="1:13" x14ac:dyDescent="0.25">
      <c r="B43" s="490">
        <f t="shared" ca="1" si="0"/>
        <v>75</v>
      </c>
      <c r="C43" s="465">
        <f t="shared" ca="1" si="1"/>
        <v>1.3529710549151357E-3</v>
      </c>
      <c r="D43" s="462">
        <f ca="1">MpropuPlein+0.5*MasseSans</f>
        <v>7.5110000000000001</v>
      </c>
      <c r="E43" s="462">
        <f t="shared" ca="1" si="2"/>
        <v>6.5745000000000005</v>
      </c>
      <c r="F43" s="462">
        <f t="shared" ca="1" si="3"/>
        <v>5.6379999999999999</v>
      </c>
      <c r="G43" s="469">
        <f t="shared" ca="1" si="4"/>
        <v>111.71068045862248</v>
      </c>
      <c r="H43" s="465">
        <f t="shared" ca="1" si="5"/>
        <v>2.0579071487035298E-4</v>
      </c>
      <c r="I43" s="465">
        <f t="shared" ca="1" si="6"/>
        <v>2.3997358192889956E-4</v>
      </c>
      <c r="J43" s="465">
        <f t="shared" ca="1" si="7"/>
        <v>1132.6740296525336</v>
      </c>
      <c r="K43" s="472">
        <f t="shared" ca="1" si="8"/>
        <v>449.7404606411157</v>
      </c>
      <c r="L43" s="475">
        <f t="shared" ca="1" si="9"/>
        <v>4847.7356752843643</v>
      </c>
      <c r="M43" s="478">
        <f t="shared" ca="1" si="10"/>
        <v>28.346894648691023</v>
      </c>
    </row>
    <row r="44" spans="1:13" x14ac:dyDescent="0.25">
      <c r="B44" s="490">
        <f t="shared" ca="1" si="0"/>
        <v>75</v>
      </c>
      <c r="C44" s="465">
        <f t="shared" ca="1" si="1"/>
        <v>1.3529710549151357E-3</v>
      </c>
      <c r="D44" s="462">
        <f ca="1">MpropuPlein+0.75*MasseSans</f>
        <v>9.5109999999999992</v>
      </c>
      <c r="E44" s="462">
        <f t="shared" ca="1" si="2"/>
        <v>8.5744999999999987</v>
      </c>
      <c r="F44" s="462">
        <f t="shared" ca="1" si="3"/>
        <v>7.637999999999999</v>
      </c>
      <c r="G44" s="469">
        <f t="shared" ca="1" si="4"/>
        <v>83.366011857859192</v>
      </c>
      <c r="H44" s="465">
        <f t="shared" ca="1" si="5"/>
        <v>1.5779008162751599E-4</v>
      </c>
      <c r="I44" s="465">
        <f t="shared" ca="1" si="6"/>
        <v>1.7713682311012514E-4</v>
      </c>
      <c r="J44" s="465">
        <f t="shared" ca="1" si="7"/>
        <v>872.21756910062527</v>
      </c>
      <c r="K44" s="472">
        <f t="shared" ca="1" si="8"/>
        <v>356.55096531767543</v>
      </c>
      <c r="L44" s="475">
        <f t="shared" ca="1" si="9"/>
        <v>4238.4492517259459</v>
      </c>
      <c r="M44" s="478">
        <f t="shared" ca="1" si="10"/>
        <v>28.366870571040252</v>
      </c>
    </row>
    <row r="45" spans="1:13" x14ac:dyDescent="0.25">
      <c r="B45" s="490">
        <f t="shared" ca="1" si="0"/>
        <v>75</v>
      </c>
      <c r="C45" s="465">
        <f t="shared" ca="1" si="1"/>
        <v>1.3529710549151357E-3</v>
      </c>
      <c r="D45" s="462">
        <f ca="1">MpropuPlein+1*MasseSans</f>
        <v>11.510999999999999</v>
      </c>
      <c r="E45" s="462">
        <f t="shared" ca="1" si="2"/>
        <v>10.574499999999999</v>
      </c>
      <c r="F45" s="462">
        <f t="shared" ca="1" si="3"/>
        <v>9.6379999999999981</v>
      </c>
      <c r="G45" s="469">
        <f t="shared" ca="1" si="4"/>
        <v>65.743237852873762</v>
      </c>
      <c r="H45" s="465">
        <f t="shared" ca="1" si="5"/>
        <v>1.2794657477092401E-4</v>
      </c>
      <c r="I45" s="465">
        <f t="shared" ca="1" si="6"/>
        <v>1.4037881872952231E-4</v>
      </c>
      <c r="J45" s="465">
        <f t="shared" ca="1" si="7"/>
        <v>698.8889635972854</v>
      </c>
      <c r="K45" s="472">
        <f t="shared" ca="1" si="8"/>
        <v>290.07916611082868</v>
      </c>
      <c r="L45" s="475">
        <f t="shared" ca="1" si="9"/>
        <v>3513.8547981546321</v>
      </c>
      <c r="M45" s="478">
        <f t="shared" ca="1" si="10"/>
        <v>27.093831280983245</v>
      </c>
    </row>
    <row r="46" spans="1:13" x14ac:dyDescent="0.25">
      <c r="B46" s="490">
        <f t="shared" ca="1" si="0"/>
        <v>75</v>
      </c>
      <c r="C46" s="465">
        <f t="shared" ca="1" si="1"/>
        <v>1.3529710549151357E-3</v>
      </c>
      <c r="D46" s="462">
        <f ca="1">MpropuPlein+1.25*MasseSans</f>
        <v>13.510999999999999</v>
      </c>
      <c r="E46" s="462">
        <f t="shared" ca="1" si="2"/>
        <v>12.574499999999999</v>
      </c>
      <c r="F46" s="462">
        <f t="shared" ca="1" si="3"/>
        <v>11.637999999999998</v>
      </c>
      <c r="G46" s="469">
        <f t="shared" ca="1" si="4"/>
        <v>53.726340504609617</v>
      </c>
      <c r="H46" s="465">
        <f t="shared" ca="1" si="5"/>
        <v>1.0759640979085735E-4</v>
      </c>
      <c r="I46" s="465">
        <f t="shared" ca="1" si="6"/>
        <v>1.1625460172840144E-4</v>
      </c>
      <c r="J46" s="465">
        <f t="shared" ca="1" si="7"/>
        <v>576.35582769533278</v>
      </c>
      <c r="K46" s="472">
        <f t="shared" ca="1" si="8"/>
        <v>241.33872058662368</v>
      </c>
      <c r="L46" s="475">
        <f t="shared" ca="1" si="9"/>
        <v>2833.7540440246567</v>
      </c>
      <c r="M46" s="478">
        <f t="shared" ca="1" si="10"/>
        <v>25.207952797623101</v>
      </c>
    </row>
    <row r="47" spans="1:13" x14ac:dyDescent="0.25">
      <c r="B47" s="490">
        <f t="shared" ca="1" si="0"/>
        <v>75</v>
      </c>
      <c r="C47" s="465">
        <f t="shared" ca="1" si="1"/>
        <v>1.3529710549151357E-3</v>
      </c>
      <c r="D47" s="462">
        <f ca="1">MpropuPlein+1.5*MasseSans</f>
        <v>15.510999999999999</v>
      </c>
      <c r="E47" s="462">
        <f t="shared" ca="1" si="2"/>
        <v>14.574499999999999</v>
      </c>
      <c r="F47" s="462">
        <f t="shared" ca="1" si="3"/>
        <v>13.637999999999998</v>
      </c>
      <c r="G47" s="469">
        <f t="shared" ca="1" si="4"/>
        <v>45.007504111647989</v>
      </c>
      <c r="H47" s="465">
        <f t="shared" ca="1" si="5"/>
        <v>9.2831387348803443E-5</v>
      </c>
      <c r="I47" s="465">
        <f t="shared" ca="1" si="6"/>
        <v>9.9205972643726055E-5</v>
      </c>
      <c r="J47" s="465">
        <f t="shared" ca="1" si="7"/>
        <v>485.54728879127572</v>
      </c>
      <c r="K47" s="472">
        <f t="shared" ca="1" si="8"/>
        <v>204.43678948610534</v>
      </c>
      <c r="L47" s="475">
        <f t="shared" ca="1" si="9"/>
        <v>2262.2823683124443</v>
      </c>
      <c r="M47" s="478">
        <f t="shared" ca="1" si="10"/>
        <v>23.158443614875853</v>
      </c>
    </row>
    <row r="48" spans="1:13" x14ac:dyDescent="0.25">
      <c r="B48" s="490">
        <f t="shared" ca="1" si="0"/>
        <v>75</v>
      </c>
      <c r="C48" s="465">
        <f t="shared" ca="1" si="1"/>
        <v>1.3529710549151357E-3</v>
      </c>
      <c r="D48" s="462">
        <f ca="1">MpropuPlein+1.75*MasseSans</f>
        <v>17.510999999999999</v>
      </c>
      <c r="E48" s="462">
        <f t="shared" ca="1" si="2"/>
        <v>16.5745</v>
      </c>
      <c r="F48" s="462">
        <f t="shared" ca="1" si="3"/>
        <v>15.637999999999998</v>
      </c>
      <c r="G48" s="469">
        <f t="shared" ca="1" si="4"/>
        <v>38.392824439664153</v>
      </c>
      <c r="H48" s="465">
        <f t="shared" ca="1" si="5"/>
        <v>8.1629675399869415E-5</v>
      </c>
      <c r="I48" s="465">
        <f t="shared" ca="1" si="6"/>
        <v>8.6518164401786415E-5</v>
      </c>
      <c r="J48" s="465">
        <f t="shared" ca="1" si="7"/>
        <v>415.72369154883978</v>
      </c>
      <c r="K48" s="472">
        <f t="shared" ca="1" si="8"/>
        <v>175.67708521400979</v>
      </c>
      <c r="L48" s="475">
        <f t="shared" ca="1" si="9"/>
        <v>1806.9808471575052</v>
      </c>
      <c r="M48" s="478">
        <f t="shared" ca="1" si="10"/>
        <v>21.185884733197188</v>
      </c>
    </row>
    <row r="49" spans="2:13" x14ac:dyDescent="0.25">
      <c r="B49" s="491">
        <f t="shared" ca="1" si="0"/>
        <v>75</v>
      </c>
      <c r="C49" s="466">
        <f t="shared" ca="1" si="1"/>
        <v>1.3529710549151357E-3</v>
      </c>
      <c r="D49" s="463">
        <f ca="1">MpropuPlein+2*MasseSans</f>
        <v>19.510999999999999</v>
      </c>
      <c r="E49" s="463">
        <f t="shared" ca="1" si="2"/>
        <v>18.5745</v>
      </c>
      <c r="F49" s="463">
        <f t="shared" ca="1" si="3"/>
        <v>17.637999999999998</v>
      </c>
      <c r="G49" s="470">
        <f t="shared" ca="1" si="4"/>
        <v>33.202609420184309</v>
      </c>
      <c r="H49" s="466">
        <f t="shared" ca="1" si="5"/>
        <v>7.284024091712486E-5</v>
      </c>
      <c r="I49" s="466">
        <f t="shared" ca="1" si="6"/>
        <v>7.6707736416551528E-5</v>
      </c>
      <c r="J49" s="466">
        <f t="shared" ca="1" si="7"/>
        <v>360.44294800897302</v>
      </c>
      <c r="K49" s="473">
        <f t="shared" ca="1" si="8"/>
        <v>152.70145399386931</v>
      </c>
      <c r="L49" s="476">
        <f t="shared" ca="1" si="9"/>
        <v>1452.1613182100903</v>
      </c>
      <c r="M49" s="479">
        <f t="shared" ca="1" si="10"/>
        <v>19.391537769492611</v>
      </c>
    </row>
    <row r="50" spans="2:13" x14ac:dyDescent="0.25">
      <c r="B50" s="489">
        <f t="shared" ref="B50:B58" si="11">D_ref</f>
        <v>100</v>
      </c>
      <c r="C50" s="464">
        <f t="shared" si="1"/>
        <v>2.4052818754046858E-3</v>
      </c>
      <c r="D50" s="461">
        <f ca="1">MpropuPlein+0*MasseSans</f>
        <v>3.5110000000000001</v>
      </c>
      <c r="E50" s="461">
        <f t="shared" ca="1" si="2"/>
        <v>2.5745</v>
      </c>
      <c r="F50" s="461">
        <f t="shared" ca="1" si="3"/>
        <v>1.6379999999999999</v>
      </c>
      <c r="G50" s="468">
        <f t="shared" ca="1" si="4"/>
        <v>300.51733100610352</v>
      </c>
      <c r="H50" s="464">
        <f t="shared" ca="1" si="5"/>
        <v>9.3427146063495268E-4</v>
      </c>
      <c r="I50" s="464">
        <f t="shared" ca="1" si="6"/>
        <v>1.4684260533606142E-3</v>
      </c>
      <c r="J50" s="464">
        <f t="shared" ca="1" si="7"/>
        <v>1919.8348117538424</v>
      </c>
      <c r="K50" s="471">
        <f t="shared" ca="1" si="8"/>
        <v>559.24790560645113</v>
      </c>
      <c r="L50" s="474">
        <f t="shared" ca="1" si="9"/>
        <v>3236.6715266317624</v>
      </c>
      <c r="M50" s="477">
        <f t="shared" ca="1" si="10"/>
        <v>16.558431169977993</v>
      </c>
    </row>
    <row r="51" spans="2:13" x14ac:dyDescent="0.25">
      <c r="B51" s="490">
        <f t="shared" si="11"/>
        <v>100</v>
      </c>
      <c r="C51" s="465">
        <f t="shared" si="1"/>
        <v>2.4052818754046858E-3</v>
      </c>
      <c r="D51" s="462">
        <f ca="1">MpropuPlein+0.25*MasseSans</f>
        <v>5.5110000000000001</v>
      </c>
      <c r="E51" s="462">
        <f t="shared" ca="1" si="2"/>
        <v>4.5745000000000005</v>
      </c>
      <c r="F51" s="462">
        <f t="shared" ca="1" si="3"/>
        <v>3.6379999999999999</v>
      </c>
      <c r="G51" s="469">
        <f t="shared" ca="1" si="4"/>
        <v>164.8402817084301</v>
      </c>
      <c r="H51" s="465">
        <f t="shared" ca="1" si="5"/>
        <v>5.2580213693402241E-4</v>
      </c>
      <c r="I51" s="465">
        <f t="shared" ca="1" si="6"/>
        <v>6.6115499598809393E-4</v>
      </c>
      <c r="J51" s="465">
        <f t="shared" ca="1" si="7"/>
        <v>1419.3396986214289</v>
      </c>
      <c r="K51" s="472">
        <f t="shared" ca="1" si="8"/>
        <v>492.98064867788429</v>
      </c>
      <c r="L51" s="475">
        <f t="shared" ca="1" si="9"/>
        <v>3578.6495445148685</v>
      </c>
      <c r="M51" s="478">
        <f t="shared" ca="1" si="10"/>
        <v>21.176616253428037</v>
      </c>
    </row>
    <row r="52" spans="2:13" x14ac:dyDescent="0.25">
      <c r="B52" s="490">
        <f t="shared" si="11"/>
        <v>100</v>
      </c>
      <c r="C52" s="465">
        <f t="shared" si="1"/>
        <v>2.4052818754046858E-3</v>
      </c>
      <c r="D52" s="462">
        <f ca="1">MpropuPlein+0.5*MasseSans</f>
        <v>7.5110000000000001</v>
      </c>
      <c r="E52" s="462">
        <f t="shared" ca="1" si="2"/>
        <v>6.5745000000000005</v>
      </c>
      <c r="F52" s="462">
        <f t="shared" ca="1" si="3"/>
        <v>5.6379999999999999</v>
      </c>
      <c r="G52" s="469">
        <f t="shared" ca="1" si="4"/>
        <v>111.71068045862248</v>
      </c>
      <c r="H52" s="465">
        <f t="shared" ca="1" si="5"/>
        <v>3.6585015976951639E-4</v>
      </c>
      <c r="I52" s="465">
        <f t="shared" ca="1" si="6"/>
        <v>4.2661970120693257E-4</v>
      </c>
      <c r="J52" s="465">
        <f t="shared" ca="1" si="7"/>
        <v>1075.2226759350788</v>
      </c>
      <c r="K52" s="472">
        <f t="shared" ca="1" si="8"/>
        <v>407.81565273131088</v>
      </c>
      <c r="L52" s="475">
        <f t="shared" ca="1" si="9"/>
        <v>3545.9389424582055</v>
      </c>
      <c r="M52" s="478">
        <f t="shared" ca="1" si="10"/>
        <v>23.458074026083061</v>
      </c>
    </row>
    <row r="53" spans="2:13" x14ac:dyDescent="0.25">
      <c r="B53" s="490">
        <f t="shared" si="11"/>
        <v>100</v>
      </c>
      <c r="C53" s="465">
        <f t="shared" si="1"/>
        <v>2.4052818754046858E-3</v>
      </c>
      <c r="D53" s="462">
        <f ca="1">MpropuPlein+0.75*MasseSans</f>
        <v>9.5109999999999992</v>
      </c>
      <c r="E53" s="462">
        <f t="shared" ca="1" si="2"/>
        <v>8.5744999999999987</v>
      </c>
      <c r="F53" s="462">
        <f t="shared" ca="1" si="3"/>
        <v>7.637999999999999</v>
      </c>
      <c r="G53" s="469">
        <f t="shared" ca="1" si="4"/>
        <v>83.366011857859192</v>
      </c>
      <c r="H53" s="465">
        <f t="shared" ca="1" si="5"/>
        <v>2.8051570067113955E-4</v>
      </c>
      <c r="I53" s="465">
        <f t="shared" ca="1" si="6"/>
        <v>3.1490990775133362E-4</v>
      </c>
      <c r="J53" s="465">
        <f t="shared" ca="1" si="7"/>
        <v>844.24624096757827</v>
      </c>
      <c r="K53" s="472">
        <f t="shared" ca="1" si="8"/>
        <v>334.84541737763595</v>
      </c>
      <c r="L53" s="475">
        <f t="shared" ca="1" si="9"/>
        <v>3266.9748365435066</v>
      </c>
      <c r="M53" s="478">
        <f t="shared" ca="1" si="10"/>
        <v>24.213607809020647</v>
      </c>
    </row>
    <row r="54" spans="2:13" x14ac:dyDescent="0.25">
      <c r="B54" s="490">
        <f t="shared" si="11"/>
        <v>100</v>
      </c>
      <c r="C54" s="465">
        <f t="shared" si="1"/>
        <v>2.4052818754046858E-3</v>
      </c>
      <c r="D54" s="462">
        <f ca="1">MpropuPlein+1*MasseSans</f>
        <v>11.510999999999999</v>
      </c>
      <c r="E54" s="462">
        <f t="shared" ca="1" si="2"/>
        <v>10.574499999999999</v>
      </c>
      <c r="F54" s="462">
        <f t="shared" ca="1" si="3"/>
        <v>9.6379999999999981</v>
      </c>
      <c r="G54" s="469">
        <f t="shared" ca="1" si="4"/>
        <v>65.743237852873762</v>
      </c>
      <c r="H54" s="465">
        <f t="shared" ca="1" si="5"/>
        <v>2.2746057737053156E-4</v>
      </c>
      <c r="I54" s="465">
        <f t="shared" ca="1" si="6"/>
        <v>2.4956234440803968E-4</v>
      </c>
      <c r="J54" s="465">
        <f t="shared" ca="1" si="7"/>
        <v>683.78970060572044</v>
      </c>
      <c r="K54" s="472">
        <f t="shared" ca="1" si="8"/>
        <v>277.97298079788806</v>
      </c>
      <c r="L54" s="475">
        <f t="shared" ca="1" si="9"/>
        <v>2861.8226328928922</v>
      </c>
      <c r="M54" s="478">
        <f t="shared" ca="1" si="10"/>
        <v>23.904832608223664</v>
      </c>
    </row>
    <row r="55" spans="2:13" x14ac:dyDescent="0.25">
      <c r="B55" s="490">
        <f t="shared" si="11"/>
        <v>100</v>
      </c>
      <c r="C55" s="465">
        <f t="shared" si="1"/>
        <v>2.4052818754046858E-3</v>
      </c>
      <c r="D55" s="462">
        <f ca="1">MpropuPlein+1.25*MasseSans</f>
        <v>13.510999999999999</v>
      </c>
      <c r="E55" s="462">
        <f t="shared" ca="1" si="2"/>
        <v>12.574499999999999</v>
      </c>
      <c r="F55" s="462">
        <f t="shared" ca="1" si="3"/>
        <v>11.637999999999998</v>
      </c>
      <c r="G55" s="469">
        <f t="shared" ca="1" si="4"/>
        <v>53.726340504609617</v>
      </c>
      <c r="H55" s="465">
        <f t="shared" ca="1" si="5"/>
        <v>1.9128250629485752E-4</v>
      </c>
      <c r="I55" s="465">
        <f t="shared" ca="1" si="6"/>
        <v>2.0667484751715813E-4</v>
      </c>
      <c r="J55" s="465">
        <f t="shared" ca="1" si="7"/>
        <v>567.53586466570084</v>
      </c>
      <c r="K55" s="472">
        <f t="shared" ca="1" si="8"/>
        <v>234.1306125840905</v>
      </c>
      <c r="L55" s="475">
        <f t="shared" ca="1" si="9"/>
        <v>2424.8803295095827</v>
      </c>
      <c r="M55" s="478">
        <f t="shared" ca="1" si="10"/>
        <v>22.921391273968332</v>
      </c>
    </row>
    <row r="56" spans="2:13" x14ac:dyDescent="0.25">
      <c r="B56" s="490">
        <f t="shared" si="11"/>
        <v>100</v>
      </c>
      <c r="C56" s="465">
        <f t="shared" si="1"/>
        <v>2.4052818754046858E-3</v>
      </c>
      <c r="D56" s="462">
        <f ca="1">MpropuPlein+1.5*MasseSans</f>
        <v>15.510999999999999</v>
      </c>
      <c r="E56" s="462">
        <f t="shared" ca="1" si="2"/>
        <v>14.574499999999999</v>
      </c>
      <c r="F56" s="462">
        <f t="shared" ca="1" si="3"/>
        <v>13.637999999999998</v>
      </c>
      <c r="G56" s="469">
        <f t="shared" ca="1" si="4"/>
        <v>45.007504111647989</v>
      </c>
      <c r="H56" s="465">
        <f t="shared" ca="1" si="5"/>
        <v>1.6503357750898392E-4</v>
      </c>
      <c r="I56" s="465">
        <f t="shared" ca="1" si="6"/>
        <v>1.7636617358884633E-4</v>
      </c>
      <c r="J56" s="465">
        <f t="shared" ca="1" si="7"/>
        <v>480.07451339318794</v>
      </c>
      <c r="K56" s="472">
        <f t="shared" ca="1" si="8"/>
        <v>199.91007687162974</v>
      </c>
      <c r="L56" s="475">
        <f t="shared" ca="1" si="9"/>
        <v>2015.0659066120447</v>
      </c>
      <c r="M56" s="478">
        <f t="shared" ca="1" si="10"/>
        <v>21.583873250708816</v>
      </c>
    </row>
    <row r="57" spans="2:13" x14ac:dyDescent="0.25">
      <c r="B57" s="490">
        <f t="shared" si="11"/>
        <v>100</v>
      </c>
      <c r="C57" s="465">
        <f t="shared" si="1"/>
        <v>2.4052818754046858E-3</v>
      </c>
      <c r="D57" s="462">
        <f ca="1">MpropuPlein+1.75*MasseSans</f>
        <v>17.510999999999999</v>
      </c>
      <c r="E57" s="462">
        <f t="shared" ca="1" si="2"/>
        <v>16.5745</v>
      </c>
      <c r="F57" s="462">
        <f t="shared" ca="1" si="3"/>
        <v>15.637999999999998</v>
      </c>
      <c r="G57" s="469">
        <f t="shared" ca="1" si="4"/>
        <v>38.392824439664153</v>
      </c>
      <c r="H57" s="465">
        <f t="shared" ca="1" si="5"/>
        <v>1.451194229331012E-4</v>
      </c>
      <c r="I57" s="465">
        <f t="shared" ca="1" si="6"/>
        <v>1.5381007004762028E-4</v>
      </c>
      <c r="J57" s="465">
        <f t="shared" ca="1" si="7"/>
        <v>412.1646354761383</v>
      </c>
      <c r="K57" s="472">
        <f t="shared" ca="1" si="8"/>
        <v>172.70965088348086</v>
      </c>
      <c r="L57" s="475">
        <f t="shared" ca="1" si="9"/>
        <v>1659.4270956838932</v>
      </c>
      <c r="M57" s="478">
        <f t="shared" ca="1" si="10"/>
        <v>20.121642761940628</v>
      </c>
    </row>
    <row r="58" spans="2:13" x14ac:dyDescent="0.25">
      <c r="B58" s="491">
        <f t="shared" si="11"/>
        <v>100</v>
      </c>
      <c r="C58" s="466">
        <f t="shared" si="1"/>
        <v>2.4052818754046858E-3</v>
      </c>
      <c r="D58" s="463">
        <f ca="1">MpropuPlein+2*MasseSans</f>
        <v>19.510999999999999</v>
      </c>
      <c r="E58" s="463">
        <f t="shared" ca="1" si="2"/>
        <v>18.5745</v>
      </c>
      <c r="F58" s="463">
        <f t="shared" ca="1" si="3"/>
        <v>17.637999999999998</v>
      </c>
      <c r="G58" s="470">
        <f t="shared" ca="1" si="4"/>
        <v>33.202609420184309</v>
      </c>
      <c r="H58" s="466">
        <f t="shared" ca="1" si="5"/>
        <v>1.2949376163044421E-4</v>
      </c>
      <c r="I58" s="466">
        <f t="shared" ca="1" si="6"/>
        <v>1.363693091849805E-4</v>
      </c>
      <c r="J58" s="466">
        <f t="shared" ca="1" si="7"/>
        <v>358.0409140848958</v>
      </c>
      <c r="K58" s="473">
        <f t="shared" ca="1" si="8"/>
        <v>150.68755908170158</v>
      </c>
      <c r="L58" s="476">
        <f t="shared" ca="1" si="9"/>
        <v>1363.8720025522668</v>
      </c>
      <c r="M58" s="479">
        <f t="shared" ca="1" si="10"/>
        <v>18.674988346042039</v>
      </c>
    </row>
    <row r="59" spans="2:13" x14ac:dyDescent="0.25">
      <c r="B59" s="489">
        <f t="shared" ref="B59:B67" si="12">D_ref*1.5</f>
        <v>150</v>
      </c>
      <c r="C59" s="464">
        <f t="shared" si="1"/>
        <v>5.4118842196605428E-3</v>
      </c>
      <c r="D59" s="461">
        <f ca="1">MpropuPlein+0*MasseSans</f>
        <v>3.5110000000000001</v>
      </c>
      <c r="E59" s="461">
        <f t="shared" ca="1" si="2"/>
        <v>2.5745</v>
      </c>
      <c r="F59" s="461">
        <f t="shared" ca="1" si="3"/>
        <v>1.6379999999999999</v>
      </c>
      <c r="G59" s="468">
        <f t="shared" ca="1" si="4"/>
        <v>300.51733100610352</v>
      </c>
      <c r="H59" s="464">
        <f t="shared" ca="1" si="5"/>
        <v>2.1021107864286435E-3</v>
      </c>
      <c r="I59" s="464">
        <f t="shared" ca="1" si="6"/>
        <v>3.3039586200613816E-3</v>
      </c>
      <c r="J59" s="464">
        <f t="shared" ca="1" si="7"/>
        <v>1440.049964773531</v>
      </c>
      <c r="K59" s="471">
        <f t="shared" ca="1" si="8"/>
        <v>377.65613998433196</v>
      </c>
      <c r="L59" s="474">
        <f t="shared" ca="1" si="9"/>
        <v>2029.1215603003384</v>
      </c>
      <c r="M59" s="477">
        <f t="shared" ca="1" si="10"/>
        <v>12.609110000633915</v>
      </c>
    </row>
    <row r="60" spans="2:13" x14ac:dyDescent="0.25">
      <c r="B60" s="490">
        <f t="shared" si="12"/>
        <v>150</v>
      </c>
      <c r="C60" s="465">
        <f t="shared" si="1"/>
        <v>5.4118842196605428E-3</v>
      </c>
      <c r="D60" s="462">
        <f ca="1">MpropuPlein+0.25*MasseSans</f>
        <v>5.5110000000000001</v>
      </c>
      <c r="E60" s="462">
        <f t="shared" ca="1" si="2"/>
        <v>4.5745000000000005</v>
      </c>
      <c r="F60" s="462">
        <f t="shared" ca="1" si="3"/>
        <v>3.6379999999999999</v>
      </c>
      <c r="G60" s="469">
        <f t="shared" ca="1" si="4"/>
        <v>164.8402817084301</v>
      </c>
      <c r="H60" s="465">
        <f t="shared" ca="1" si="5"/>
        <v>1.1830548081015503E-3</v>
      </c>
      <c r="I60" s="465">
        <f t="shared" ca="1" si="6"/>
        <v>1.4875987409732113E-3</v>
      </c>
      <c r="J60" s="465">
        <f t="shared" ca="1" si="7"/>
        <v>1174.4727439628425</v>
      </c>
      <c r="K60" s="472">
        <f t="shared" ca="1" si="8"/>
        <v>361.49840668041907</v>
      </c>
      <c r="L60" s="475">
        <f t="shared" ca="1" si="9"/>
        <v>2194.8257452628814</v>
      </c>
      <c r="M60" s="478">
        <f t="shared" ca="1" si="10"/>
        <v>15.853782654751454</v>
      </c>
    </row>
    <row r="61" spans="2:13" x14ac:dyDescent="0.25">
      <c r="B61" s="490">
        <f t="shared" si="12"/>
        <v>150</v>
      </c>
      <c r="C61" s="465">
        <f t="shared" si="1"/>
        <v>5.4118842196605428E-3</v>
      </c>
      <c r="D61" s="462">
        <f ca="1">MpropuPlein+0.5*MasseSans</f>
        <v>7.5110000000000001</v>
      </c>
      <c r="E61" s="462">
        <f t="shared" ca="1" si="2"/>
        <v>6.5745000000000005</v>
      </c>
      <c r="F61" s="462">
        <f t="shared" ca="1" si="3"/>
        <v>5.6379999999999999</v>
      </c>
      <c r="G61" s="469">
        <f t="shared" ca="1" si="4"/>
        <v>111.71068045862248</v>
      </c>
      <c r="H61" s="465">
        <f t="shared" ca="1" si="5"/>
        <v>8.2316285948141193E-4</v>
      </c>
      <c r="I61" s="465">
        <f t="shared" ca="1" si="6"/>
        <v>9.5989432771559824E-4</v>
      </c>
      <c r="J61" s="465">
        <f t="shared" ca="1" si="7"/>
        <v>951.08997290503498</v>
      </c>
      <c r="K61" s="472">
        <f t="shared" ca="1" si="8"/>
        <v>327.65339171775878</v>
      </c>
      <c r="L61" s="475">
        <f t="shared" ca="1" si="9"/>
        <v>2223.4987093156037</v>
      </c>
      <c r="M61" s="478">
        <f t="shared" ca="1" si="10"/>
        <v>17.78324361520388</v>
      </c>
    </row>
    <row r="62" spans="2:13" x14ac:dyDescent="0.25">
      <c r="B62" s="490">
        <f t="shared" si="12"/>
        <v>150</v>
      </c>
      <c r="C62" s="465">
        <f t="shared" si="1"/>
        <v>5.4118842196605428E-3</v>
      </c>
      <c r="D62" s="462">
        <f ca="1">MpropuPlein+0.75*MasseSans</f>
        <v>9.5109999999999992</v>
      </c>
      <c r="E62" s="462">
        <f t="shared" ca="1" si="2"/>
        <v>8.5744999999999987</v>
      </c>
      <c r="F62" s="462">
        <f t="shared" ca="1" si="3"/>
        <v>7.637999999999999</v>
      </c>
      <c r="G62" s="469">
        <f t="shared" ca="1" si="4"/>
        <v>83.366011857859192</v>
      </c>
      <c r="H62" s="465">
        <f t="shared" ca="1" si="5"/>
        <v>6.3116032651006396E-4</v>
      </c>
      <c r="I62" s="465">
        <f t="shared" ca="1" si="6"/>
        <v>7.0854729244050054E-4</v>
      </c>
      <c r="J62" s="465">
        <f t="shared" ca="1" si="7"/>
        <v>777.72124296341963</v>
      </c>
      <c r="K62" s="472">
        <f t="shared" ca="1" si="8"/>
        <v>287.39712182341555</v>
      </c>
      <c r="L62" s="475">
        <f t="shared" ca="1" si="9"/>
        <v>2147.4283488300634</v>
      </c>
      <c r="M62" s="478">
        <f t="shared" ca="1" si="10"/>
        <v>18.859825040827445</v>
      </c>
    </row>
    <row r="63" spans="2:13" x14ac:dyDescent="0.25">
      <c r="B63" s="490">
        <f t="shared" si="12"/>
        <v>150</v>
      </c>
      <c r="C63" s="465">
        <f t="shared" si="1"/>
        <v>5.4118842196605428E-3</v>
      </c>
      <c r="D63" s="462">
        <f ca="1">MpropuPlein+1*MasseSans</f>
        <v>11.510999999999999</v>
      </c>
      <c r="E63" s="462">
        <f t="shared" ca="1" si="2"/>
        <v>10.574499999999999</v>
      </c>
      <c r="F63" s="462">
        <f t="shared" ca="1" si="3"/>
        <v>9.6379999999999981</v>
      </c>
      <c r="G63" s="469">
        <f t="shared" ca="1" si="4"/>
        <v>65.743237852873762</v>
      </c>
      <c r="H63" s="465">
        <f t="shared" ca="1" si="5"/>
        <v>5.1178629908369604E-4</v>
      </c>
      <c r="I63" s="465">
        <f t="shared" ca="1" si="6"/>
        <v>5.6151527491808922E-4</v>
      </c>
      <c r="J63" s="465">
        <f t="shared" ca="1" si="7"/>
        <v>645.77335382844683</v>
      </c>
      <c r="K63" s="472">
        <f t="shared" ca="1" si="8"/>
        <v>249.26007158486863</v>
      </c>
      <c r="L63" s="475">
        <f t="shared" ca="1" si="9"/>
        <v>1996.1464023275007</v>
      </c>
      <c r="M63" s="478">
        <f t="shared" ca="1" si="10"/>
        <v>19.274952009454722</v>
      </c>
    </row>
    <row r="64" spans="2:13" x14ac:dyDescent="0.25">
      <c r="B64" s="490">
        <f t="shared" si="12"/>
        <v>150</v>
      </c>
      <c r="C64" s="465">
        <f t="shared" si="1"/>
        <v>5.4118842196605428E-3</v>
      </c>
      <c r="D64" s="462">
        <f ca="1">MpropuPlein+1.25*MasseSans</f>
        <v>13.510999999999999</v>
      </c>
      <c r="E64" s="462">
        <f t="shared" ca="1" si="2"/>
        <v>12.574499999999999</v>
      </c>
      <c r="F64" s="462">
        <f t="shared" ca="1" si="3"/>
        <v>11.637999999999998</v>
      </c>
      <c r="G64" s="469">
        <f t="shared" ca="1" si="4"/>
        <v>53.726340504609617</v>
      </c>
      <c r="H64" s="465">
        <f t="shared" ca="1" si="5"/>
        <v>4.3038563916342941E-4</v>
      </c>
      <c r="I64" s="465">
        <f t="shared" ca="1" si="6"/>
        <v>4.6501840691360577E-4</v>
      </c>
      <c r="J64" s="465">
        <f t="shared" ca="1" si="7"/>
        <v>544.52538519139171</v>
      </c>
      <c r="K64" s="472">
        <f t="shared" ca="1" si="8"/>
        <v>216.128503854586</v>
      </c>
      <c r="L64" s="475">
        <f t="shared" ca="1" si="9"/>
        <v>1799.9507351416</v>
      </c>
      <c r="M64" s="478">
        <f t="shared" ca="1" si="10"/>
        <v>19.176179833452551</v>
      </c>
    </row>
    <row r="65" spans="2:13" x14ac:dyDescent="0.25">
      <c r="B65" s="490">
        <f t="shared" si="12"/>
        <v>150</v>
      </c>
      <c r="C65" s="465">
        <f t="shared" si="1"/>
        <v>5.4118842196605428E-3</v>
      </c>
      <c r="D65" s="462">
        <f ca="1">MpropuPlein+1.5*MasseSans</f>
        <v>15.510999999999999</v>
      </c>
      <c r="E65" s="462">
        <f t="shared" ca="1" si="2"/>
        <v>14.574499999999999</v>
      </c>
      <c r="F65" s="462">
        <f t="shared" ca="1" si="3"/>
        <v>13.637999999999998</v>
      </c>
      <c r="G65" s="469">
        <f t="shared" ca="1" si="4"/>
        <v>45.007504111647989</v>
      </c>
      <c r="H65" s="465">
        <f t="shared" ca="1" si="5"/>
        <v>3.7132554939521377E-4</v>
      </c>
      <c r="I65" s="465">
        <f t="shared" ca="1" si="6"/>
        <v>3.9682389057490422E-4</v>
      </c>
      <c r="J65" s="465">
        <f t="shared" ca="1" si="7"/>
        <v>465.46006718402828</v>
      </c>
      <c r="K65" s="472">
        <f t="shared" ca="1" si="8"/>
        <v>188.21212882666285</v>
      </c>
      <c r="L65" s="475">
        <f t="shared" ca="1" si="9"/>
        <v>1585.7240107994619</v>
      </c>
      <c r="M65" s="478">
        <f t="shared" ca="1" si="10"/>
        <v>18.701635626541922</v>
      </c>
    </row>
    <row r="66" spans="2:13" x14ac:dyDescent="0.25">
      <c r="B66" s="490">
        <f t="shared" si="12"/>
        <v>150</v>
      </c>
      <c r="C66" s="465">
        <f t="shared" si="1"/>
        <v>5.4118842196605428E-3</v>
      </c>
      <c r="D66" s="462">
        <f ca="1">MpropuPlein+1.75*MasseSans</f>
        <v>17.510999999999999</v>
      </c>
      <c r="E66" s="462">
        <f t="shared" ca="1" si="2"/>
        <v>16.5745</v>
      </c>
      <c r="F66" s="462">
        <f t="shared" ca="1" si="3"/>
        <v>15.637999999999998</v>
      </c>
      <c r="G66" s="469">
        <f t="shared" ca="1" si="4"/>
        <v>38.392824439664153</v>
      </c>
      <c r="H66" s="465">
        <f t="shared" ca="1" si="5"/>
        <v>3.2651870159947766E-4</v>
      </c>
      <c r="I66" s="465">
        <f t="shared" ca="1" si="6"/>
        <v>3.4607265760714566E-4</v>
      </c>
      <c r="J66" s="465">
        <f t="shared" ca="1" si="7"/>
        <v>402.50814584834188</v>
      </c>
      <c r="K66" s="472">
        <f t="shared" ca="1" si="8"/>
        <v>164.85922197422249</v>
      </c>
      <c r="L66" s="475">
        <f t="shared" ca="1" si="9"/>
        <v>1373.8769608837258</v>
      </c>
      <c r="M66" s="478">
        <f t="shared" ca="1" si="10"/>
        <v>17.978898527111937</v>
      </c>
    </row>
    <row r="67" spans="2:13" x14ac:dyDescent="0.25">
      <c r="B67" s="491">
        <f t="shared" si="12"/>
        <v>150</v>
      </c>
      <c r="C67" s="466">
        <f t="shared" si="1"/>
        <v>5.4118842196605428E-3</v>
      </c>
      <c r="D67" s="463">
        <f ca="1">MpropuPlein+2*MasseSans</f>
        <v>19.510999999999999</v>
      </c>
      <c r="E67" s="463">
        <f t="shared" ca="1" si="2"/>
        <v>18.5745</v>
      </c>
      <c r="F67" s="463">
        <f t="shared" ca="1" si="3"/>
        <v>17.637999999999998</v>
      </c>
      <c r="G67" s="470">
        <f t="shared" ca="1" si="4"/>
        <v>33.202609420184309</v>
      </c>
      <c r="H67" s="466">
        <f t="shared" ca="1" si="5"/>
        <v>2.9136096366849944E-4</v>
      </c>
      <c r="I67" s="466">
        <f t="shared" ca="1" si="6"/>
        <v>3.0683094566620611E-4</v>
      </c>
      <c r="J67" s="466">
        <f t="shared" ca="1" si="7"/>
        <v>351.44986731227885</v>
      </c>
      <c r="K67" s="473">
        <f t="shared" ca="1" si="8"/>
        <v>145.27020112807938</v>
      </c>
      <c r="L67" s="476">
        <f t="shared" ca="1" si="9"/>
        <v>1177.3991092676665</v>
      </c>
      <c r="M67" s="479">
        <f t="shared" ca="1" si="10"/>
        <v>17.115952285861361</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10:D10"/>
    <mergeCell ref="C12:D12"/>
    <mergeCell ref="C14:D14"/>
    <mergeCell ref="C15:D15"/>
    <mergeCell ref="C16:D16"/>
    <mergeCell ref="C11:D11"/>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35" t="s">
        <v>179</v>
      </c>
      <c r="D2" s="735"/>
    </row>
    <row r="3" spans="3:8" x14ac:dyDescent="0.25">
      <c r="C3" s="735"/>
      <c r="D3" s="735"/>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Orignal (Pro75-3G C)</v>
      </c>
      <c r="F5" s="81"/>
      <c r="G5" s="81" t="s">
        <v>461</v>
      </c>
      <c r="H5" s="81">
        <f>MasseSans</f>
        <v>8</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3.1101767270538949</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8</v>
      </c>
      <c r="F11" s="610" t="s">
        <v>124</v>
      </c>
      <c r="G11" s="610" t="s">
        <v>126</v>
      </c>
      <c r="H11" s="773">
        <f ca="1">Vsortie_de_rampe</f>
        <v>25.506964236345102</v>
      </c>
      <c r="I11" s="774"/>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75">
        <f>Finesse</f>
        <v>17.55</v>
      </c>
      <c r="I12" s="776"/>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75">
        <f>Cn</f>
        <v>22.203078547045632</v>
      </c>
      <c r="I13" s="776"/>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2.784282013025106</v>
      </c>
      <c r="I14" s="612">
        <f ca="1">MS_max</f>
        <v>3.3407305495161586</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61.819632232322761</v>
      </c>
      <c r="I15" s="612">
        <f ca="1">MS_Cn_max</f>
        <v>74.174502795422185</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7.0450225005735021</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75">
        <f>T_para</f>
        <v>21</v>
      </c>
      <c r="I17" s="776"/>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1269</v>
      </c>
      <c r="F18" s="608" t="s">
        <v>131</v>
      </c>
      <c r="G18" s="608" t="s">
        <v>429</v>
      </c>
      <c r="H18" s="779">
        <f ca="1">T_para-Combustion-Depotage</f>
        <v>21</v>
      </c>
      <c r="I18" s="780"/>
      <c r="J18" s="81"/>
      <c r="K18" s="81"/>
      <c r="L18" s="81"/>
      <c r="M18" s="81"/>
      <c r="N18" s="97"/>
      <c r="O18" s="81"/>
      <c r="P18" s="499"/>
      <c r="Q18" s="505"/>
      <c r="R18" s="499"/>
      <c r="S18" s="499"/>
    </row>
    <row r="19" spans="2:21" x14ac:dyDescent="0.25">
      <c r="B19" s="96"/>
      <c r="C19" s="642"/>
      <c r="D19" s="317"/>
      <c r="E19" s="319"/>
      <c r="F19" s="615" t="s">
        <v>133</v>
      </c>
      <c r="G19" s="613" t="s">
        <v>428</v>
      </c>
      <c r="H19" s="781">
        <f ca="1">Portee_balistique</f>
        <v>1781.6275394582099</v>
      </c>
      <c r="I19" s="782"/>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1100</v>
      </c>
      <c r="E23" s="631" t="s">
        <v>39</v>
      </c>
      <c r="F23" s="636">
        <f>m_ail</f>
        <v>250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1755</v>
      </c>
      <c r="E24" s="631" t="s">
        <v>445</v>
      </c>
      <c r="F24" s="636">
        <f>n_ail</f>
        <v>120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1755</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160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1755</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78" t="s">
        <v>142</v>
      </c>
      <c r="D29" s="778" t="s">
        <v>134</v>
      </c>
      <c r="E29" s="778" t="s">
        <v>135</v>
      </c>
      <c r="F29" s="778"/>
      <c r="G29" s="778"/>
      <c r="H29" s="777" t="s">
        <v>136</v>
      </c>
      <c r="I29" s="777"/>
      <c r="J29" s="777"/>
      <c r="K29" s="777"/>
      <c r="L29" s="778" t="s">
        <v>137</v>
      </c>
      <c r="M29" s="778" t="s">
        <v>138</v>
      </c>
      <c r="N29" s="97"/>
      <c r="O29" s="620" t="s">
        <v>432</v>
      </c>
      <c r="P29" s="511">
        <f>n_ail</f>
        <v>120</v>
      </c>
      <c r="Q29" s="2"/>
      <c r="R29" s="499"/>
      <c r="S29" s="499"/>
      <c r="T29" s="499"/>
      <c r="U29" s="609" t="s">
        <v>436</v>
      </c>
    </row>
    <row r="30" spans="2:21" ht="13.8" thickBot="1" x14ac:dyDescent="0.3">
      <c r="B30" s="96"/>
      <c r="C30" s="778"/>
      <c r="D30" s="778"/>
      <c r="E30" s="778"/>
      <c r="F30" s="778"/>
      <c r="G30" s="778"/>
      <c r="H30" s="777" t="s">
        <v>139</v>
      </c>
      <c r="I30" s="777"/>
      <c r="J30" s="91" t="s">
        <v>140</v>
      </c>
      <c r="K30" s="92" t="s">
        <v>141</v>
      </c>
      <c r="L30" s="778"/>
      <c r="M30" s="778"/>
      <c r="N30" s="97"/>
      <c r="P30" s="512"/>
      <c r="R30" s="499"/>
      <c r="S30" s="499"/>
      <c r="T30" s="619" t="s">
        <v>434</v>
      </c>
      <c r="U30" s="625">
        <f>[0]!p_can</f>
        <v>40</v>
      </c>
    </row>
    <row r="31" spans="2:21" ht="13.8" thickBot="1" x14ac:dyDescent="0.3">
      <c r="B31" s="96"/>
      <c r="C31" s="107">
        <f>Beta_rampe</f>
        <v>80</v>
      </c>
      <c r="D31" s="108">
        <f ca="1">Portee_balistique</f>
        <v>1781.6275394582099</v>
      </c>
      <c r="E31" s="783">
        <f ca="1">T_para+Dt_para</f>
        <v>401.70785602583129</v>
      </c>
      <c r="F31" s="783"/>
      <c r="G31" s="783"/>
      <c r="H31" s="784">
        <f ca="1">Altitude_culmi</f>
        <v>2700.4335922476339</v>
      </c>
      <c r="I31" s="784"/>
      <c r="J31" s="109">
        <f ca="1">Temps_culmi</f>
        <v>22.899999999999995</v>
      </c>
      <c r="K31" s="110">
        <f ca="1">Vit_culmi</f>
        <v>37.758352365630969</v>
      </c>
      <c r="L31" s="108">
        <f ca="1">Acc_max</f>
        <v>101.86137509858887</v>
      </c>
      <c r="M31" s="110">
        <f ca="1">Vit_max</f>
        <v>270.96071788369483</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160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8</v>
      </c>
      <c r="I41" s="8">
        <f ca="1">MasseVide</f>
        <v>9.6379999999999999</v>
      </c>
      <c r="J41" s="288">
        <f ca="1">MassePlein</f>
        <v>11.510999999999999</v>
      </c>
      <c r="K41" s="81"/>
      <c r="L41" s="81"/>
      <c r="M41" s="81"/>
      <c r="N41" s="97"/>
    </row>
    <row r="42" spans="2:21" x14ac:dyDescent="0.25">
      <c r="B42" s="96"/>
      <c r="C42" s="81"/>
      <c r="D42" s="324" t="s">
        <v>151</v>
      </c>
      <c r="E42" s="8">
        <f>X_ail-m_ail</f>
        <v>1505</v>
      </c>
      <c r="F42" s="299"/>
      <c r="G42" s="299" t="s">
        <v>219</v>
      </c>
      <c r="H42" s="311">
        <f>XcgSans</f>
        <v>1100</v>
      </c>
      <c r="I42" s="311">
        <f ca="1">XcgVide</f>
        <v>1170.0203361693295</v>
      </c>
      <c r="J42" s="289">
        <f ca="1">XcgPlein</f>
        <v>1225.6651898184348</v>
      </c>
      <c r="K42" s="81"/>
      <c r="L42" s="81"/>
      <c r="M42" s="81"/>
      <c r="N42" s="97"/>
    </row>
    <row r="43" spans="2:21" x14ac:dyDescent="0.25">
      <c r="B43" s="96"/>
      <c r="C43" s="81"/>
      <c r="D43" s="324" t="str">
        <f>IF(Lang="Français","Emplanture 'm'",IF(Lang="English","Root edge  'm'",""))</f>
        <v>Emplanture 'm'</v>
      </c>
      <c r="E43" s="288">
        <f>m_ail</f>
        <v>250</v>
      </c>
      <c r="F43" s="81"/>
      <c r="G43" s="81"/>
      <c r="H43" s="81"/>
      <c r="I43" s="81"/>
      <c r="J43" s="81"/>
      <c r="K43" s="81"/>
      <c r="L43" s="81"/>
      <c r="M43" s="81"/>
      <c r="N43" s="97"/>
    </row>
    <row r="44" spans="2:21" x14ac:dyDescent="0.25">
      <c r="B44" s="96"/>
      <c r="C44" s="81"/>
      <c r="D44" s="324" t="str">
        <f>IF(Lang="Français","Saumon      'n'",IF(Lang="English","Tip edge    'n'",""))</f>
        <v>Saumon      'n'</v>
      </c>
      <c r="E44" s="288">
        <f>n_ail</f>
        <v>120</v>
      </c>
      <c r="F44" s="290" t="s">
        <v>203</v>
      </c>
      <c r="G44" s="290" t="s">
        <v>208</v>
      </c>
      <c r="H44" s="791">
        <f ca="1">Vsortie_de_rampe</f>
        <v>25.506964236345102</v>
      </c>
      <c r="I44" s="792"/>
      <c r="J44" s="81"/>
      <c r="K44" s="81"/>
      <c r="L44" s="81"/>
      <c r="M44" s="81"/>
      <c r="N44" s="97"/>
    </row>
    <row r="45" spans="2:21" x14ac:dyDescent="0.25">
      <c r="B45" s="96"/>
      <c r="C45" s="81"/>
      <c r="D45" s="324" t="str">
        <f>IF(Lang="Français","Flèche        'p'",IF(Lang="English","Offset         'p'",""))</f>
        <v>Flèche        'p'</v>
      </c>
      <c r="E45" s="288">
        <f>p_ail</f>
        <v>200</v>
      </c>
      <c r="F45" s="8" t="s">
        <v>204</v>
      </c>
      <c r="G45" s="8" t="s">
        <v>209</v>
      </c>
      <c r="H45" s="793">
        <f>Finesse</f>
        <v>17.55</v>
      </c>
      <c r="I45" s="794"/>
      <c r="J45" s="81"/>
      <c r="K45" s="81"/>
      <c r="L45" s="81"/>
      <c r="M45" s="81"/>
      <c r="N45" s="97"/>
    </row>
    <row r="46" spans="2:21" x14ac:dyDescent="0.25">
      <c r="B46" s="96"/>
      <c r="C46" s="81"/>
      <c r="D46" s="324" t="str">
        <f>IF(Lang="Français","Envergure   'E'",IF(Lang="English","Span          'E'",""))</f>
        <v>Envergure   'E'</v>
      </c>
      <c r="E46" s="288">
        <f>E_ail</f>
        <v>160</v>
      </c>
      <c r="F46" s="8" t="s">
        <v>205</v>
      </c>
      <c r="G46" s="8" t="s">
        <v>210</v>
      </c>
      <c r="H46" s="793">
        <f>Cn</f>
        <v>22.203078547045632</v>
      </c>
      <c r="I46" s="794"/>
      <c r="J46" s="81"/>
      <c r="K46" s="81"/>
      <c r="L46" s="81"/>
      <c r="M46" s="81"/>
      <c r="N46" s="97"/>
    </row>
    <row r="47" spans="2:21" x14ac:dyDescent="0.25">
      <c r="B47" s="96"/>
      <c r="C47" s="81"/>
      <c r="D47" s="324" t="s">
        <v>145</v>
      </c>
      <c r="E47" s="288">
        <f>ep_ail</f>
        <v>2</v>
      </c>
      <c r="F47" s="8" t="s">
        <v>206</v>
      </c>
      <c r="G47" s="8" t="s">
        <v>211</v>
      </c>
      <c r="H47" s="291">
        <f ca="1">MS_min</f>
        <v>2.784282013025106</v>
      </c>
      <c r="I47" s="298">
        <f ca="1">MS_max</f>
        <v>3.3407305495161586</v>
      </c>
      <c r="J47" s="81"/>
      <c r="K47" s="81"/>
      <c r="L47" s="81"/>
      <c r="M47" s="81"/>
      <c r="N47" s="97"/>
    </row>
    <row r="48" spans="2:21" x14ac:dyDescent="0.25">
      <c r="B48" s="96"/>
      <c r="C48" s="81"/>
      <c r="D48" s="324" t="s">
        <v>146</v>
      </c>
      <c r="E48" s="288">
        <f>Q_ail</f>
        <v>4</v>
      </c>
      <c r="F48" s="322" t="s">
        <v>207</v>
      </c>
      <c r="G48" s="322" t="s">
        <v>212</v>
      </c>
      <c r="H48" s="300">
        <f ca="1">MS_Cn_min</f>
        <v>61.819632232322761</v>
      </c>
      <c r="I48" s="312">
        <f ca="1">MS_Cn_max</f>
        <v>74.174502795422185</v>
      </c>
      <c r="J48" s="81"/>
      <c r="K48" s="81"/>
      <c r="L48" s="81"/>
      <c r="M48" s="81"/>
      <c r="N48" s="97"/>
    </row>
    <row r="49" spans="2:14" x14ac:dyDescent="0.25">
      <c r="B49" s="96"/>
      <c r="C49" s="81"/>
      <c r="D49" s="324" t="s">
        <v>149</v>
      </c>
      <c r="E49" s="288">
        <f ca="1">XpropuRef-Long_propu</f>
        <v>1269</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1755</v>
      </c>
      <c r="F51" s="81"/>
      <c r="G51" s="324" t="s">
        <v>213</v>
      </c>
      <c r="H51" s="8">
        <f>Sref</f>
        <v>9.1339816339744834E-3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420</v>
      </c>
      <c r="F53" s="81"/>
      <c r="G53" s="327" t="s">
        <v>216</v>
      </c>
      <c r="H53" s="304">
        <f ca="1">Temps_culmi</f>
        <v>22.899999999999995</v>
      </c>
      <c r="I53" s="305"/>
      <c r="J53" s="316"/>
      <c r="K53" s="81"/>
      <c r="L53" s="81"/>
      <c r="M53" s="81"/>
      <c r="N53" s="97"/>
    </row>
    <row r="54" spans="2:14" x14ac:dyDescent="0.25">
      <c r="B54" s="96"/>
      <c r="C54" s="81"/>
      <c r="D54" s="81"/>
      <c r="E54" s="81"/>
      <c r="F54" s="81"/>
      <c r="G54" s="327" t="s">
        <v>217</v>
      </c>
      <c r="H54" s="286">
        <f ca="1">Altitude_culmi</f>
        <v>2700.4335922476339</v>
      </c>
      <c r="I54" s="305"/>
      <c r="J54" s="316"/>
      <c r="K54" s="81"/>
      <c r="L54" s="81"/>
      <c r="M54" s="81"/>
      <c r="N54" s="97"/>
    </row>
    <row r="55" spans="2:14" x14ac:dyDescent="0.25">
      <c r="B55" s="96"/>
      <c r="C55" s="323" t="s">
        <v>234</v>
      </c>
      <c r="D55" s="293" t="s">
        <v>61</v>
      </c>
      <c r="E55" s="287">
        <f>Long_tot</f>
        <v>1755</v>
      </c>
      <c r="F55" s="81"/>
      <c r="G55" s="327" t="s">
        <v>218</v>
      </c>
      <c r="H55" s="306">
        <f ca="1">Vit_culmi</f>
        <v>37.758352365630969</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1781.6275394582099</v>
      </c>
      <c r="I56" s="305"/>
      <c r="J56" s="316"/>
      <c r="K56" s="81"/>
      <c r="L56" s="81"/>
      <c r="M56" s="81"/>
      <c r="N56" s="97"/>
    </row>
    <row r="57" spans="2:14" x14ac:dyDescent="0.25">
      <c r="B57" s="96"/>
      <c r="C57" s="324"/>
      <c r="D57" s="2" t="s">
        <v>221</v>
      </c>
      <c r="E57" s="288">
        <f>E_ail*2+D_ail</f>
        <v>420</v>
      </c>
      <c r="F57" s="81"/>
      <c r="G57" s="327" t="s">
        <v>215</v>
      </c>
      <c r="H57" s="307">
        <f ca="1">T_balistique</f>
        <v>49.300000000000367</v>
      </c>
      <c r="I57" s="305"/>
      <c r="J57" s="316"/>
      <c r="K57" s="81"/>
      <c r="L57" s="81"/>
      <c r="M57" s="81"/>
      <c r="N57" s="97"/>
    </row>
    <row r="58" spans="2:14" x14ac:dyDescent="0.25">
      <c r="B58" s="96"/>
      <c r="C58" s="324"/>
      <c r="D58" s="2" t="s">
        <v>222</v>
      </c>
      <c r="E58" s="288">
        <f ca="1">MassePlein</f>
        <v>11.510999999999999</v>
      </c>
      <c r="F58" s="81"/>
      <c r="G58" s="327" t="s">
        <v>138</v>
      </c>
      <c r="H58" s="306">
        <f ca="1">Vit_max</f>
        <v>270.96071788369483</v>
      </c>
      <c r="I58" s="305"/>
      <c r="J58" s="316"/>
      <c r="K58" s="81"/>
      <c r="L58" s="81"/>
      <c r="M58" s="81"/>
      <c r="N58" s="97"/>
    </row>
    <row r="59" spans="2:14" x14ac:dyDescent="0.25">
      <c r="B59" s="96"/>
      <c r="C59" s="325" t="s">
        <v>235</v>
      </c>
      <c r="D59" s="299" t="s">
        <v>146</v>
      </c>
      <c r="E59" s="308">
        <f>Q_ail</f>
        <v>4</v>
      </c>
      <c r="F59" s="81"/>
      <c r="G59" s="327" t="s">
        <v>137</v>
      </c>
      <c r="H59" s="307">
        <f ca="1">Acc_max</f>
        <v>101.86137509858887</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2345.0525775197125</v>
      </c>
      <c r="F62" s="330">
        <f ca="1">E62/9.81</f>
        <v>239.04715367173418</v>
      </c>
      <c r="H62" s="19"/>
      <c r="I62" s="19"/>
      <c r="J62" s="19"/>
      <c r="K62" s="2"/>
      <c r="L62" s="81"/>
      <c r="M62" s="81"/>
      <c r="N62" s="97"/>
    </row>
    <row r="63" spans="2:14" x14ac:dyDescent="0.25">
      <c r="B63" s="96"/>
      <c r="C63" s="324"/>
      <c r="D63" s="2" t="s">
        <v>224</v>
      </c>
      <c r="E63" s="286">
        <f ca="1">2*Acc_max*Masse_ail</f>
        <v>24.120773623345844</v>
      </c>
      <c r="F63" s="292">
        <f ca="1">E63/9.81</f>
        <v>2.458794457017925</v>
      </c>
      <c r="G63" s="290" t="s">
        <v>230</v>
      </c>
      <c r="H63" s="338">
        <f>S_ail*(ep_ail/1000)*2000</f>
        <v>0.11840000000000001</v>
      </c>
      <c r="I63" s="19"/>
      <c r="J63" s="19"/>
      <c r="K63" s="2"/>
      <c r="L63" s="81"/>
      <c r="M63" s="81"/>
      <c r="N63" s="97"/>
    </row>
    <row r="64" spans="2:14" x14ac:dyDescent="0.25">
      <c r="B64" s="96"/>
      <c r="C64" s="325"/>
      <c r="D64" s="299" t="s">
        <v>225</v>
      </c>
      <c r="E64" s="311">
        <f ca="1">0.104*S_ail*Vit_max^2</f>
        <v>226.01523722200784</v>
      </c>
      <c r="F64" s="331">
        <f ca="1">E64/9.81</f>
        <v>23.039269849338208</v>
      </c>
      <c r="G64" s="322" t="s">
        <v>229</v>
      </c>
      <c r="H64" s="339">
        <f>(E_ail*(m_ail+n_ail)/2)/10^6</f>
        <v>2.9600000000000001E-2</v>
      </c>
      <c r="I64" s="19"/>
      <c r="J64" s="19"/>
      <c r="K64" s="19"/>
      <c r="L64" s="81"/>
      <c r="M64" s="81"/>
      <c r="N64" s="97"/>
    </row>
    <row r="65" spans="2:14" x14ac:dyDescent="0.25">
      <c r="B65" s="96"/>
      <c r="C65" s="332" t="s">
        <v>243</v>
      </c>
      <c r="D65" s="335" t="s">
        <v>241</v>
      </c>
      <c r="E65" s="336">
        <f ca="1">2*Acc_max*H65</f>
        <v>1172.5262887598562</v>
      </c>
      <c r="F65" s="336">
        <f ca="1">E65/9.81</f>
        <v>119.52357683586709</v>
      </c>
      <c r="G65" s="337" t="s">
        <v>242</v>
      </c>
      <c r="H65" s="328">
        <f ca="1">E58/2</f>
        <v>5.7554999999999996</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21</v>
      </c>
      <c r="I67" s="295">
        <f ca="1">Temps_culmi</f>
        <v>22.899999999999995</v>
      </c>
      <c r="J67" s="19"/>
      <c r="K67" s="19"/>
      <c r="L67" s="81"/>
      <c r="M67" s="81"/>
      <c r="N67" s="97"/>
    </row>
    <row r="68" spans="2:14" x14ac:dyDescent="0.25">
      <c r="B68" s="96"/>
      <c r="C68" s="326"/>
      <c r="D68" s="19"/>
      <c r="E68" s="19"/>
      <c r="F68" s="323" t="s">
        <v>232</v>
      </c>
      <c r="G68" s="293" t="s">
        <v>130</v>
      </c>
      <c r="H68" s="294">
        <f ca="1">V_para</f>
        <v>7.0450225005735021</v>
      </c>
      <c r="I68" s="295">
        <f>V_satellite</f>
        <v>12.655562623057198</v>
      </c>
      <c r="J68" s="19"/>
      <c r="K68" s="19"/>
      <c r="L68" s="81"/>
      <c r="M68" s="81"/>
      <c r="N68" s="97"/>
    </row>
    <row r="69" spans="2:14" x14ac:dyDescent="0.25">
      <c r="B69" s="96"/>
      <c r="C69" s="326"/>
      <c r="D69" s="19"/>
      <c r="E69" s="19"/>
      <c r="F69" s="324"/>
      <c r="G69" s="2" t="s">
        <v>238</v>
      </c>
      <c r="H69" s="291">
        <f>S_para</f>
        <v>3.1101767270538949</v>
      </c>
      <c r="I69" s="297">
        <f>S_satellite</f>
        <v>0.1</v>
      </c>
      <c r="J69" s="19"/>
      <c r="K69" s="19"/>
      <c r="L69" s="81"/>
      <c r="M69" s="81"/>
      <c r="N69" s="97"/>
    </row>
    <row r="70" spans="2:14" x14ac:dyDescent="0.25">
      <c r="B70" s="96"/>
      <c r="C70" s="285"/>
      <c r="D70" s="2"/>
      <c r="E70" s="81"/>
      <c r="F70" s="324"/>
      <c r="G70" s="2" t="s">
        <v>237</v>
      </c>
      <c r="H70" s="291">
        <f ca="1">V_ouverture</f>
        <v>42.876454087975517</v>
      </c>
      <c r="I70" s="297">
        <f ca="1">V_ouv_sat</f>
        <v>242.08934845286078</v>
      </c>
      <c r="L70" s="81"/>
      <c r="M70" s="81"/>
      <c r="N70" s="97"/>
    </row>
    <row r="71" spans="2:14" x14ac:dyDescent="0.25">
      <c r="B71" s="96"/>
      <c r="C71" s="265"/>
      <c r="E71" s="81"/>
      <c r="F71" s="324"/>
      <c r="G71" s="2" t="s">
        <v>202</v>
      </c>
      <c r="H71" s="291">
        <f ca="1">m_vide</f>
        <v>9.6379999999999999</v>
      </c>
      <c r="I71" s="297">
        <f>m_satellite</f>
        <v>1</v>
      </c>
      <c r="J71" s="81"/>
      <c r="K71" s="81"/>
      <c r="L71" s="81"/>
      <c r="M71" s="81"/>
      <c r="N71" s="97"/>
    </row>
    <row r="72" spans="2:14" x14ac:dyDescent="0.25">
      <c r="B72" s="96"/>
      <c r="C72" s="265"/>
      <c r="E72" s="81"/>
      <c r="F72" s="324"/>
      <c r="G72" s="2" t="s">
        <v>239</v>
      </c>
      <c r="H72" s="333">
        <f ca="1">1/2*Rho_moyen*S_para*V_ouverture^2</f>
        <v>3502.102748736002</v>
      </c>
      <c r="I72" s="334">
        <f ca="1">1/2*Rho_moyen*S_satellite*V_ouv_sat^2</f>
        <v>3589.6942238527522</v>
      </c>
      <c r="J72" s="81"/>
      <c r="K72" s="81"/>
      <c r="L72" s="81"/>
      <c r="M72" s="81"/>
      <c r="N72" s="97"/>
    </row>
    <row r="73" spans="2:14" x14ac:dyDescent="0.25">
      <c r="B73" s="96"/>
      <c r="C73" s="81"/>
      <c r="D73" s="2"/>
      <c r="E73" s="81"/>
      <c r="F73" s="325"/>
      <c r="G73" s="299" t="s">
        <v>240</v>
      </c>
      <c r="H73" s="300">
        <f ca="1">H72/9.81</f>
        <v>356.99314462140694</v>
      </c>
      <c r="I73" s="301">
        <f ca="1">I72/9.81</f>
        <v>365.9219392306577</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44889</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Orignal (Pro75-3G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1505</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250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1269</v>
      </c>
      <c r="F101" s="296"/>
      <c r="G101" s="499"/>
      <c r="H101" s="499"/>
      <c r="I101" s="499"/>
      <c r="J101" s="511">
        <f>n_ail</f>
        <v>120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160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8</v>
      </c>
      <c r="F107" s="288">
        <f ca="1">MassePlein</f>
        <v>11.510999999999999</v>
      </c>
      <c r="G107" s="81"/>
      <c r="H107" s="81"/>
      <c r="I107" s="81"/>
      <c r="J107" s="81"/>
      <c r="K107" s="81"/>
      <c r="L107" s="81"/>
      <c r="M107" s="81"/>
      <c r="N107" s="97"/>
    </row>
    <row r="108" spans="2:14" x14ac:dyDescent="0.25">
      <c r="B108" s="96"/>
      <c r="C108" s="81"/>
      <c r="D108" s="496" t="s">
        <v>354</v>
      </c>
      <c r="E108" s="322">
        <f>XcgSans</f>
        <v>1100</v>
      </c>
      <c r="F108" s="308">
        <f ca="1">XcgPlein</f>
        <v>1225.6651898184348</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9.6379999999999999</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22.899999999999995</v>
      </c>
      <c r="I112" s="305"/>
      <c r="J112" s="316"/>
      <c r="K112" s="81"/>
      <c r="L112" s="81"/>
      <c r="M112" s="81"/>
      <c r="N112" s="97"/>
    </row>
    <row r="113" spans="2:14" ht="12.75" customHeight="1" x14ac:dyDescent="0.3">
      <c r="B113" s="96"/>
      <c r="C113" s="81"/>
      <c r="D113" s="504" t="s">
        <v>359</v>
      </c>
      <c r="E113" s="499"/>
      <c r="F113" s="81"/>
      <c r="G113" s="327" t="s">
        <v>217</v>
      </c>
      <c r="H113" s="286">
        <f ca="1">Altitude_culmi</f>
        <v>2700.4335922476339</v>
      </c>
      <c r="I113" s="305"/>
      <c r="J113" s="316"/>
      <c r="K113" s="81"/>
      <c r="L113" s="81"/>
      <c r="M113" s="81"/>
      <c r="N113" s="97"/>
    </row>
    <row r="114" spans="2:14" ht="12.75" customHeight="1" x14ac:dyDescent="0.3">
      <c r="B114" s="96"/>
      <c r="C114" s="81"/>
      <c r="D114" s="499"/>
      <c r="E114" s="499"/>
      <c r="F114" s="504"/>
      <c r="G114" s="327" t="s">
        <v>218</v>
      </c>
      <c r="H114" s="306">
        <f ca="1">Vit_culmi</f>
        <v>37.758352365630969</v>
      </c>
      <c r="I114" s="305"/>
      <c r="J114" s="316"/>
      <c r="K114" s="81"/>
      <c r="L114" s="81"/>
      <c r="M114" s="81"/>
      <c r="N114" s="97"/>
    </row>
    <row r="115" spans="2:14" x14ac:dyDescent="0.25">
      <c r="B115" s="96"/>
      <c r="C115" s="518" t="s">
        <v>360</v>
      </c>
      <c r="D115" s="519"/>
      <c r="E115" s="520">
        <v>0.1</v>
      </c>
      <c r="F115" s="81"/>
      <c r="G115" s="327" t="s">
        <v>134</v>
      </c>
      <c r="H115" s="307">
        <f ca="1">Portee_balistique</f>
        <v>1781.6275394582099</v>
      </c>
      <c r="I115" s="305"/>
      <c r="J115" s="316"/>
      <c r="K115" s="81"/>
      <c r="L115" s="81"/>
      <c r="M115" s="81"/>
      <c r="N115" s="97"/>
    </row>
    <row r="116" spans="2:14" ht="12.75" customHeight="1" x14ac:dyDescent="0.25">
      <c r="B116" s="96"/>
      <c r="C116" s="521" t="s">
        <v>361</v>
      </c>
      <c r="D116" s="522"/>
      <c r="E116" s="523">
        <f>E_ail*(m_ail+n_ail)/2</f>
        <v>29600</v>
      </c>
      <c r="F116" s="81"/>
      <c r="G116" s="327" t="s">
        <v>138</v>
      </c>
      <c r="H116" s="306">
        <f ca="1">Vit_max</f>
        <v>270.96071788369483</v>
      </c>
      <c r="I116" s="305"/>
      <c r="J116" s="316"/>
      <c r="K116" s="81"/>
      <c r="L116" s="81"/>
      <c r="M116" s="81"/>
      <c r="N116" s="97"/>
    </row>
    <row r="117" spans="2:14" ht="12.75" customHeight="1" x14ac:dyDescent="0.25">
      <c r="B117" s="96"/>
      <c r="C117" s="81"/>
      <c r="D117" s="499"/>
      <c r="E117" s="499"/>
      <c r="F117" s="499"/>
      <c r="G117" s="327" t="s">
        <v>137</v>
      </c>
      <c r="H117" s="307">
        <f ca="1">Acc_max</f>
        <v>101.86137509858887</v>
      </c>
      <c r="I117" s="305"/>
      <c r="J117" s="316"/>
      <c r="K117" s="81"/>
      <c r="L117" s="81"/>
      <c r="M117" s="81"/>
      <c r="N117" s="97"/>
    </row>
    <row r="118" spans="2:14" x14ac:dyDescent="0.25">
      <c r="B118" s="96"/>
      <c r="C118" s="525" t="s">
        <v>362</v>
      </c>
      <c r="D118" s="526"/>
      <c r="E118" s="539"/>
      <c r="F118" s="540">
        <f>J90/100</f>
        <v>15.05</v>
      </c>
      <c r="G118" s="324" t="s">
        <v>5</v>
      </c>
      <c r="H118" s="8">
        <f>Cx</f>
        <v>0.5</v>
      </c>
      <c r="I118" s="305"/>
      <c r="J118" s="316"/>
      <c r="K118" s="81"/>
      <c r="L118" s="81"/>
      <c r="M118" s="81"/>
      <c r="N118" s="97"/>
    </row>
    <row r="119" spans="2:14" x14ac:dyDescent="0.25">
      <c r="B119" s="96"/>
      <c r="C119" s="527" t="s">
        <v>363</v>
      </c>
      <c r="D119" s="528"/>
      <c r="E119" s="541">
        <f ca="1">2*Acc_max*MasseSans</f>
        <v>1629.7820015774219</v>
      </c>
      <c r="F119" s="542">
        <f ca="1">E119/g</f>
        <v>166.13476060931924</v>
      </c>
      <c r="G119" s="317" t="s">
        <v>223</v>
      </c>
      <c r="H119" s="318"/>
      <c r="I119" s="318"/>
      <c r="J119" s="319"/>
      <c r="K119" s="81"/>
      <c r="L119" s="81"/>
      <c r="M119" s="81"/>
      <c r="N119" s="97"/>
    </row>
    <row r="120" spans="2:14" x14ac:dyDescent="0.25">
      <c r="B120" s="96"/>
      <c r="C120" s="527" t="s">
        <v>364</v>
      </c>
      <c r="D120" s="528"/>
      <c r="E120" s="541">
        <f ca="1">2*Acc_max*E115</f>
        <v>20.372275019717776</v>
      </c>
      <c r="F120" s="542">
        <f ca="1">E120/g</f>
        <v>2.0766845076164908</v>
      </c>
      <c r="G120" s="81"/>
      <c r="H120" s="81"/>
      <c r="I120" s="81"/>
      <c r="J120" s="81"/>
      <c r="K120" s="81"/>
      <c r="L120" s="81"/>
      <c r="M120" s="81"/>
      <c r="N120" s="97"/>
    </row>
    <row r="121" spans="2:14" x14ac:dyDescent="0.25">
      <c r="B121" s="96"/>
      <c r="C121" s="529" t="s">
        <v>365</v>
      </c>
      <c r="D121" s="530"/>
      <c r="E121" s="534">
        <f ca="1">0.104*E116/1000000*Vit_max^2</f>
        <v>226.01523722200784</v>
      </c>
      <c r="F121" s="535">
        <f ca="1">E121/g</f>
        <v>23.039269849338208</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3.1101767270538949</v>
      </c>
      <c r="F127" s="509"/>
      <c r="G127" s="499"/>
      <c r="H127" s="81"/>
      <c r="I127" s="81"/>
      <c r="J127" s="499"/>
      <c r="K127" s="81"/>
      <c r="L127" s="81"/>
      <c r="M127" s="81"/>
      <c r="N127" s="97"/>
    </row>
    <row r="128" spans="2:14" x14ac:dyDescent="0.25">
      <c r="B128" s="96"/>
      <c r="C128" s="787" t="s">
        <v>370</v>
      </c>
      <c r="D128" s="788"/>
      <c r="E128" s="532">
        <f ca="1">0.5*Rho_moyen*S_para*Vit_culmi^2</f>
        <v>2715.9216082322505</v>
      </c>
      <c r="F128" s="533">
        <f ca="1">E128/g</f>
        <v>276.85235557923039</v>
      </c>
      <c r="G128" s="509"/>
      <c r="H128" s="499"/>
      <c r="I128" s="499"/>
      <c r="J128" s="499"/>
      <c r="K128" s="499"/>
      <c r="L128" s="81"/>
      <c r="M128" s="81"/>
      <c r="N128" s="97"/>
    </row>
    <row r="129" spans="2:14" x14ac:dyDescent="0.25">
      <c r="B129" s="96"/>
      <c r="C129" s="789" t="s">
        <v>371</v>
      </c>
      <c r="D129" s="790"/>
      <c r="E129" s="534">
        <f ca="1">E128/E126*2</f>
        <v>1357.9608041161252</v>
      </c>
      <c r="F129" s="535">
        <f ca="1">E129/g</f>
        <v>138.4261777896152</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87" t="s">
        <v>373</v>
      </c>
      <c r="D132" s="788"/>
      <c r="E132" s="536">
        <v>1</v>
      </c>
      <c r="F132" s="499"/>
      <c r="G132" s="499"/>
      <c r="H132" s="499"/>
      <c r="I132" s="499"/>
      <c r="J132" s="513"/>
      <c r="K132" s="499"/>
      <c r="L132" s="81"/>
      <c r="M132" s="81"/>
      <c r="N132" s="97"/>
    </row>
    <row r="133" spans="2:14" x14ac:dyDescent="0.25">
      <c r="B133" s="96"/>
      <c r="C133" s="785" t="s">
        <v>374</v>
      </c>
      <c r="D133" s="786"/>
      <c r="E133" s="537">
        <f ca="1">2*E132*Acc_max/g</f>
        <v>20.766845076164905</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2022-11-24T14:17:56Z</dcterms:modified>
</cp:coreProperties>
</file>