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Indra-Project/StabTraj/"/>
    </mc:Choice>
  </mc:AlternateContent>
  <xr:revisionPtr revIDLastSave="82" documentId="11_33BE1DDF0D112338084E31510B360557422B2809" xr6:coauthVersionLast="47" xr6:coauthVersionMax="47" xr10:uidLastSave="{B3CD48EC-2C78-483F-8DA9-C87622B3D367}"/>
  <bookViews>
    <workbookView xWindow="-108" yWindow="-108" windowWidth="23256" windowHeight="12456"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C27" i="1" s="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4" i="6"/>
  <c r="E11" i="7" s="1"/>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B197" i="6"/>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C4" i="4"/>
  <c r="F4" i="4"/>
  <c r="D3" i="4"/>
  <c r="I4" i="4"/>
  <c r="Y4" i="4"/>
  <c r="R2" i="4"/>
  <c r="X3" i="4"/>
  <c r="Q3" i="4"/>
  <c r="N4" i="4"/>
  <c r="S4" i="4"/>
  <c r="K3" i="4"/>
  <c r="M4" i="4"/>
  <c r="U3" i="4"/>
  <c r="D4" i="4"/>
  <c r="J4" i="4"/>
  <c r="B3" i="4"/>
  <c r="X4" i="4"/>
  <c r="V3" i="4"/>
  <c r="J3" i="4"/>
  <c r="F3" i="4"/>
  <c r="R3" i="4"/>
  <c r="I3" i="4"/>
  <c r="C3" i="4"/>
  <c r="W4" i="4"/>
  <c r="H3" i="4"/>
  <c r="L4" i="4"/>
  <c r="G3" i="4"/>
  <c r="L3" i="4"/>
  <c r="M3" i="4"/>
  <c r="H2" i="4"/>
  <c r="O3" i="4"/>
  <c r="X2" i="4"/>
  <c r="E4" i="4"/>
  <c r="O4" i="4"/>
  <c r="J2" i="4"/>
  <c r="P2" i="4"/>
  <c r="S3" i="4"/>
  <c r="F2" i="4"/>
  <c r="T3" i="4"/>
  <c r="P4" i="4"/>
  <c r="N3" i="4"/>
  <c r="N2" i="4"/>
  <c r="B4" i="4"/>
  <c r="G4" i="4"/>
  <c r="Q4" i="4"/>
  <c r="P3" i="4"/>
  <c r="E3" i="4"/>
  <c r="T2" i="4"/>
  <c r="Y3" i="4"/>
  <c r="K4" i="4"/>
  <c r="H4" i="4"/>
  <c r="V4" i="4"/>
  <c r="R4" i="4"/>
  <c r="Z2" i="4"/>
  <c r="T4" i="4"/>
  <c r="L2" i="4"/>
  <c r="V2" i="4"/>
  <c r="U4" i="4"/>
  <c r="D2" i="4"/>
  <c r="C208" i="6" l="1"/>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53" i="8"/>
  <c r="F53" i="8" s="1"/>
  <c r="I53"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M15" i="6"/>
  <c r="J42" i="7" s="1"/>
  <c r="R194" i="4"/>
  <c r="P196" i="4"/>
  <c r="W235" i="4"/>
  <c r="U236" i="4"/>
  <c r="W200" i="4"/>
  <c r="U201" i="4"/>
  <c r="X215" i="4"/>
  <c r="V216" i="4"/>
  <c r="V226" i="4"/>
  <c r="X225" i="4"/>
  <c r="X190" i="4"/>
  <c r="V191" i="4"/>
  <c r="F52" i="8"/>
  <c r="I52" i="8" s="1"/>
  <c r="I31" i="6"/>
  <c r="C154" i="6" s="1"/>
  <c r="O19" i="6"/>
  <c r="M19" i="6" s="1"/>
  <c r="H31" i="6" s="1"/>
  <c r="E29" i="6"/>
  <c r="E35" i="6" s="1"/>
  <c r="C191" i="6"/>
  <c r="D153" i="6"/>
  <c r="C192" i="6"/>
  <c r="E50" i="8" l="1"/>
  <c r="H50" i="8" s="1"/>
  <c r="H63" i="8"/>
  <c r="K63" i="8" s="1"/>
  <c r="H43" i="8"/>
  <c r="J43" i="8" s="1"/>
  <c r="G52" i="8"/>
  <c r="K52" i="8" s="1"/>
  <c r="M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C149" i="6"/>
  <c r="F108" i="7"/>
  <c r="G50" i="8"/>
  <c r="J50" i="8" s="1"/>
  <c r="X200" i="4"/>
  <c r="V201" i="4"/>
  <c r="S194" i="4"/>
  <c r="Q196" i="4"/>
  <c r="W226" i="4"/>
  <c r="X226" i="4"/>
  <c r="X191" i="4"/>
  <c r="W191" i="4"/>
  <c r="W216" i="4"/>
  <c r="D213" i="4" s="1"/>
  <c r="F213" i="4" s="1"/>
  <c r="X216" i="4"/>
  <c r="V236" i="4"/>
  <c r="X235" i="4"/>
  <c r="B191" i="6"/>
  <c r="H28" i="6"/>
  <c r="C190" i="6" s="1"/>
  <c r="C153" i="6"/>
  <c r="H29" i="6"/>
  <c r="H47" i="7" s="1"/>
  <c r="H32" i="6"/>
  <c r="C157" i="6"/>
  <c r="C151" i="6"/>
  <c r="C152" i="6"/>
  <c r="K43" i="8"/>
  <c r="J63" i="8"/>
  <c r="J52" i="8" l="1"/>
  <c r="L52" i="8" s="1"/>
  <c r="H46" i="8"/>
  <c r="J46" i="8" s="1"/>
  <c r="J47" i="8"/>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M43" i="8"/>
  <c r="D118" i="4"/>
  <c r="F118" i="4" s="1"/>
  <c r="H56" i="8"/>
  <c r="J56" i="8" s="1"/>
  <c r="A7" i="3"/>
  <c r="B7" i="3" s="1"/>
  <c r="M58" i="8"/>
  <c r="G60" i="8"/>
  <c r="J60" i="8" s="1"/>
  <c r="H59" i="8"/>
  <c r="J59" i="8" s="1"/>
  <c r="K50" i="8"/>
  <c r="M50" i="8" s="1"/>
  <c r="D223" i="4"/>
  <c r="F223" i="4" s="1"/>
  <c r="X111" i="4"/>
  <c r="W111" i="4"/>
  <c r="D108" i="4" s="1"/>
  <c r="D188" i="4"/>
  <c r="F188" i="4" s="1"/>
  <c r="D130" i="6"/>
  <c r="E130" i="6" s="1"/>
  <c r="E129" i="6"/>
  <c r="S28" i="6"/>
  <c r="C193" i="6"/>
  <c r="J53" i="8"/>
  <c r="L53" i="8" s="1"/>
  <c r="X236" i="4"/>
  <c r="W236" i="4"/>
  <c r="R196" i="4"/>
  <c r="T194" i="4"/>
  <c r="W201" i="4"/>
  <c r="X201" i="4"/>
  <c r="D198" i="4" s="1"/>
  <c r="F198" i="4" s="1"/>
  <c r="B190" i="6"/>
  <c r="H30" i="6"/>
  <c r="H48" i="7" s="1"/>
  <c r="B194" i="6"/>
  <c r="H14" i="7"/>
  <c r="L63" i="8"/>
  <c r="L57" i="8"/>
  <c r="L47" i="8"/>
  <c r="D5" i="3"/>
  <c r="AG5" i="3"/>
  <c r="AH5" i="3"/>
  <c r="E5" i="3"/>
  <c r="H5" i="3" s="1"/>
  <c r="L43" i="8"/>
  <c r="K46" i="8" l="1"/>
  <c r="M46" i="8" s="1"/>
  <c r="I15" i="7"/>
  <c r="L55" i="8"/>
  <c r="I47" i="7"/>
  <c r="S29" i="6"/>
  <c r="I14" i="7"/>
  <c r="K66" i="8"/>
  <c r="M66" i="8" s="1"/>
  <c r="L45" i="8"/>
  <c r="K48" i="8"/>
  <c r="L48" i="8" s="1"/>
  <c r="L65" i="8"/>
  <c r="K44" i="8"/>
  <c r="M44" i="8" s="1"/>
  <c r="L64" i="8"/>
  <c r="K54" i="8"/>
  <c r="M54" i="8" s="1"/>
  <c r="L42" i="8"/>
  <c r="L41" i="8"/>
  <c r="L61" i="8"/>
  <c r="K67" i="8"/>
  <c r="M67" i="8" s="1"/>
  <c r="L50" i="8"/>
  <c r="L49" i="8"/>
  <c r="P7" i="3"/>
  <c r="Q7" i="3" s="1"/>
  <c r="R7" i="3" s="1"/>
  <c r="S7" i="3" s="1"/>
  <c r="T7" i="3" s="1"/>
  <c r="A8" i="3"/>
  <c r="B8" i="3" s="1"/>
  <c r="Z7" i="3"/>
  <c r="AD7" i="3"/>
  <c r="AA7" i="3"/>
  <c r="AC7" i="3"/>
  <c r="K56" i="8"/>
  <c r="M56" i="8" s="1"/>
  <c r="K60" i="8"/>
  <c r="M60" i="8" s="1"/>
  <c r="K59" i="8"/>
  <c r="M59" i="8" s="1"/>
  <c r="F108" i="4"/>
  <c r="D233" i="4"/>
  <c r="F233" i="4" s="1"/>
  <c r="U194" i="4"/>
  <c r="S196" i="4"/>
  <c r="H15" i="7"/>
  <c r="S30" i="6"/>
  <c r="H33" i="6"/>
  <c r="K5" i="3"/>
  <c r="F5" i="3"/>
  <c r="G5" i="3"/>
  <c r="L46" i="8" l="1"/>
  <c r="L66" i="8"/>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W826" i="3" s="1"/>
  <c r="A827" i="3"/>
  <c r="B827" i="3" s="1"/>
  <c r="L826" i="3" l="1"/>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AD992" i="3"/>
  <c r="U992" i="3"/>
  <c r="Y991" i="3"/>
  <c r="T993" i="3"/>
  <c r="AH993" i="3" s="1"/>
  <c r="D993" i="3" l="1"/>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<sst xmlns="http://schemas.openxmlformats.org/spreadsheetml/2006/main" count="1716" uniqueCount="560">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</sst>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Fill="1" applyBorder="1" applyAlignment="1" applyProtection="1">
      <alignment horizontal="center"/>
    </xf>
    <xf numFmtId="0" fontId="0" fillId="0" borderId="0" xfId="0" applyAlignment="1">
      <alignment horizontal="center"/>
    </xf>
    <xf numFmtId="0" fontId="0" fillId="0" borderId="0" xfId="0" applyFill="1" applyBorder="1" applyAlignment="1" applyProtection="1">
      <alignment horizontal="center"/>
      <protection locked="0"/>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28" borderId="31" xfId="0" applyFill="1" applyBorder="1" applyAlignment="1">
      <alignment horizontal="center"/>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0" borderId="0" xfId="0" applyAlignment="1" applyProtection="1">
      <alignment horizontal="center"/>
      <protection locked="0"/>
    </xf>
    <xf numFmtId="0" fontId="0" fillId="4" borderId="0"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Fill="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Fill="1" applyBorder="1" applyAlignment="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-1133.5481009387649</c:v>
                </c:pt>
                <c:pt idx="1">
                  <c:v>-1052.1016635859519</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127.56676226462501</c:v>
                </c:pt>
                <c:pt idx="2">
                  <c:v>127.56676226462501</c:v>
                </c:pt>
                <c:pt idx="3">
                  <c:v>0</c:v>
                </c:pt>
              </c:numCache>
            </c:numRef>
          </c:xVal>
          <c:yVal>
            <c:numRef>
              <c:f>Stabilito!$C$151:$C$154</c:f>
              <c:numCache>
                <c:formatCode>0</c:formatCode>
                <c:ptCount val="4"/>
                <c:pt idx="0">
                  <c:v>-1542.904434046003</c:v>
                </c:pt>
                <c:pt idx="1">
                  <c:v>-1542.904434046003</c:v>
                </c:pt>
                <c:pt idx="2">
                  <c:v>-1542.904434046003</c:v>
                </c:pt>
                <c:pt idx="3">
                  <c:v>-1542.904434046003</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600</c:v>
                </c:pt>
                <c:pt idx="1">
                  <c:v>-600</c:v>
                </c:pt>
              </c:numCache>
            </c:numRef>
          </c:xVal>
          <c:yVal>
            <c:numRef>
              <c:f>Stabilito!$C$168:$C$169</c:f>
              <c:numCache>
                <c:formatCode>0</c:formatCode>
                <c:ptCount val="2"/>
                <c:pt idx="0">
                  <c:v>-1898.8</c:v>
                </c:pt>
                <c:pt idx="1">
                  <c:v>-1898.8</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-1314</c:v>
                </c:pt>
                <c:pt idx="1">
                  <c:v>-1314</c:v>
                </c:pt>
                <c:pt idx="2">
                  <c:v>-1800</c:v>
                </c:pt>
                <c:pt idx="3">
                  <c:v>-1800</c:v>
                </c:pt>
                <c:pt idx="4">
                  <c:v>-1314</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-200</c:v>
                </c:pt>
                <c:pt idx="1">
                  <c:v>-125</c:v>
                </c:pt>
                <c:pt idx="2">
                  <c:v>-50</c:v>
                </c:pt>
              </c:numCache>
            </c:numRef>
          </c:xVal>
          <c:yVal>
            <c:numRef>
              <c:f>Stabilito!$C$137:$C$139</c:f>
              <c:numCache>
                <c:formatCode>0</c:formatCode>
                <c:ptCount val="3"/>
                <c:pt idx="0">
                  <c:v>-1940</c:v>
                </c:pt>
                <c:pt idx="1">
                  <c:v>-1940</c:v>
                </c:pt>
                <c:pt idx="2">
                  <c:v>-1940</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c:v>
                </c:pt>
                <c:pt idx="1">
                  <c:v>-260</c:v>
                </c:pt>
                <c:pt idx="2">
                  <c:v>-260</c:v>
                </c:pt>
              </c:numCache>
            </c:numRef>
          </c:xVal>
          <c:yVal>
            <c:numRef>
              <c:f>Stabilito!$C$143:$C$145</c:f>
              <c:numCache>
                <c:formatCode>0</c:formatCode>
                <c:ptCount val="3"/>
                <c:pt idx="0">
                  <c:v>-1580</c:v>
                </c:pt>
                <c:pt idx="1">
                  <c:v>-1680</c:v>
                </c:pt>
                <c:pt idx="2">
                  <c:v>-1780</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-290</c:v>
                </c:pt>
                <c:pt idx="1">
                  <c:v>-290</c:v>
                </c:pt>
                <c:pt idx="2">
                  <c:v>-290</c:v>
                </c:pt>
              </c:numCache>
            </c:numRef>
          </c:xVal>
          <c:yVal>
            <c:numRef>
              <c:f>Stabilito!$C$146:$C$148</c:f>
              <c:numCache>
                <c:formatCode>0</c:formatCode>
                <c:ptCount val="3"/>
                <c:pt idx="0">
                  <c:v>-1780</c:v>
                </c:pt>
                <c:pt idx="1">
                  <c:v>-1830</c:v>
                </c:pt>
                <c:pt idx="2">
                  <c:v>-1880</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290</c:v>
                </c:pt>
                <c:pt idx="1">
                  <c:v>290</c:v>
                </c:pt>
                <c:pt idx="2">
                  <c:v>290</c:v>
                </c:pt>
              </c:numCache>
            </c:numRef>
          </c:xVal>
          <c:yVal>
            <c:numRef>
              <c:f>Stabilito!$C$140:$C$142</c:f>
              <c:numCache>
                <c:formatCode>0</c:formatCode>
                <c:ptCount val="3"/>
                <c:pt idx="0">
                  <c:v>-1580</c:v>
                </c:pt>
                <c:pt idx="1">
                  <c:v>-1690</c:v>
                </c:pt>
                <c:pt idx="2">
                  <c:v>-1800</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-290</c:v>
                </c:pt>
                <c:pt idx="1">
                  <c:v>-290</c:v>
                </c:pt>
                <c:pt idx="2">
                  <c:v>-290</c:v>
                </c:pt>
              </c:numCache>
            </c:numRef>
          </c:xVal>
          <c:yVal>
            <c:numRef>
              <c:f>Stabilito!$C$155:$C$157</c:f>
              <c:numCache>
                <c:formatCode>0</c:formatCode>
                <c:ptCount val="3"/>
                <c:pt idx="0">
                  <c:v>-1092.8248822623584</c:v>
                </c:pt>
                <c:pt idx="1">
                  <c:v>-1317.8646581541807</c:v>
                </c:pt>
                <c:pt idx="2">
                  <c:v>-1542.904434046003</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Abaco!$K$41:$K$49</c:f>
              <c:numCache>
                <c:formatCode>General" m/s"</c:formatCode>
                <c:ptCount val="9"/>
                <c:pt idx="0">
                  <c:v>720.40587937186433</c:v>
                </c:pt>
                <c:pt idx="1">
                  <c:v>576.93957960176556</c:v>
                </c:pt>
                <c:pt idx="2">
                  <c:v>446.99789599661131</c:v>
                </c:pt>
                <c:pt idx="3">
                  <c:v>353.64206932136278</c:v>
                </c:pt>
                <c:pt idx="4">
                  <c:v>287.28149456162731</c:v>
                </c:pt>
                <c:pt idx="5">
                  <c:v>238.73276251598475</c:v>
                </c:pt>
                <c:pt idx="6">
                  <c:v>202.0330258725225</c:v>
                </c:pt>
                <c:pt idx="7">
                  <c:v>173.46270307803485</c:v>
                </c:pt>
                <c:pt idx="8">
                  <c:v>150.65724345064044</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Abaco!$K$50:$K$58</c:f>
              <c:numCache>
                <c:formatCode>General" m/s"</c:formatCode>
                <c:ptCount val="9"/>
                <c:pt idx="0">
                  <c:v>559.24790560645113</c:v>
                </c:pt>
                <c:pt idx="1">
                  <c:v>491.92338826235249</c:v>
                </c:pt>
                <c:pt idx="2">
                  <c:v>405.79411504042872</c:v>
                </c:pt>
                <c:pt idx="3">
                  <c:v>332.434513510942</c:v>
                </c:pt>
                <c:pt idx="4">
                  <c:v>275.50222252829337</c:v>
                </c:pt>
                <c:pt idx="5">
                  <c:v>231.74131119870333</c:v>
                </c:pt>
                <c:pt idx="6">
                  <c:v>197.65345889563199</c:v>
                </c:pt>
                <c:pt idx="7">
                  <c:v>170.59789732221762</c:v>
                </c:pt>
                <c:pt idx="8">
                  <c:v>148.71672766590248</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Abaco!$K$59:$K$67</c:f>
              <c:numCache>
                <c:formatCode>General" m/s"</c:formatCode>
                <c:ptCount val="9"/>
                <c:pt idx="0">
                  <c:v>377.65613998433196</c:v>
                </c:pt>
                <c:pt idx="1">
                  <c:v>361.16847006729375</c:v>
                </c:pt>
                <c:pt idx="2">
                  <c:v>326.67504003932032</c:v>
                </c:pt>
                <c:pt idx="3">
                  <c:v>285.89729411182731</c:v>
                </c:pt>
                <c:pt idx="4">
                  <c:v>247.47629943640433</c:v>
                </c:pt>
                <c:pt idx="5">
                  <c:v>214.23562889973834</c:v>
                </c:pt>
                <c:pt idx="6">
                  <c:v>186.31233623096807</c:v>
                </c:pt>
                <c:pt idx="7">
                  <c:v>163.00617463647359</c:v>
                </c:pt>
                <c:pt idx="8">
                  <c:v>143.48948899695833</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Abaco!$L$41:$L$49</c:f>
              <c:numCache>
                <c:formatCode>General" m"</c:formatCode>
                <c:ptCount val="9"/>
                <c:pt idx="0">
                  <c:v>4565.8665325686015</c:v>
                </c:pt>
                <c:pt idx="1">
                  <c:v>5073.0831284472188</c:v>
                </c:pt>
                <c:pt idx="2">
                  <c:v>4835.8688072314371</c:v>
                </c:pt>
                <c:pt idx="3">
                  <c:v>4212.0135611109545</c:v>
                </c:pt>
                <c:pt idx="4">
                  <c:v>3477.9305020888928</c:v>
                </c:pt>
                <c:pt idx="5">
                  <c:v>2794.5760816020247</c:v>
                </c:pt>
                <c:pt idx="6">
                  <c:v>2224.223997043061</c:v>
                </c:pt>
                <c:pt idx="7">
                  <c:v>1772.220089510527</c:v>
                </c:pt>
                <c:pt idx="8">
                  <c:v>1421.3996086200118</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Abaco!$L$50:$L$58</c:f>
              <c:numCache>
                <c:formatCode>General" m"</c:formatCode>
                <c:ptCount val="9"/>
                <c:pt idx="0">
                  <c:v>3236.6715266317624</c:v>
                </c:pt>
                <c:pt idx="1">
                  <c:v>3580.2802804663661</c:v>
                </c:pt>
                <c:pt idx="2">
                  <c:v>3541.4366480859953</c:v>
                </c:pt>
                <c:pt idx="3">
                  <c:v>3253.3699335260653</c:v>
                </c:pt>
                <c:pt idx="4">
                  <c:v>2840.0932366792954</c:v>
                </c:pt>
                <c:pt idx="5">
                  <c:v>2398.0502485230209</c:v>
                </c:pt>
                <c:pt idx="6">
                  <c:v>1986.3431869785791</c:v>
                </c:pt>
                <c:pt idx="7">
                  <c:v>1631.1880567504872</c:v>
                </c:pt>
                <c:pt idx="8">
                  <c:v>1337.4860459979545</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Abaco!$L$59:$L$67</c:f>
              <c:numCache>
                <c:formatCode>General" m"</c:formatCode>
                <c:ptCount val="9"/>
                <c:pt idx="0">
                  <c:v>2029.1215603003384</c:v>
                </c:pt>
                <c:pt idx="1">
                  <c:v>2195.9445568817582</c:v>
                </c:pt>
                <c:pt idx="2">
                  <c:v>2222.7564306490626</c:v>
                </c:pt>
                <c:pt idx="3">
                  <c:v>2142.9207229363374</c:v>
                </c:pt>
                <c:pt idx="4">
                  <c:v>1987.1593768788732</c:v>
                </c:pt>
                <c:pt idx="5">
                  <c:v>1786.8413087716021</c:v>
                </c:pt>
                <c:pt idx="6">
                  <c:v>1569.5474713343565</c:v>
                </c:pt>
                <c:pt idx="7">
                  <c:v>1355.9375027059409</c:v>
                </c:pt>
                <c:pt idx="8">
                  <c:v>1158.8928176357633</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Abaco!$M$41:$M$49</c:f>
              <c:numCache>
                <c:formatCode>General" s"</c:formatCode>
                <c:ptCount val="9"/>
                <c:pt idx="0">
                  <c:v>20.462214926687707</c:v>
                </c:pt>
                <c:pt idx="1">
                  <c:v>26.201644424977349</c:v>
                </c:pt>
                <c:pt idx="2">
                  <c:v>28.369788437365472</c:v>
                </c:pt>
                <c:pt idx="3">
                  <c:v>28.337574968032001</c:v>
                </c:pt>
                <c:pt idx="4">
                  <c:v>27.009392380853672</c:v>
                </c:pt>
                <c:pt idx="5">
                  <c:v>25.081232410372511</c:v>
                </c:pt>
                <c:pt idx="6">
                  <c:v>23.005925063156329</c:v>
                </c:pt>
                <c:pt idx="7">
                  <c:v>21.021018464448101</c:v>
                </c:pt>
                <c:pt idx="8">
                  <c:v>19.223303050663198</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Abaco!$M$50:$M$58</c:f>
              <c:numCache>
                <c:formatCode>General" s"</c:formatCode>
                <c:ptCount val="9"/>
                <c:pt idx="0">
                  <c:v>16.558431169977993</c:v>
                </c:pt>
                <c:pt idx="1">
                  <c:v>21.216996493804253</c:v>
                </c:pt>
                <c:pt idx="2">
                  <c:v>23.493392222192877</c:v>
                </c:pt>
                <c:pt idx="3">
                  <c:v>24.218640300686239</c:v>
                </c:pt>
                <c:pt idx="4">
                  <c:v>23.868690340177025</c:v>
                </c:pt>
                <c:pt idx="5">
                  <c:v>22.845306745279842</c:v>
                </c:pt>
                <c:pt idx="6">
                  <c:v>21.476294731678131</c:v>
                </c:pt>
                <c:pt idx="7">
                  <c:v>19.992994087286572</c:v>
                </c:pt>
                <c:pt idx="8">
                  <c:v>18.534425029609604</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5.5359999999999996</c:v>
                </c:pt>
                <c:pt idx="2">
                  <c:v>7.5609999999999999</c:v>
                </c:pt>
                <c:pt idx="3">
                  <c:v>9.5859999999999985</c:v>
                </c:pt>
                <c:pt idx="4">
                  <c:v>11.611000000000001</c:v>
                </c:pt>
                <c:pt idx="5">
                  <c:v>13.635999999999999</c:v>
                </c:pt>
                <c:pt idx="6">
                  <c:v>15.660999999999998</c:v>
                </c:pt>
                <c:pt idx="7">
                  <c:v>17.686</c:v>
                </c:pt>
                <c:pt idx="8">
                  <c:v>19.710999999999999</c:v>
                </c:pt>
              </c:numCache>
            </c:numRef>
          </c:xVal>
          <c:yVal>
            <c:numRef>
              <c:f>Abaco!$M$59:$M$67</c:f>
              <c:numCache>
                <c:formatCode>General" s"</c:formatCode>
                <c:ptCount val="9"/>
                <c:pt idx="0">
                  <c:v>12.609110000633915</c:v>
                </c:pt>
                <c:pt idx="1">
                  <c:v>15.884390077494404</c:v>
                </c:pt>
                <c:pt idx="2">
                  <c:v>17.819558468756725</c:v>
                </c:pt>
                <c:pt idx="3">
                  <c:v>18.886356302477783</c:v>
                </c:pt>
                <c:pt idx="4">
                  <c:v>19.281044512164758</c:v>
                </c:pt>
                <c:pt idx="5">
                  <c:v>19.156135433757512</c:v>
                </c:pt>
                <c:pt idx="6">
                  <c:v>18.654558052919189</c:v>
                </c:pt>
                <c:pt idx="7">
                  <c:v>17.907610888307552</c:v>
                </c:pt>
                <c:pt idx="8">
                  <c:v>17.025346882958033</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4.0935633310723798</c:v>
                </c:pt>
                <c:pt idx="1">
                  <c:v>4.0935633310723798</c:v>
                </c:pt>
                <c:pt idx="2">
                  <c:v>4.908027704600511</c:v>
                </c:pt>
                <c:pt idx="3">
                  <c:v>4.908027704600511</c:v>
                </c:pt>
              </c:numCache>
            </c:numRef>
          </c:xVal>
          <c:yVal>
            <c:numRef>
              <c:f>Stabilito!$C$190:$C$193</c:f>
              <c:numCache>
                <c:formatCode>0.00</c:formatCode>
                <c:ptCount val="4"/>
                <c:pt idx="0">
                  <c:v>19.135014339693754</c:v>
                </c:pt>
                <c:pt idx="1">
                  <c:v>19.135014339693754</c:v>
                </c:pt>
                <c:pt idx="2">
                  <c:v>19.135014339693754</c:v>
                </c:pt>
                <c:pt idx="3">
                  <c:v>19.135014339693754</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4.908027704600511</c:v>
                </c:pt>
                <c:pt idx="1">
                  <c:v>4.0935633310723798</c:v>
                </c:pt>
              </c:numCache>
            </c:numRef>
          </c:xVal>
          <c:yVal>
            <c:numRef>
              <c:f>Stabilito!$C$193:$C$194</c:f>
              <c:numCache>
                <c:formatCode>0.00</c:formatCode>
                <c:ptCount val="2"/>
                <c:pt idx="0">
                  <c:v>19.135014339693754</c:v>
                </c:pt>
                <c:pt idx="1">
                  <c:v>19.135014339693754</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2690.3927303966475</c:v>
                </c:pt>
              </c:numCache>
            </c:numRef>
          </c:xVal>
          <c:yVal>
            <c:numRef>
              <c:f>Trajecto!$C$118</c:f>
              <c:numCache>
                <c:formatCode>0</c:formatCode>
                <c:ptCount val="1"/>
                <c:pt idx="0">
                  <c:v>2690.3927303966475</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7.4363906398777129</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32.184646135499648</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73.734662523413036</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129.00983340090329</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192.33821846409273</c:v>
                </c:pt>
                <c:pt idx="501">
                  <c:v>#N/A</c:v>
                </c:pt>
                <c:pt idx="502">
                  <c:v>#N/A</c:v>
                </c:pt>
                <c:pt idx="503">
                  <c:v>#N/A</c:v>
                </c:pt>
                <c:pt idx="504">
                  <c:v>#N/A</c:v>
                </c:pt>
                <c:pt idx="505">
                  <c:v>#N/A</c:v>
                </c:pt>
                <c:pt idx="506">
                  <c:v>#N/A</c:v>
                </c:pt>
                <c:pt idx="507">
                  <c:v>#N/A</c:v>
                </c:pt>
                <c:pt idx="508">
                  <c:v>#N/A</c:v>
                </c:pt>
                <c:pt idx="509">
                  <c:v>#N/A</c:v>
                </c:pt>
                <c:pt idx="510">
                  <c:v>252.80573751157112</c:v>
                </c:pt>
                <c:pt idx="511">
                  <c:v>#N/A</c:v>
                </c:pt>
                <c:pt idx="512">
                  <c:v>#N/A</c:v>
                </c:pt>
                <c:pt idx="513">
                  <c:v>#N/A</c:v>
                </c:pt>
                <c:pt idx="514">
                  <c:v>#N/A</c:v>
                </c:pt>
                <c:pt idx="515">
                  <c:v>#N/A</c:v>
                </c:pt>
                <c:pt idx="516">
                  <c:v>#N/A</c:v>
                </c:pt>
                <c:pt idx="517">
                  <c:v>#N/A</c:v>
                </c:pt>
                <c:pt idx="518">
                  <c:v>#N/A</c:v>
                </c:pt>
                <c:pt idx="519">
                  <c:v>#N/A</c:v>
                </c:pt>
                <c:pt idx="520">
                  <c:v>309.7605385204148</c:v>
                </c:pt>
                <c:pt idx="521">
                  <c:v>#N/A</c:v>
                </c:pt>
                <c:pt idx="522">
                  <c:v>#N/A</c:v>
                </c:pt>
                <c:pt idx="523">
                  <c:v>#N/A</c:v>
                </c:pt>
                <c:pt idx="524">
                  <c:v>#N/A</c:v>
                </c:pt>
                <c:pt idx="525">
                  <c:v>#N/A</c:v>
                </c:pt>
                <c:pt idx="526">
                  <c:v>#N/A</c:v>
                </c:pt>
                <c:pt idx="527">
                  <c:v>#N/A</c:v>
                </c:pt>
                <c:pt idx="528">
                  <c:v>#N/A</c:v>
                </c:pt>
                <c:pt idx="529">
                  <c:v>#N/A</c:v>
                </c:pt>
                <c:pt idx="530">
                  <c:v>363.77576610944072</c:v>
                </c:pt>
                <c:pt idx="531">
                  <c:v>#N/A</c:v>
                </c:pt>
                <c:pt idx="532">
                  <c:v>#N/A</c:v>
                </c:pt>
                <c:pt idx="533">
                  <c:v>#N/A</c:v>
                </c:pt>
                <c:pt idx="534">
                  <c:v>#N/A</c:v>
                </c:pt>
                <c:pt idx="535">
                  <c:v>#N/A</c:v>
                </c:pt>
                <c:pt idx="536">
                  <c:v>#N/A</c:v>
                </c:pt>
                <c:pt idx="537">
                  <c:v>#N/A</c:v>
                </c:pt>
                <c:pt idx="538">
                  <c:v>#N/A</c:v>
                </c:pt>
                <c:pt idx="539">
                  <c:v>#N/A</c:v>
                </c:pt>
                <c:pt idx="540">
                  <c:v>415.30474423820448</c:v>
                </c:pt>
                <c:pt idx="541">
                  <c:v>#N/A</c:v>
                </c:pt>
                <c:pt idx="542">
                  <c:v>#N/A</c:v>
                </c:pt>
                <c:pt idx="543">
                  <c:v>#N/A</c:v>
                </c:pt>
                <c:pt idx="544">
                  <c:v>#N/A</c:v>
                </c:pt>
                <c:pt idx="545">
                  <c:v>#N/A</c:v>
                </c:pt>
                <c:pt idx="546">
                  <c:v>#N/A</c:v>
                </c:pt>
                <c:pt idx="547">
                  <c:v>#N/A</c:v>
                </c:pt>
                <c:pt idx="548">
                  <c:v>#N/A</c:v>
                </c:pt>
                <c:pt idx="549">
                  <c:v>#N/A</c:v>
                </c:pt>
                <c:pt idx="550">
                  <c:v>464.71330134637572</c:v>
                </c:pt>
                <c:pt idx="551">
                  <c:v>#N/A</c:v>
                </c:pt>
                <c:pt idx="552">
                  <c:v>#N/A</c:v>
                </c:pt>
                <c:pt idx="553">
                  <c:v>#N/A</c:v>
                </c:pt>
                <c:pt idx="554">
                  <c:v>#N/A</c:v>
                </c:pt>
                <c:pt idx="555">
                  <c:v>#N/A</c:v>
                </c:pt>
                <c:pt idx="556">
                  <c:v>#N/A</c:v>
                </c:pt>
                <c:pt idx="557">
                  <c:v>#N/A</c:v>
                </c:pt>
                <c:pt idx="558">
                  <c:v>#N/A</c:v>
                </c:pt>
                <c:pt idx="559">
                  <c:v>#N/A</c:v>
                </c:pt>
                <c:pt idx="560">
                  <c:v>512.30184901793939</c:v>
                </c:pt>
                <c:pt idx="561">
                  <c:v>#N/A</c:v>
                </c:pt>
                <c:pt idx="562">
                  <c:v>#N/A</c:v>
                </c:pt>
                <c:pt idx="563">
                  <c:v>#N/A</c:v>
                </c:pt>
                <c:pt idx="564">
                  <c:v>#N/A</c:v>
                </c:pt>
                <c:pt idx="565">
                  <c:v>#N/A</c:v>
                </c:pt>
                <c:pt idx="566">
                  <c:v>#N/A</c:v>
                </c:pt>
                <c:pt idx="567">
                  <c:v>#N/A</c:v>
                </c:pt>
                <c:pt idx="568">
                  <c:v>#N/A</c:v>
                </c:pt>
                <c:pt idx="569">
                  <c:v>#N/A</c:v>
                </c:pt>
                <c:pt idx="570">
                  <c:v>558.32088888342469</c:v>
                </c:pt>
                <c:pt idx="571">
                  <c:v>#N/A</c:v>
                </c:pt>
                <c:pt idx="572">
                  <c:v>#N/A</c:v>
                </c:pt>
                <c:pt idx="573">
                  <c:v>#N/A</c:v>
                </c:pt>
                <c:pt idx="574">
                  <c:v>#N/A</c:v>
                </c:pt>
                <c:pt idx="575">
                  <c:v>#N/A</c:v>
                </c:pt>
                <c:pt idx="576">
                  <c:v>#N/A</c:v>
                </c:pt>
                <c:pt idx="577">
                  <c:v>#N/A</c:v>
                </c:pt>
                <c:pt idx="578">
                  <c:v>#N/A</c:v>
                </c:pt>
                <c:pt idx="579">
                  <c:v>#N/A</c:v>
                </c:pt>
                <c:pt idx="580">
                  <c:v>602.98215978092264</c:v>
                </c:pt>
                <c:pt idx="581">
                  <c:v>#N/A</c:v>
                </c:pt>
                <c:pt idx="582">
                  <c:v>#N/A</c:v>
                </c:pt>
                <c:pt idx="583">
                  <c:v>#N/A</c:v>
                </c:pt>
                <c:pt idx="584">
                  <c:v>#N/A</c:v>
                </c:pt>
                <c:pt idx="585">
                  <c:v>#N/A</c:v>
                </c:pt>
                <c:pt idx="586">
                  <c:v>#N/A</c:v>
                </c:pt>
                <c:pt idx="587">
                  <c:v>#N/A</c:v>
                </c:pt>
                <c:pt idx="588">
                  <c:v>#N/A</c:v>
                </c:pt>
                <c:pt idx="589">
                  <c:v>#N/A</c:v>
                </c:pt>
                <c:pt idx="590">
                  <c:v>646.46680151813223</c:v>
                </c:pt>
                <c:pt idx="591">
                  <c:v>#N/A</c:v>
                </c:pt>
                <c:pt idx="592">
                  <c:v>#N/A</c:v>
                </c:pt>
                <c:pt idx="593">
                  <c:v>#N/A</c:v>
                </c:pt>
                <c:pt idx="594">
                  <c:v>#N/A</c:v>
                </c:pt>
                <c:pt idx="595">
                  <c:v>#N/A</c:v>
                </c:pt>
                <c:pt idx="596">
                  <c:v>#N/A</c:v>
                </c:pt>
                <c:pt idx="597">
                  <c:v>#N/A</c:v>
                </c:pt>
                <c:pt idx="598">
                  <c:v>#N/A</c:v>
                </c:pt>
                <c:pt idx="599">
                  <c:v>#N/A</c:v>
                </c:pt>
                <c:pt idx="600">
                  <c:v>688.93141274943684</c:v>
                </c:pt>
                <c:pt idx="601">
                  <c:v>#N/A</c:v>
                </c:pt>
                <c:pt idx="602">
                  <c:v>#N/A</c:v>
                </c:pt>
                <c:pt idx="603">
                  <c:v>#N/A</c:v>
                </c:pt>
                <c:pt idx="604">
                  <c:v>#N/A</c:v>
                </c:pt>
                <c:pt idx="605">
                  <c:v>#N/A</c:v>
                </c:pt>
                <c:pt idx="606">
                  <c:v>#N/A</c:v>
                </c:pt>
                <c:pt idx="607">
                  <c:v>#N/A</c:v>
                </c:pt>
                <c:pt idx="608">
                  <c:v>#N/A</c:v>
                </c:pt>
                <c:pt idx="609">
                  <c:v>#N/A</c:v>
                </c:pt>
                <c:pt idx="610">
                  <c:v>730.51256865418861</c:v>
                </c:pt>
                <c:pt idx="611">
                  <c:v>#N/A</c:v>
                </c:pt>
                <c:pt idx="612">
                  <c:v>#N/A</c:v>
                </c:pt>
                <c:pt idx="613">
                  <c:v>#N/A</c:v>
                </c:pt>
                <c:pt idx="614">
                  <c:v>#N/A</c:v>
                </c:pt>
                <c:pt idx="615">
                  <c:v>#N/A</c:v>
                </c:pt>
                <c:pt idx="616">
                  <c:v>#N/A</c:v>
                </c:pt>
                <c:pt idx="617">
                  <c:v>#N/A</c:v>
                </c:pt>
                <c:pt idx="618">
                  <c:v>#N/A</c:v>
                </c:pt>
                <c:pt idx="619">
                  <c:v>#N/A</c:v>
                </c:pt>
                <c:pt idx="620">
                  <c:v>771.33015718406932</c:v>
                </c:pt>
                <c:pt idx="621">
                  <c:v>#N/A</c:v>
                </c:pt>
                <c:pt idx="622">
                  <c:v>#N/A</c:v>
                </c:pt>
                <c:pt idx="623">
                  <c:v>#N/A</c:v>
                </c:pt>
                <c:pt idx="624">
                  <c:v>#N/A</c:v>
                </c:pt>
                <c:pt idx="625">
                  <c:v>#N/A</c:v>
                </c:pt>
                <c:pt idx="626">
                  <c:v>#N/A</c:v>
                </c:pt>
                <c:pt idx="627">
                  <c:v>#N/A</c:v>
                </c:pt>
                <c:pt idx="628">
                  <c:v>#N/A</c:v>
                </c:pt>
                <c:pt idx="629">
                  <c:v>#N/A</c:v>
                </c:pt>
                <c:pt idx="630">
                  <c:v>811.48974216565045</c:v>
                </c:pt>
                <c:pt idx="631">
                  <c:v>#N/A</c:v>
                </c:pt>
                <c:pt idx="632">
                  <c:v>#N/A</c:v>
                </c:pt>
                <c:pt idx="633">
                  <c:v>#N/A</c:v>
                </c:pt>
                <c:pt idx="634">
                  <c:v>#N/A</c:v>
                </c:pt>
                <c:pt idx="635">
                  <c:v>#N/A</c:v>
                </c:pt>
                <c:pt idx="636">
                  <c:v>#N/A</c:v>
                </c:pt>
                <c:pt idx="637">
                  <c:v>#N/A</c:v>
                </c:pt>
                <c:pt idx="638">
                  <c:v>#N/A</c:v>
                </c:pt>
                <c:pt idx="639">
                  <c:v>#N/A</c:v>
                </c:pt>
                <c:pt idx="640">
                  <c:v>851.08403619287014</c:v>
                </c:pt>
                <c:pt idx="641">
                  <c:v>#N/A</c:v>
                </c:pt>
                <c:pt idx="642">
                  <c:v>#N/A</c:v>
                </c:pt>
                <c:pt idx="643">
                  <c:v>#N/A</c:v>
                </c:pt>
                <c:pt idx="644">
                  <c:v>#N/A</c:v>
                </c:pt>
                <c:pt idx="645">
                  <c:v>#N/A</c:v>
                </c:pt>
                <c:pt idx="646">
                  <c:v>#N/A</c:v>
                </c:pt>
                <c:pt idx="647">
                  <c:v>#N/A</c:v>
                </c:pt>
                <c:pt idx="648">
                  <c:v>#N/A</c:v>
                </c:pt>
                <c:pt idx="649">
                  <c:v>#N/A</c:v>
                </c:pt>
                <c:pt idx="650">
                  <c:v>890.19344698904672</c:v>
                </c:pt>
                <c:pt idx="651">
                  <c:v>#N/A</c:v>
                </c:pt>
                <c:pt idx="652">
                  <c:v>#N/A</c:v>
                </c:pt>
                <c:pt idx="653">
                  <c:v>#N/A</c:v>
                </c:pt>
                <c:pt idx="654">
                  <c:v>#N/A</c:v>
                </c:pt>
                <c:pt idx="655">
                  <c:v>#N/A</c:v>
                </c:pt>
                <c:pt idx="656">
                  <c:v>#N/A</c:v>
                </c:pt>
                <c:pt idx="657">
                  <c:v>#N/A</c:v>
                </c:pt>
                <c:pt idx="658">
                  <c:v>#N/A</c:v>
                </c:pt>
                <c:pt idx="659">
                  <c:v>#N/A</c:v>
                </c:pt>
                <c:pt idx="660">
                  <c:v>928.88555407969795</c:v>
                </c:pt>
                <c:pt idx="661">
                  <c:v>#N/A</c:v>
                </c:pt>
                <c:pt idx="662">
                  <c:v>#N/A</c:v>
                </c:pt>
                <c:pt idx="663">
                  <c:v>#N/A</c:v>
                </c:pt>
                <c:pt idx="664">
                  <c:v>#N/A</c:v>
                </c:pt>
                <c:pt idx="665">
                  <c:v>#N/A</c:v>
                </c:pt>
                <c:pt idx="666">
                  <c:v>#N/A</c:v>
                </c:pt>
                <c:pt idx="667">
                  <c:v>#N/A</c:v>
                </c:pt>
                <c:pt idx="668">
                  <c:v>#N/A</c:v>
                </c:pt>
                <c:pt idx="669">
                  <c:v>#N/A</c:v>
                </c:pt>
                <c:pt idx="670">
                  <c:v>967.21336291339435</c:v>
                </c:pt>
                <c:pt idx="671">
                  <c:v>#N/A</c:v>
                </c:pt>
                <c:pt idx="672">
                  <c:v>#N/A</c:v>
                </c:pt>
                <c:pt idx="673">
                  <c:v>#N/A</c:v>
                </c:pt>
                <c:pt idx="674">
                  <c:v>#N/A</c:v>
                </c:pt>
                <c:pt idx="675">
                  <c:v>#N/A</c:v>
                </c:pt>
                <c:pt idx="676">
                  <c:v>#N/A</c:v>
                </c:pt>
                <c:pt idx="677">
                  <c:v>#N/A</c:v>
                </c:pt>
                <c:pt idx="678">
                  <c:v>#N/A</c:v>
                </c:pt>
                <c:pt idx="679">
                  <c:v>#N/A</c:v>
                </c:pt>
                <c:pt idx="680">
                  <c:v>1005.2125183430788</c:v>
                </c:pt>
                <c:pt idx="681">
                  <c:v>#N/A</c:v>
                </c:pt>
                <c:pt idx="682">
                  <c:v>#N/A</c:v>
                </c:pt>
                <c:pt idx="683">
                  <c:v>#N/A</c:v>
                </c:pt>
                <c:pt idx="684">
                  <c:v>#N/A</c:v>
                </c:pt>
                <c:pt idx="685">
                  <c:v>#N/A</c:v>
                </c:pt>
                <c:pt idx="686">
                  <c:v>#N/A</c:v>
                </c:pt>
                <c:pt idx="687">
                  <c:v>#N/A</c:v>
                </c:pt>
                <c:pt idx="688">
                  <c:v>#N/A</c:v>
                </c:pt>
                <c:pt idx="689">
                  <c:v>#N/A</c:v>
                </c:pt>
                <c:pt idx="690">
                  <c:v>1042.8985860638859</c:v>
                </c:pt>
                <c:pt idx="691">
                  <c:v>#N/A</c:v>
                </c:pt>
                <c:pt idx="692">
                  <c:v>#N/A</c:v>
                </c:pt>
                <c:pt idx="693">
                  <c:v>#N/A</c:v>
                </c:pt>
                <c:pt idx="694">
                  <c:v>#N/A</c:v>
                </c:pt>
                <c:pt idx="695">
                  <c:v>#N/A</c:v>
                </c:pt>
                <c:pt idx="696">
                  <c:v>#N/A</c:v>
                </c:pt>
                <c:pt idx="697">
                  <c:v>#N/A</c:v>
                </c:pt>
                <c:pt idx="698">
                  <c:v>#N/A</c:v>
                </c:pt>
                <c:pt idx="699">
                  <c:v>#N/A</c:v>
                </c:pt>
                <c:pt idx="700">
                  <c:v>1080.2663894036725</c:v>
                </c:pt>
                <c:pt idx="701">
                  <c:v>#N/A</c:v>
                </c:pt>
                <c:pt idx="702">
                  <c:v>#N/A</c:v>
                </c:pt>
                <c:pt idx="703">
                  <c:v>#N/A</c:v>
                </c:pt>
                <c:pt idx="704">
                  <c:v>#N/A</c:v>
                </c:pt>
                <c:pt idx="705">
                  <c:v>#N/A</c:v>
                </c:pt>
                <c:pt idx="706">
                  <c:v>#N/A</c:v>
                </c:pt>
                <c:pt idx="707">
                  <c:v>#N/A</c:v>
                </c:pt>
                <c:pt idx="708">
                  <c:v>#N/A</c:v>
                </c:pt>
                <c:pt idx="709">
                  <c:v>#N/A</c:v>
                </c:pt>
                <c:pt idx="710">
                  <c:v>1117.2925568389401</c:v>
                </c:pt>
                <c:pt idx="711">
                  <c:v>#N/A</c:v>
                </c:pt>
                <c:pt idx="712">
                  <c:v>#N/A</c:v>
                </c:pt>
                <c:pt idx="713">
                  <c:v>#N/A</c:v>
                </c:pt>
                <c:pt idx="714">
                  <c:v>#N/A</c:v>
                </c:pt>
                <c:pt idx="715">
                  <c:v>#N/A</c:v>
                </c:pt>
                <c:pt idx="716">
                  <c:v>#N/A</c:v>
                </c:pt>
                <c:pt idx="717">
                  <c:v>#N/A</c:v>
                </c:pt>
                <c:pt idx="718">
                  <c:v>#N/A</c:v>
                </c:pt>
                <c:pt idx="719">
                  <c:v>#N/A</c:v>
                </c:pt>
                <c:pt idx="720">
                  <c:v>1153.9402020132625</c:v>
                </c:pt>
                <c:pt idx="721">
                  <c:v>#N/A</c:v>
                </c:pt>
                <c:pt idx="722">
                  <c:v>#N/A</c:v>
                </c:pt>
                <c:pt idx="723">
                  <c:v>#N/A</c:v>
                </c:pt>
                <c:pt idx="724">
                  <c:v>#N/A</c:v>
                </c:pt>
                <c:pt idx="725">
                  <c:v>#N/A</c:v>
                </c:pt>
                <c:pt idx="726">
                  <c:v>#N/A</c:v>
                </c:pt>
                <c:pt idx="727">
                  <c:v>#N/A</c:v>
                </c:pt>
                <c:pt idx="728">
                  <c:v>#N/A</c:v>
                </c:pt>
                <c:pt idx="729">
                  <c:v>#N/A</c:v>
                </c:pt>
                <c:pt idx="730">
                  <c:v>1190.1637484045184</c:v>
                </c:pt>
                <c:pt idx="731">
                  <c:v>#N/A</c:v>
                </c:pt>
                <c:pt idx="732">
                  <c:v>#N/A</c:v>
                </c:pt>
                <c:pt idx="733">
                  <c:v>#N/A</c:v>
                </c:pt>
                <c:pt idx="734">
                  <c:v>#N/A</c:v>
                </c:pt>
                <c:pt idx="735">
                  <c:v>#N/A</c:v>
                </c:pt>
                <c:pt idx="736">
                  <c:v>#N/A</c:v>
                </c:pt>
                <c:pt idx="737">
                  <c:v>#N/A</c:v>
                </c:pt>
                <c:pt idx="738">
                  <c:v>#N/A</c:v>
                </c:pt>
                <c:pt idx="739">
                  <c:v>#N/A</c:v>
                </c:pt>
                <c:pt idx="740">
                  <c:v>1225.9127931401906</c:v>
                </c:pt>
                <c:pt idx="741">
                  <c:v>#N/A</c:v>
                </c:pt>
                <c:pt idx="742">
                  <c:v>#N/A</c:v>
                </c:pt>
                <c:pt idx="743">
                  <c:v>#N/A</c:v>
                </c:pt>
                <c:pt idx="744">
                  <c:v>#N/A</c:v>
                </c:pt>
                <c:pt idx="745">
                  <c:v>#N/A</c:v>
                </c:pt>
                <c:pt idx="746">
                  <c:v>#N/A</c:v>
                </c:pt>
                <c:pt idx="747">
                  <c:v>#N/A</c:v>
                </c:pt>
                <c:pt idx="748">
                  <c:v>#N/A</c:v>
                </c:pt>
                <c:pt idx="749">
                  <c:v>#N/A</c:v>
                </c:pt>
                <c:pt idx="750">
                  <c:v>1261.1348883459075</c:v>
                </c:pt>
                <c:pt idx="751">
                  <c:v>#N/A</c:v>
                </c:pt>
                <c:pt idx="752">
                  <c:v>#N/A</c:v>
                </c:pt>
                <c:pt idx="753">
                  <c:v>#N/A</c:v>
                </c:pt>
                <c:pt idx="754">
                  <c:v>#N/A</c:v>
                </c:pt>
                <c:pt idx="755">
                  <c:v>#N/A</c:v>
                </c:pt>
                <c:pt idx="756">
                  <c:v>#N/A</c:v>
                </c:pt>
                <c:pt idx="757">
                  <c:v>#N/A</c:v>
                </c:pt>
                <c:pt idx="758">
                  <c:v>#N/A</c:v>
                </c:pt>
                <c:pt idx="759">
                  <c:v>#N/A</c:v>
                </c:pt>
                <c:pt idx="760">
                  <c:v>1295.7774911778945</c:v>
                </c:pt>
                <c:pt idx="761">
                  <c:v>#N/A</c:v>
                </c:pt>
                <c:pt idx="762">
                  <c:v>#N/A</c:v>
                </c:pt>
                <c:pt idx="763">
                  <c:v>#N/A</c:v>
                </c:pt>
                <c:pt idx="764">
                  <c:v>#N/A</c:v>
                </c:pt>
                <c:pt idx="765">
                  <c:v>#N/A</c:v>
                </c:pt>
                <c:pt idx="766">
                  <c:v>#N/A</c:v>
                </c:pt>
                <c:pt idx="767">
                  <c:v>#N/A</c:v>
                </c:pt>
                <c:pt idx="768">
                  <c:v>#N/A</c:v>
                </c:pt>
                <c:pt idx="769">
                  <c:v>#N/A</c:v>
                </c:pt>
                <c:pt idx="770">
                  <c:v>1329.7893469902085</c:v>
                </c:pt>
                <c:pt idx="771">
                  <c:v>#N/A</c:v>
                </c:pt>
                <c:pt idx="772">
                  <c:v>#N/A</c:v>
                </c:pt>
                <c:pt idx="773">
                  <c:v>#N/A</c:v>
                </c:pt>
                <c:pt idx="774">
                  <c:v>#N/A</c:v>
                </c:pt>
                <c:pt idx="775">
                  <c:v>#N/A</c:v>
                </c:pt>
                <c:pt idx="776">
                  <c:v>#N/A</c:v>
                </c:pt>
                <c:pt idx="777">
                  <c:v>#N/A</c:v>
                </c:pt>
                <c:pt idx="778">
                  <c:v>#N/A</c:v>
                </c:pt>
                <c:pt idx="779">
                  <c:v>#N/A</c:v>
                </c:pt>
                <c:pt idx="780">
                  <c:v>1363.1214934880852</c:v>
                </c:pt>
                <c:pt idx="781">
                  <c:v>#N/A</c:v>
                </c:pt>
                <c:pt idx="782">
                  <c:v>#N/A</c:v>
                </c:pt>
                <c:pt idx="783">
                  <c:v>#N/A</c:v>
                </c:pt>
                <c:pt idx="784">
                  <c:v>#N/A</c:v>
                </c:pt>
                <c:pt idx="785">
                  <c:v>#N/A</c:v>
                </c:pt>
                <c:pt idx="786">
                  <c:v>#N/A</c:v>
                </c:pt>
                <c:pt idx="787">
                  <c:v>#N/A</c:v>
                </c:pt>
                <c:pt idx="788">
                  <c:v>#N/A</c:v>
                </c:pt>
                <c:pt idx="789">
                  <c:v>#N/A</c:v>
                </c:pt>
                <c:pt idx="790">
                  <c:v>1395.7280044193005</c:v>
                </c:pt>
                <c:pt idx="791">
                  <c:v>#N/A</c:v>
                </c:pt>
                <c:pt idx="792">
                  <c:v>#N/A</c:v>
                </c:pt>
                <c:pt idx="793">
                  <c:v>#N/A</c:v>
                </c:pt>
                <c:pt idx="794">
                  <c:v>#N/A</c:v>
                </c:pt>
                <c:pt idx="795">
                  <c:v>#N/A</c:v>
                </c:pt>
                <c:pt idx="796">
                  <c:v>#N/A</c:v>
                </c:pt>
                <c:pt idx="797">
                  <c:v>#N/A</c:v>
                </c:pt>
                <c:pt idx="798">
                  <c:v>#N/A</c:v>
                </c:pt>
                <c:pt idx="799">
                  <c:v>#N/A</c:v>
                </c:pt>
                <c:pt idx="800">
                  <c:v>1427.5665451337343</c:v>
                </c:pt>
                <c:pt idx="801">
                  <c:v>#N/A</c:v>
                </c:pt>
                <c:pt idx="802">
                  <c:v>#N/A</c:v>
                </c:pt>
                <c:pt idx="803">
                  <c:v>#N/A</c:v>
                </c:pt>
                <c:pt idx="804">
                  <c:v>#N/A</c:v>
                </c:pt>
                <c:pt idx="805">
                  <c:v>#N/A</c:v>
                </c:pt>
                <c:pt idx="806">
                  <c:v>#N/A</c:v>
                </c:pt>
                <c:pt idx="807">
                  <c:v>#N/A</c:v>
                </c:pt>
                <c:pt idx="808">
                  <c:v>#N/A</c:v>
                </c:pt>
                <c:pt idx="809">
                  <c:v>#N/A</c:v>
                </c:pt>
                <c:pt idx="810">
                  <c:v>1458.5987843025646</c:v>
                </c:pt>
                <c:pt idx="811">
                  <c:v>#N/A</c:v>
                </c:pt>
                <c:pt idx="812">
                  <c:v>#N/A</c:v>
                </c:pt>
                <c:pt idx="813">
                  <c:v>#N/A</c:v>
                </c:pt>
                <c:pt idx="814">
                  <c:v>#N/A</c:v>
                </c:pt>
                <c:pt idx="815">
                  <c:v>#N/A</c:v>
                </c:pt>
                <c:pt idx="816">
                  <c:v>#N/A</c:v>
                </c:pt>
                <c:pt idx="817">
                  <c:v>#N/A</c:v>
                </c:pt>
                <c:pt idx="818">
                  <c:v>#N/A</c:v>
                </c:pt>
                <c:pt idx="819">
                  <c:v>#N/A</c:v>
                </c:pt>
                <c:pt idx="820">
                  <c:v>1488.7906896534926</c:v>
                </c:pt>
                <c:pt idx="821">
                  <c:v>#N/A</c:v>
                </c:pt>
                <c:pt idx="822">
                  <c:v>#N/A</c:v>
                </c:pt>
                <c:pt idx="823">
                  <c:v>#N/A</c:v>
                </c:pt>
                <c:pt idx="824">
                  <c:v>#N/A</c:v>
                </c:pt>
                <c:pt idx="825">
                  <c:v>#N/A</c:v>
                </c:pt>
                <c:pt idx="826">
                  <c:v>#N/A</c:v>
                </c:pt>
                <c:pt idx="827">
                  <c:v>#N/A</c:v>
                </c:pt>
                <c:pt idx="828">
                  <c:v>#N/A</c:v>
                </c:pt>
                <c:pt idx="829">
                  <c:v>#N/A</c:v>
                </c:pt>
                <c:pt idx="830">
                  <c:v>1518.1127260910546</c:v>
                </c:pt>
                <c:pt idx="831">
                  <c:v>#N/A</c:v>
                </c:pt>
                <c:pt idx="832">
                  <c:v>#N/A</c:v>
                </c:pt>
                <c:pt idx="833">
                  <c:v>#N/A</c:v>
                </c:pt>
                <c:pt idx="834">
                  <c:v>#N/A</c:v>
                </c:pt>
                <c:pt idx="835">
                  <c:v>#N/A</c:v>
                </c:pt>
                <c:pt idx="836">
                  <c:v>#N/A</c:v>
                </c:pt>
                <c:pt idx="837">
                  <c:v>#N/A</c:v>
                </c:pt>
                <c:pt idx="838">
                  <c:v>#N/A</c:v>
                </c:pt>
                <c:pt idx="839">
                  <c:v>#N/A</c:v>
                </c:pt>
                <c:pt idx="840">
                  <c:v>1546.5399691711059</c:v>
                </c:pt>
                <c:pt idx="841">
                  <c:v>#N/A</c:v>
                </c:pt>
                <c:pt idx="842">
                  <c:v>#N/A</c:v>
                </c:pt>
                <c:pt idx="843">
                  <c:v>#N/A</c:v>
                </c:pt>
                <c:pt idx="844">
                  <c:v>#N/A</c:v>
                </c:pt>
                <c:pt idx="845">
                  <c:v>#N/A</c:v>
                </c:pt>
                <c:pt idx="846">
                  <c:v>#N/A</c:v>
                </c:pt>
                <c:pt idx="847">
                  <c:v>#N/A</c:v>
                </c:pt>
                <c:pt idx="848">
                  <c:v>#N/A</c:v>
                </c:pt>
                <c:pt idx="849">
                  <c:v>#N/A</c:v>
                </c:pt>
                <c:pt idx="850">
                  <c:v>1574.0521438962928</c:v>
                </c:pt>
                <c:pt idx="851">
                  <c:v>#N/A</c:v>
                </c:pt>
                <c:pt idx="852">
                  <c:v>#N/A</c:v>
                </c:pt>
                <c:pt idx="853">
                  <c:v>#N/A</c:v>
                </c:pt>
                <c:pt idx="854">
                  <c:v>#N/A</c:v>
                </c:pt>
                <c:pt idx="855">
                  <c:v>#N/A</c:v>
                </c:pt>
                <c:pt idx="856">
                  <c:v>#N/A</c:v>
                </c:pt>
                <c:pt idx="857">
                  <c:v>#N/A</c:v>
                </c:pt>
                <c:pt idx="858">
                  <c:v>#N/A</c:v>
                </c:pt>
                <c:pt idx="859">
                  <c:v>#N/A</c:v>
                </c:pt>
                <c:pt idx="860">
                  <c:v>1600.6335971978785</c:v>
                </c:pt>
                <c:pt idx="861">
                  <c:v>#N/A</c:v>
                </c:pt>
                <c:pt idx="862">
                  <c:v>#N/A</c:v>
                </c:pt>
                <c:pt idx="863">
                  <c:v>#N/A</c:v>
                </c:pt>
                <c:pt idx="864">
                  <c:v>#N/A</c:v>
                </c:pt>
                <c:pt idx="865">
                  <c:v>#N/A</c:v>
                </c:pt>
                <c:pt idx="866">
                  <c:v>#N/A</c:v>
                </c:pt>
                <c:pt idx="867">
                  <c:v>#N/A</c:v>
                </c:pt>
                <c:pt idx="868">
                  <c:v>#N/A</c:v>
                </c:pt>
                <c:pt idx="869">
                  <c:v>#N/A</c:v>
                </c:pt>
                <c:pt idx="870">
                  <c:v>1626.2732116719351</c:v>
                </c:pt>
                <c:pt idx="871">
                  <c:v>#N/A</c:v>
                </c:pt>
                <c:pt idx="872">
                  <c:v>#N/A</c:v>
                </c:pt>
                <c:pt idx="873">
                  <c:v>#N/A</c:v>
                </c:pt>
                <c:pt idx="874">
                  <c:v>#N/A</c:v>
                </c:pt>
                <c:pt idx="875">
                  <c:v>#N/A</c:v>
                </c:pt>
                <c:pt idx="876">
                  <c:v>#N/A</c:v>
                </c:pt>
                <c:pt idx="877">
                  <c:v>#N/A</c:v>
                </c:pt>
                <c:pt idx="878">
                  <c:v>#N/A</c:v>
                </c:pt>
                <c:pt idx="879">
                  <c:v>#N/A</c:v>
                </c:pt>
                <c:pt idx="880">
                  <c:v>1650.9642677800359</c:v>
                </c:pt>
                <c:pt idx="881">
                  <c:v>#N/A</c:v>
                </c:pt>
                <c:pt idx="882">
                  <c:v>#N/A</c:v>
                </c:pt>
                <c:pt idx="883">
                  <c:v>#N/A</c:v>
                </c:pt>
                <c:pt idx="884">
                  <c:v>#N/A</c:v>
                </c:pt>
                <c:pt idx="885">
                  <c:v>#N/A</c:v>
                </c:pt>
                <c:pt idx="886">
                  <c:v>#N/A</c:v>
                </c:pt>
                <c:pt idx="887">
                  <c:v>#N/A</c:v>
                </c:pt>
                <c:pt idx="888">
                  <c:v>#N/A</c:v>
                </c:pt>
                <c:pt idx="889">
                  <c:v>#N/A</c:v>
                </c:pt>
                <c:pt idx="890">
                  <c:v>1674.7042615796934</c:v>
                </c:pt>
                <c:pt idx="891">
                  <c:v>#N/A</c:v>
                </c:pt>
                <c:pt idx="892">
                  <c:v>#N/A</c:v>
                </c:pt>
                <c:pt idx="893">
                  <c:v>#N/A</c:v>
                </c:pt>
                <c:pt idx="894">
                  <c:v>#N/A</c:v>
                </c:pt>
                <c:pt idx="895">
                  <c:v>#N/A</c:v>
                </c:pt>
                <c:pt idx="896">
                  <c:v>#N/A</c:v>
                </c:pt>
                <c:pt idx="897">
                  <c:v>#N/A</c:v>
                </c:pt>
                <c:pt idx="898">
                  <c:v>#N/A</c:v>
                </c:pt>
                <c:pt idx="899">
                  <c:v>#N/A</c:v>
                </c:pt>
                <c:pt idx="900">
                  <c:v>1697.4946849762396</c:v>
                </c:pt>
                <c:pt idx="901">
                  <c:v>#N/A</c:v>
                </c:pt>
                <c:pt idx="902">
                  <c:v>#N/A</c:v>
                </c:pt>
                <c:pt idx="903">
                  <c:v>#N/A</c:v>
                </c:pt>
                <c:pt idx="904">
                  <c:v>#N/A</c:v>
                </c:pt>
                <c:pt idx="905">
                  <c:v>#N/A</c:v>
                </c:pt>
                <c:pt idx="906">
                  <c:v>#N/A</c:v>
                </c:pt>
                <c:pt idx="907">
                  <c:v>#N/A</c:v>
                </c:pt>
                <c:pt idx="908">
                  <c:v>#N/A</c:v>
                </c:pt>
                <c:pt idx="909">
                  <c:v>#N/A</c:v>
                </c:pt>
                <c:pt idx="910">
                  <c:v>1719.34077539855</c:v>
                </c:pt>
                <c:pt idx="911">
                  <c:v>#N/A</c:v>
                </c:pt>
                <c:pt idx="912">
                  <c:v>#N/A</c:v>
                </c:pt>
                <c:pt idx="913">
                  <c:v>#N/A</c:v>
                </c:pt>
                <c:pt idx="914">
                  <c:v>#N/A</c:v>
                </c:pt>
                <c:pt idx="915">
                  <c:v>#N/A</c:v>
                </c:pt>
                <c:pt idx="916">
                  <c:v>#N/A</c:v>
                </c:pt>
                <c:pt idx="917">
                  <c:v>#N/A</c:v>
                </c:pt>
                <c:pt idx="918">
                  <c:v>#N/A</c:v>
                </c:pt>
                <c:pt idx="919">
                  <c:v>#N/A</c:v>
                </c:pt>
                <c:pt idx="920">
                  <c:v>1740.2512416453735</c:v>
                </c:pt>
                <c:pt idx="921">
                  <c:v>#N/A</c:v>
                </c:pt>
                <c:pt idx="922">
                  <c:v>#N/A</c:v>
                </c:pt>
                <c:pt idx="923">
                  <c:v>#N/A</c:v>
                </c:pt>
                <c:pt idx="924">
                  <c:v>#N/A</c:v>
                </c:pt>
                <c:pt idx="925">
                  <c:v>#N/A</c:v>
                </c:pt>
                <c:pt idx="926">
                  <c:v>#N/A</c:v>
                </c:pt>
                <c:pt idx="927">
                  <c:v>#N/A</c:v>
                </c:pt>
                <c:pt idx="928">
                  <c:v>#N/A</c:v>
                </c:pt>
                <c:pt idx="929">
                  <c:v>#N/A</c:v>
                </c:pt>
                <c:pt idx="930">
                  <c:v>1760.2379724018388</c:v>
                </c:pt>
                <c:pt idx="931">
                  <c:v>#N/A</c:v>
                </c:pt>
                <c:pt idx="932">
                  <c:v>#N/A</c:v>
                </c:pt>
                <c:pt idx="933">
                  <c:v>#N/A</c:v>
                </c:pt>
                <c:pt idx="934">
                  <c:v>#N/A</c:v>
                </c:pt>
                <c:pt idx="935">
                  <c:v>#N/A</c:v>
                </c:pt>
                <c:pt idx="936">
                  <c:v>#N/A</c:v>
                </c:pt>
                <c:pt idx="937">
                  <c:v>#N/A</c:v>
                </c:pt>
                <c:pt idx="938">
                  <c:v>#N/A</c:v>
                </c:pt>
                <c:pt idx="939">
                  <c:v>#N/A</c:v>
                </c:pt>
                <c:pt idx="940">
                  <c:v>1779.3157335795345</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2647.5377654318622</c:v>
                </c:pt>
                <c:pt idx="651">
                  <c:v>2650.4158653779969</c:v>
                </c:pt>
                <c:pt idx="652">
                  <c:v>2653.1928284295295</c:v>
                </c:pt>
                <c:pt idx="653">
                  <c:v>2655.8688001867931</c:v>
                </c:pt>
                <c:pt idx="654">
                  <c:v>2658.4439223623162</c:v>
                </c:pt>
                <c:pt idx="655">
                  <c:v>2660.9183328698477</c:v>
                </c:pt>
                <c:pt idx="656">
                  <c:v>2663.2921659157519</c:v>
                </c:pt>
                <c:pt idx="657">
                  <c:v>2665.565552092969</c:v>
                </c:pt>
                <c:pt idx="658">
                  <c:v>2667.7386184777233</c:v>
                </c:pt>
                <c:pt idx="659">
                  <c:v>2669.811488729169</c:v>
                </c:pt>
                <c:pt idx="660">
                  <c:v>2671.784283192148</c:v>
                </c:pt>
                <c:pt idx="661">
                  <c:v>2673.6571190032278</c:v>
                </c:pt>
                <c:pt idx="662">
                  <c:v>2675.4301102001778</c:v>
                </c:pt>
                <c:pt idx="663">
                  <c:v>2677.1033678350223</c:v>
                </c:pt>
                <c:pt idx="664">
                  <c:v>2678.6770000907954</c:v>
                </c:pt>
                <c:pt idx="665">
                  <c:v>2680.1511124020954</c:v>
                </c:pt>
                <c:pt idx="666">
                  <c:v>2681.5258075795164</c:v>
                </c:pt>
                <c:pt idx="667">
                  <c:v>2682.8011859380031</c:v>
                </c:pt>
                <c:pt idx="668">
                  <c:v>2683.9773454291426</c:v>
                </c:pt>
                <c:pt idx="669">
                  <c:v>2685.0543817773705</c:v>
                </c:pt>
                <c:pt idx="670">
                  <c:v>2686.0323886200317</c:v>
                </c:pt>
                <c:pt idx="671">
                  <c:v>2686.9114576511947</c:v>
                </c:pt>
                <c:pt idx="672">
                  <c:v>2687.6916787690698</c:v>
                </c:pt>
                <c:pt idx="673">
                  <c:v>2688.3731402268463</c:v>
                </c:pt>
                <c:pt idx="674">
                  <c:v>2688.9559287867069</c:v>
                </c:pt>
                <c:pt idx="675">
                  <c:v>2689.4401298767407</c:v>
                </c:pt>
                <c:pt idx="676">
                  <c:v>2689.8258277504278</c:v>
                </c:pt>
                <c:pt idx="677">
                  <c:v>2690.1131056483273</c:v>
                </c:pt>
                <c:pt idx="678">
                  <c:v>2690.30204596156</c:v>
                </c:pt>
                <c:pt idx="679">
                  <c:v>2690.3927303966475</c:v>
                </c:pt>
                <c:pt idx="680">
                  <c:v>2690.3852401412328</c:v>
                </c:pt>
                <c:pt idx="681">
                  <c:v>2690.2796560301908</c:v>
                </c:pt>
                <c:pt idx="682">
                  <c:v>2690.0760587116147</c:v>
                </c:pt>
                <c:pt idx="683">
                  <c:v>2689.7745288121573</c:v>
                </c:pt>
                <c:pt idx="684">
                  <c:v>2689.3751471012065</c:v>
                </c:pt>
                <c:pt idx="685">
                  <c:v>2688.8779946533723</c:v>
                </c:pt>
                <c:pt idx="686">
                  <c:v>2688.2831530087851</c:v>
                </c:pt>
                <c:pt idx="687">
                  <c:v>2687.5907043307138</c:v>
                </c:pt>
                <c:pt idx="688">
                  <c:v>2686.8007315600489</c:v>
                </c:pt>
                <c:pt idx="689">
                  <c:v>2685.9133185662195</c:v>
                </c:pt>
                <c:pt idx="690">
                  <c:v>2684.9285502941534</c:v>
                </c:pt>
                <c:pt idx="691">
                  <c:v>2683.8465129069314</c:v>
                </c:pt>
                <c:pt idx="692">
                  <c:v>2682.6672939238238</c:v>
                </c:pt>
                <c:pt idx="693">
                  <c:v>2681.3909823534509</c:v>
                </c:pt>
                <c:pt idx="694">
                  <c:v>2680.0176688218467</c:v>
                </c:pt>
                <c:pt idx="695">
                  <c:v>2678.5474456952556</c:v>
                </c:pt>
                <c:pt idx="696">
                  <c:v>2676.9804071975368</c:v>
                </c:pt>
                <c:pt idx="697">
                  <c:v>2675.3166495220885</c:v>
                </c:pt>
                <c:pt idx="698">
                  <c:v>2673.5562709382489</c:v>
                </c:pt>
                <c:pt idx="699">
                  <c:v>2671.6993718921703</c:v>
                </c:pt>
                <c:pt idx="700">
                  <c:v>2669.7460551021886</c:v>
                </c:pt>
                <c:pt idx="701">
                  <c:v>2667.6964256487495</c:v>
                </c:pt>
                <c:pt idx="702">
                  <c:v>2665.5505910589764</c:v>
                </c:pt>
                <c:pt idx="703">
                  <c:v>2663.3086613859846</c:v>
                </c:pt>
                <c:pt idx="704">
                  <c:v>2660.9707492830739</c:v>
                </c:pt>
                <c:pt idx="705">
                  <c:v>2658.5369700729425</c:v>
                </c:pt>
                <c:pt idx="706">
                  <c:v>2656.0074418120753</c:v>
                </c:pt>
                <c:pt idx="707">
                  <c:v>2653.3822853504817</c:v>
                </c:pt>
                <c:pt idx="708">
                  <c:v>2650.6616243869494</c:v>
                </c:pt>
                <c:pt idx="709">
                  <c:v>2647.8455855199968</c:v>
                </c:pt>
                <c:pt idx="710">
                  <c:v>2644.9342982947069</c:v>
                </c:pt>
                <c:pt idx="711">
                  <c:v>2641.9278952456211</c:v>
                </c:pt>
                <c:pt idx="712">
                  <c:v>2638.8265119358775</c:v>
                </c:pt>
                <c:pt idx="713">
                  <c:v>2635.6302869927699</c:v>
                </c:pt>
                <c:pt idx="714">
                  <c:v>2632.339362139905</c:v>
                </c:pt>
                <c:pt idx="715">
                  <c:v>2628.9538822261261</c:v>
                </c:pt>
                <c:pt idx="716">
                  <c:v>2625.4739952513696</c:v>
                </c:pt>
                <c:pt idx="717">
                  <c:v>2621.8998523896139</c:v>
                </c:pt>
                <c:pt idx="718">
                  <c:v>2618.2316080090727</c:v>
                </c:pt>
                <c:pt idx="719">
                  <c:v>2614.4694196897822</c:v>
                </c:pt>
                <c:pt idx="720">
                  <c:v>2610.6134482387179</c:v>
                </c:pt>
                <c:pt idx="721">
                  <c:v>2606.6638577025778</c:v>
                </c:pt>
                <c:pt idx="722">
                  <c:v>2602.6208153783573</c:v>
                </c:pt>
                <c:pt idx="723">
                  <c:v>2598.4844918218328</c:v>
                </c:pt>
                <c:pt idx="724">
                  <c:v>2594.2550608540732</c:v>
                </c:pt>
                <c:pt idx="725">
                  <c:v>2589.9326995660804</c:v>
                </c:pt>
                <c:pt idx="726">
                  <c:v>2585.5175883216621</c:v>
                </c:pt>
                <c:pt idx="727">
                  <c:v>2581.0099107586307</c:v>
                </c:pt>
                <c:pt idx="728">
                  <c:v>2576.4098537884197</c:v>
                </c:pt>
                <c:pt idx="729">
                  <c:v>2571.7176075941989</c:v>
                </c:pt>
                <c:pt idx="730">
                  <c:v>2566.9333656275662</c:v>
                </c:pt>
                <c:pt idx="731">
                  <c:v>2562.0573246038944</c:v>
                </c:pt>
                <c:pt idx="732">
                  <c:v>2557.0896844963959</c:v>
                </c:pt>
                <c:pt idx="733">
                  <c:v>2552.0306485289752</c:v>
                </c:pt>
                <c:pt idx="734">
                  <c:v>2546.8804231679283</c:v>
                </c:pt>
                <c:pt idx="735">
                  <c:v>2541.6392181125434</c:v>
                </c:pt>
                <c:pt idx="736">
                  <c:v>2536.3072462846617</c:v>
                </c:pt>
                <c:pt idx="737">
                  <c:v>2530.884723817243</c:v>
                </c:pt>
                <c:pt idx="738">
                  <c:v>2525.3718700419854</c:v>
                </c:pt>
                <c:pt idx="739">
                  <c:v>2519.7689074760433</c:v>
                </c:pt>
                <c:pt idx="740">
                  <c:v>2514.0760618078839</c:v>
                </c:pt>
                <c:pt idx="741">
                  <c:v>2508.2935618823226</c:v>
                </c:pt>
                <c:pt idx="742">
                  <c:v>2502.4216396847705</c:v>
                </c:pt>
                <c:pt idx="743">
                  <c:v>2496.4605303247322</c:v>
                </c:pt>
                <c:pt idx="744">
                  <c:v>2490.4104720185824</c:v>
                </c:pt>
                <c:pt idx="745">
                  <c:v>2484.2717060716536</c:v>
                </c:pt>
                <c:pt idx="746">
                  <c:v>2478.0444768596626</c:v>
                </c:pt>
                <c:pt idx="747">
                  <c:v>2471.7290318095033</c:v>
                </c:pt>
                <c:pt idx="748">
                  <c:v>2465.3256213794302</c:v>
                </c:pt>
                <c:pt idx="749">
                  <c:v>2458.8344990386568</c:v>
                </c:pt>
                <c:pt idx="750">
                  <c:v>2452.2559212463916</c:v>
                </c:pt>
                <c:pt idx="751">
                  <c:v>2445.5901474303341</c:v>
                </c:pt>
                <c:pt idx="752">
                  <c:v>2438.8374399646473</c:v>
                </c:pt>
                <c:pt idx="753">
                  <c:v>2431.9980641474326</c:v>
                </c:pt>
                <c:pt idx="754">
                  <c:v>2425.0722881777183</c:v>
                </c:pt>
                <c:pt idx="755">
                  <c:v>2418.0603831319831</c:v>
                </c:pt>
                <c:pt idx="756">
                  <c:v>2410.9626229402315</c:v>
                </c:pt>
                <c:pt idx="757">
                  <c:v>2403.779284361633</c:v>
                </c:pt>
                <c:pt idx="758">
                  <c:v>2396.5106469597467</c:v>
                </c:pt>
                <c:pt idx="759">
                  <c:v>2389.1569930773376</c:v>
                </c:pt>
                <c:pt idx="760">
                  <c:v>2381.7186078108061</c:v>
                </c:pt>
                <c:pt idx="761">
                  <c:v>2374.1957789842386</c:v>
                </c:pt>
                <c:pt idx="762">
                  <c:v>2366.5887971230945</c:v>
                </c:pt>
                <c:pt idx="763">
                  <c:v>2358.8979554275415</c:v>
                </c:pt>
                <c:pt idx="764">
                  <c:v>2351.1235497454504</c:v>
                </c:pt>
                <c:pt idx="765">
                  <c:v>2343.2658785450603</c:v>
                </c:pt>
                <c:pt idx="766">
                  <c:v>2335.3252428873279</c:v>
                </c:pt>
                <c:pt idx="767">
                  <c:v>2327.3019463979676</c:v>
                </c:pt>
                <c:pt idx="768">
                  <c:v>2319.1962952391964</c:v>
                </c:pt>
                <c:pt idx="769">
                  <c:v>2311.0085980811905</c:v>
                </c:pt>
                <c:pt idx="770">
                  <c:v>2302.7391660732656</c:v>
                </c:pt>
                <c:pt idx="771">
                  <c:v>2294.38831281479</c:v>
                </c:pt>
                <c:pt idx="772">
                  <c:v>2285.9563543258369</c:v>
                </c:pt>
                <c:pt idx="773">
                  <c:v>2277.44360901759</c:v>
                </c:pt>
                <c:pt idx="774">
                  <c:v>2268.8503976625066</c:v>
                </c:pt>
                <c:pt idx="775">
                  <c:v>2260.1770433642478</c:v>
                </c:pt>
                <c:pt idx="776">
                  <c:v>2251.4238715273882</c:v>
                </c:pt>
                <c:pt idx="777">
                  <c:v>2242.5912098269046</c:v>
                </c:pt>
                <c:pt idx="778">
                  <c:v>2233.679388177462</c:v>
                </c:pt>
                <c:pt idx="779">
                  <c:v>2224.6887387024972</c:v>
                </c:pt>
                <c:pt idx="780">
                  <c:v>2215.6195957031105</c:v>
                </c:pt>
                <c:pt idx="781">
                  <c:v>2206.4722956267738</c:v>
                </c:pt>
                <c:pt idx="782">
                  <c:v>2197.2471770358616</c:v>
                </c:pt>
                <c:pt idx="783">
                  <c:v>2187.9445805760115</c:v>
                </c:pt>
                <c:pt idx="784">
                  <c:v>2178.5648489443238</c:v>
                </c:pt>
                <c:pt idx="785">
                  <c:v>2169.1083268574052</c:v>
                </c:pt>
                <c:pt idx="786">
                  <c:v>2159.5753610192642</c:v>
                </c:pt>
                <c:pt idx="787">
                  <c:v>2149.9663000890655</c:v>
                </c:pt>
                <c:pt idx="788">
                  <c:v>2140.2814946487515</c:v>
                </c:pt>
                <c:pt idx="789">
                  <c:v>2130.5212971705346</c:v>
                </c:pt>
                <c:pt idx="790">
                  <c:v>2120.6860619842696</c:v>
                </c:pt>
                <c:pt idx="791">
                  <c:v>2110.776145244713</c:v>
                </c:pt>
                <c:pt idx="792">
                  <c:v>2100.7919048986732</c:v>
                </c:pt>
                <c:pt idx="793">
                  <c:v>2090.7337006520615</c:v>
                </c:pt>
                <c:pt idx="794">
                  <c:v>2080.6018939368482</c:v>
                </c:pt>
                <c:pt idx="795">
                  <c:v>2070.3968478779293</c:v>
                </c:pt>
                <c:pt idx="796">
                  <c:v>2060.1189272599145</c:v>
                </c:pt>
                <c:pt idx="797">
                  <c:v>2049.7684984938373</c:v>
                </c:pt>
                <c:pt idx="798">
                  <c:v>2039.3459295837981</c:v>
                </c:pt>
                <c:pt idx="799">
                  <c:v>2028.851590093542</c:v>
                </c:pt>
                <c:pt idx="800">
                  <c:v>2018.2858511129821</c:v>
                </c:pt>
                <c:pt idx="801">
                  <c:v>2007.6490852246714</c:v>
                </c:pt>
                <c:pt idx="802">
                  <c:v>1996.9416664702296</c:v>
                </c:pt>
                <c:pt idx="803">
                  <c:v>1986.163970316732</c:v>
                </c:pt>
                <c:pt idx="804">
                  <c:v>1975.3163736230658</c:v>
                </c:pt>
                <c:pt idx="805">
                  <c:v>1964.3992546062589</c:v>
                </c:pt>
                <c:pt idx="806">
                  <c:v>1953.4129928077882</c:v>
                </c:pt>
                <c:pt idx="807">
                  <c:v>1942.3579690598738</c:v>
                </c:pt>
                <c:pt idx="808">
                  <c:v>1931.2345654517619</c:v>
                </c:pt>
                <c:pt idx="809">
                  <c:v>1920.0431652960065</c:v>
                </c:pt>
                <c:pt idx="810">
                  <c:v>1908.784153094751</c:v>
                </c:pt>
                <c:pt idx="811">
                  <c:v>1897.4579145060197</c:v>
                </c:pt>
                <c:pt idx="812">
                  <c:v>1886.0648363100206</c:v>
                </c:pt>
                <c:pt idx="813">
                  <c:v>1874.6053063754687</c:v>
                </c:pt>
                <c:pt idx="814">
                  <c:v>1863.0797136259332</c:v>
                </c:pt>
                <c:pt idx="815">
                  <c:v>1851.4884480062142</c:v>
                </c:pt>
                <c:pt idx="816">
                  <c:v>1839.8319004487557</c:v>
                </c:pt>
                <c:pt idx="817">
                  <c:v>1828.1104628400985</c:v>
                </c:pt>
                <c:pt idx="818">
                  <c:v>1816.3245279873793</c:v>
                </c:pt>
                <c:pt idx="819">
                  <c:v>1804.4744895848814</c:v>
                </c:pt>
                <c:pt idx="820">
                  <c:v>1792.5607421806421</c:v>
                </c:pt>
                <c:pt idx="821">
                  <c:v>1780.5836811431216</c:v>
                </c:pt>
                <c:pt idx="822">
                  <c:v>1768.5437026279385</c:v>
                </c:pt>
                <c:pt idx="823">
                  <c:v>1756.4412035446785</c:v>
                </c:pt>
                <c:pt idx="824">
                  <c:v>1744.2765815237792</c:v>
                </c:pt>
                <c:pt idx="825">
                  <c:v>1732.0502348834975</c:v>
                </c:pt>
                <c:pt idx="826">
                  <c:v>1719.7625625969638</c:v>
                </c:pt>
                <c:pt idx="827">
                  <c:v>1707.4139642593286</c:v>
                </c:pt>
                <c:pt idx="828">
                  <c:v>1695.0048400550061</c:v>
                </c:pt>
                <c:pt idx="829">
                  <c:v>1682.5355907250184</c:v>
                </c:pt>
                <c:pt idx="830">
                  <c:v>1670.0066175344484</c:v>
                </c:pt>
                <c:pt idx="831">
                  <c:v>1657.4183222400011</c:v>
                </c:pt>
                <c:pt idx="832">
                  <c:v>1644.7711070576829</c:v>
                </c:pt>
                <c:pt idx="833">
                  <c:v>1632.0653746306009</c:v>
                </c:pt>
                <c:pt idx="834">
                  <c:v>1619.3015279968865</c:v>
                </c:pt>
                <c:pt idx="835">
                  <c:v>1606.4799705577491</c:v>
                </c:pt>
                <c:pt idx="836">
                  <c:v>1593.6011060456638</c:v>
                </c:pt>
                <c:pt idx="837">
                  <c:v>1580.6653384926974</c:v>
                </c:pt>
                <c:pt idx="838">
                  <c:v>1567.6730721989773</c:v>
                </c:pt>
                <c:pt idx="839">
                  <c:v>1554.6247117013068</c:v>
                </c:pt>
                <c:pt idx="840">
                  <c:v>1541.5206617419321</c:v>
                </c:pt>
                <c:pt idx="841">
                  <c:v>1528.361327237465</c:v>
                </c:pt>
                <c:pt idx="842">
                  <c:v>1515.1471132479644</c:v>
                </c:pt>
                <c:pt idx="843">
                  <c:v>1501.8784249461814</c:v>
                </c:pt>
                <c:pt idx="844">
                  <c:v>1488.5556675869725</c:v>
                </c:pt>
                <c:pt idx="845">
                  <c:v>1475.1792464768841</c:v>
                </c:pt>
                <c:pt idx="846">
                  <c:v>1461.7495669439122</c:v>
                </c:pt>
                <c:pt idx="847">
                  <c:v>1448.2670343074403</c:v>
                </c:pt>
                <c:pt idx="848">
                  <c:v>1434.7320538483625</c:v>
                </c:pt>
                <c:pt idx="849">
                  <c:v>1421.1450307793905</c:v>
                </c:pt>
                <c:pt idx="850">
                  <c:v>1407.506370215553</c:v>
                </c:pt>
                <c:pt idx="851">
                  <c:v>1393.8164771448874</c:v>
                </c:pt>
                <c:pt idx="852">
                  <c:v>1380.0757563993288</c:v>
                </c:pt>
                <c:pt idx="853">
                  <c:v>1366.2846126258014</c:v>
                </c:pt>
                <c:pt idx="854">
                  <c:v>1352.4434502575109</c:v>
                </c:pt>
                <c:pt idx="855">
                  <c:v>1338.552673485447</c:v>
                </c:pt>
                <c:pt idx="856">
                  <c:v>1324.6126862300951</c:v>
                </c:pt>
                <c:pt idx="857">
                  <c:v>1310.6238921133615</c:v>
                </c:pt>
                <c:pt idx="858">
                  <c:v>1296.5866944307165</c:v>
                </c:pt>
                <c:pt idx="859">
                  <c:v>1282.5014961235559</c:v>
                </c:pt>
                <c:pt idx="860">
                  <c:v>1268.3686997517864</c:v>
                </c:pt>
                <c:pt idx="861">
                  <c:v>1254.1887074666365</c:v>
                </c:pt>
                <c:pt idx="862">
                  <c:v>1239.9619209836953</c:v>
                </c:pt>
                <c:pt idx="863">
                  <c:v>1225.6887415561832</c:v>
                </c:pt>
                <c:pt idx="864">
                  <c:v>1211.369569948456</c:v>
                </c:pt>
                <c:pt idx="865">
                  <c:v>1197.0048064097464</c:v>
                </c:pt>
                <c:pt idx="866">
                  <c:v>1182.5948506481438</c:v>
                </c:pt>
                <c:pt idx="867">
                  <c:v>1168.1401018048159</c:v>
                </c:pt>
                <c:pt idx="868">
                  <c:v>1153.6409584284747</c:v>
                </c:pt>
                <c:pt idx="869">
                  <c:v>1139.0978184500882</c:v>
                </c:pt>
                <c:pt idx="870">
                  <c:v>1124.5110791578413</c:v>
                </c:pt>
                <c:pt idx="871">
                  <c:v>1109.8811371723473</c:v>
                </c:pt>
                <c:pt idx="872">
                  <c:v>1095.208388422112</c:v>
                </c:pt>
                <c:pt idx="873">
                  <c:v>1080.4932281192537</c:v>
                </c:pt>
                <c:pt idx="874">
                  <c:v>1065.7360507354792</c:v>
                </c:pt>
                <c:pt idx="875">
                  <c:v>1050.9372499783196</c:v>
                </c:pt>
                <c:pt idx="876">
                  <c:v>1036.0972187676261</c:v>
                </c:pt>
                <c:pt idx="877">
                  <c:v>1021.2163492123287</c:v>
                </c:pt>
                <c:pt idx="878">
                  <c:v>1006.2950325874593</c:v>
                </c:pt>
                <c:pt idx="879">
                  <c:v>991.33365931144056</c:v>
                </c:pt>
                <c:pt idx="880">
                  <c:v>976.33261892364226</c:v>
                </c:pt>
                <c:pt idx="881">
                  <c:v>961.29230006220655</c:v>
                </c:pt>
                <c:pt idx="882">
                  <c:v>946.21309044214365</c:v>
                </c:pt>
                <c:pt idx="883">
                  <c:v>931.09537683369945</c:v>
                </c:pt>
                <c:pt idx="884">
                  <c:v>915.93954504099577</c:v>
                </c:pt>
                <c:pt idx="885">
                  <c:v>900.74597988094547</c:v>
                </c:pt>
                <c:pt idx="886">
                  <c:v>885.51506516244262</c:v>
                </c:pt>
                <c:pt idx="887">
                  <c:v>870.2471836658292</c:v>
                </c:pt>
                <c:pt idx="888">
                  <c:v>854.94271712263912</c:v>
                </c:pt>
                <c:pt idx="889">
                  <c:v>839.6020461956216</c:v>
                </c:pt>
                <c:pt idx="890">
                  <c:v>824.22555045904267</c:v>
                </c:pt>
                <c:pt idx="891">
                  <c:v>808.81360837926786</c:v>
                </c:pt>
                <c:pt idx="892">
                  <c:v>793.36659729562541</c:v>
                </c:pt>
                <c:pt idx="893">
                  <c:v>777.8848934015507</c:v>
                </c:pt>
                <c:pt idx="894">
                  <c:v>762.36887172601371</c:v>
                </c:pt>
                <c:pt idx="895">
                  <c:v>746.81890611522874</c:v>
                </c:pt>
                <c:pt idx="896">
                  <c:v>731.23536921464722</c:v>
                </c:pt>
                <c:pt idx="897">
                  <c:v>715.61863245123448</c:v>
                </c:pt>
                <c:pt idx="898">
                  <c:v>699.96906601603064</c:v>
                </c:pt>
                <c:pt idx="899">
                  <c:v>684.28703884699542</c:v>
                </c:pt>
                <c:pt idx="900">
                  <c:v>668.57291861213776</c:v>
                </c:pt>
                <c:pt idx="901">
                  <c:v>652.82707169292996</c:v>
                </c:pt>
                <c:pt idx="902">
                  <c:v>637.0498631680066</c:v>
                </c:pt>
                <c:pt idx="903">
                  <c:v>621.24165679714861</c:v>
                </c:pt>
                <c:pt idx="904">
                  <c:v>605.40281500555182</c:v>
                </c:pt>
                <c:pt idx="905">
                  <c:v>589.53369886837993</c:v>
                </c:pt>
                <c:pt idx="906">
                  <c:v>573.63466809560305</c:v>
                </c:pt>
                <c:pt idx="907">
                  <c:v>557.70608101711946</c:v>
                </c:pt>
                <c:pt idx="908">
                  <c:v>541.74829456816224</c:v>
                </c:pt>
                <c:pt idx="909">
                  <c:v>525.76166427498947</c:v>
                </c:pt>
                <c:pt idx="910">
                  <c:v>509.74654424085759</c:v>
                </c:pt>
                <c:pt idx="911">
                  <c:v>493.70328713227815</c:v>
                </c:pt>
                <c:pt idx="912">
                  <c:v>477.63224416555676</c:v>
                </c:pt>
                <c:pt idx="913">
                  <c:v>461.53376509361408</c:v>
                </c:pt>
                <c:pt idx="914">
                  <c:v>445.4081981930882</c:v>
                </c:pt>
                <c:pt idx="915">
                  <c:v>429.25589025171746</c:v>
                </c:pt>
                <c:pt idx="916">
                  <c:v>413.07718655600354</c:v>
                </c:pt>
                <c:pt idx="917">
                  <c:v>396.87243087915357</c:v>
                </c:pt>
                <c:pt idx="918">
                  <c:v>380.64196546930066</c:v>
                </c:pt>
                <c:pt idx="919">
                  <c:v>364.38613103800208</c:v>
                </c:pt>
                <c:pt idx="920">
                  <c:v>348.10526674901399</c:v>
                </c:pt>
                <c:pt idx="921">
                  <c:v>331.79971020734172</c:v>
                </c:pt>
                <c:pt idx="922">
                  <c:v>315.46979744856486</c:v>
                </c:pt>
                <c:pt idx="923">
                  <c:v>299.115862928436</c:v>
                </c:pt>
                <c:pt idx="924">
                  <c:v>282.73823951275159</c:v>
                </c:pt>
                <c:pt idx="925">
                  <c:v>266.33725846749462</c:v>
                </c:pt>
                <c:pt idx="926">
                  <c:v>249.91324944924708</c:v>
                </c:pt>
                <c:pt idx="927">
                  <c:v>233.46654049587147</c:v>
                </c:pt>
                <c:pt idx="928">
                  <c:v>216.99745801745991</c:v>
                </c:pt>
                <c:pt idx="929">
                  <c:v>200.50632678754948</c:v>
                </c:pt>
                <c:pt idx="930">
                  <c:v>183.99346993460256</c:v>
                </c:pt>
                <c:pt idx="931">
                  <c:v>167.45920893375052</c:v>
                </c:pt>
                <c:pt idx="932">
                  <c:v>150.90386359879969</c:v>
                </c:pt>
                <c:pt idx="933">
                  <c:v>134.32775207449771</c:v>
                </c:pt>
                <c:pt idx="934">
                  <c:v>117.73119082905899</c:v>
                </c:pt>
                <c:pt idx="935">
                  <c:v>101.11449464694763</c:v>
                </c:pt>
                <c:pt idx="936">
                  <c:v>84.477976621916227</c:v>
                </c:pt>
                <c:pt idx="937">
                  <c:v>67.82194815029888</c:v>
                </c:pt>
                <c:pt idx="938">
                  <c:v>51.146718924556794</c:v>
                </c:pt>
                <c:pt idx="939">
                  <c:v>34.452596927074723</c:v>
                </c:pt>
                <c:pt idx="940">
                  <c:v>17.739888424206502</c:v>
                </c:pt>
                <c:pt idx="941">
                  <c:v>1.0088979605679498</c:v>
                </c:pt>
                <c:pt idx="942">
                  <c:v>-15.740071646424692</c:v>
                </c:pt>
                <c:pt idx="943">
                  <c:v>-15.756829538879217</c:v>
                </c:pt>
                <c:pt idx="944">
                  <c:v>-15.773587448861541</c:v>
                </c:pt>
                <c:pt idx="945">
                  <c:v>-15.790345376371368</c:v>
                </c:pt>
                <c:pt idx="946">
                  <c:v>-15.8071033214084</c:v>
                </c:pt>
                <c:pt idx="947">
                  <c:v>-15.82386128397234</c:v>
                </c:pt>
                <c:pt idx="948">
                  <c:v>-15.840619264062887</c:v>
                </c:pt>
                <c:pt idx="949">
                  <c:v>-15.857377261679746</c:v>
                </c:pt>
                <c:pt idx="950">
                  <c:v>-15.874135276822619</c:v>
                </c:pt>
                <c:pt idx="951">
                  <c:v>-15.890893309491206</c:v>
                </c:pt>
                <c:pt idx="952">
                  <c:v>-15.907651359685211</c:v>
                </c:pt>
                <c:pt idx="953">
                  <c:v>-15.924409427404335</c:v>
                </c:pt>
                <c:pt idx="954">
                  <c:v>-15.941167512648281</c:v>
                </c:pt>
                <c:pt idx="955">
                  <c:v>-15.95792561541675</c:v>
                </c:pt>
                <c:pt idx="956">
                  <c:v>-15.974683735709444</c:v>
                </c:pt>
                <c:pt idx="957">
                  <c:v>-15.991441873526067</c:v>
                </c:pt>
                <c:pt idx="958">
                  <c:v>-16.00820002886632</c:v>
                </c:pt>
                <c:pt idx="959">
                  <c:v>-16.024958201729905</c:v>
                </c:pt>
                <c:pt idx="960">
                  <c:v>-16.041716392116523</c:v>
                </c:pt>
                <c:pt idx="961">
                  <c:v>-16.058474600025878</c:v>
                </c:pt>
                <c:pt idx="962">
                  <c:v>-16.075232825457672</c:v>
                </c:pt>
                <c:pt idx="963">
                  <c:v>-16.091991068411605</c:v>
                </c:pt>
                <c:pt idx="964">
                  <c:v>-16.108749328887381</c:v>
                </c:pt>
                <c:pt idx="965">
                  <c:v>-16.125507606884703</c:v>
                </c:pt>
                <c:pt idx="966">
                  <c:v>-16.14226590240327</c:v>
                </c:pt>
                <c:pt idx="967">
                  <c:v>-16.159024215442788</c:v>
                </c:pt>
                <c:pt idx="968">
                  <c:v>-16.175782546002957</c:v>
                </c:pt>
                <c:pt idx="969">
                  <c:v>-16.192540894083479</c:v>
                </c:pt>
                <c:pt idx="970">
                  <c:v>-16.209299259684055</c:v>
                </c:pt>
                <c:pt idx="971">
                  <c:v>-16.226057642804388</c:v>
                </c:pt>
                <c:pt idx="972">
                  <c:v>-16.242816043444183</c:v>
                </c:pt>
                <c:pt idx="973">
                  <c:v>-16.259574461603137</c:v>
                </c:pt>
                <c:pt idx="974">
                  <c:v>-16.276332897280955</c:v>
                </c:pt>
                <c:pt idx="975">
                  <c:v>-16.29309135047734</c:v>
                </c:pt>
                <c:pt idx="976">
                  <c:v>-16.309849821191992</c:v>
                </c:pt>
                <c:pt idx="977">
                  <c:v>-16.326608309424614</c:v>
                </c:pt>
                <c:pt idx="978">
                  <c:v>-16.34336681517491</c:v>
                </c:pt>
                <c:pt idx="979">
                  <c:v>-16.360125338442579</c:v>
                </c:pt>
                <c:pt idx="980">
                  <c:v>-16.376883879227325</c:v>
                </c:pt>
                <c:pt idx="981">
                  <c:v>-16.39364243752885</c:v>
                </c:pt>
                <c:pt idx="982">
                  <c:v>-16.410401013346856</c:v>
                </c:pt>
                <c:pt idx="983">
                  <c:v>-16.427159606681045</c:v>
                </c:pt>
                <c:pt idx="984">
                  <c:v>-16.443918217531117</c:v>
                </c:pt>
                <c:pt idx="985">
                  <c:v>-16.460676845896778</c:v>
                </c:pt>
                <c:pt idx="986">
                  <c:v>-16.477435491777726</c:v>
                </c:pt>
                <c:pt idx="987">
                  <c:v>-16.494194155173666</c:v>
                </c:pt>
                <c:pt idx="988">
                  <c:v>-16.5109528360843</c:v>
                </c:pt>
                <c:pt idx="989">
                  <c:v>-16.527711534509333</c:v>
                </c:pt>
                <c:pt idx="990">
                  <c:v>-16.544470250448462</c:v>
                </c:pt>
                <c:pt idx="991">
                  <c:v>-16.56122898390139</c:v>
                </c:pt>
                <c:pt idx="992">
                  <c:v>-16.577987734867822</c:v>
                </c:pt>
                <c:pt idx="993">
                  <c:v>-16.594746503347459</c:v>
                </c:pt>
                <c:pt idx="994">
                  <c:v>-16.611505289340002</c:v>
                </c:pt>
                <c:pt idx="995">
                  <c:v>-16.628264092845153</c:v>
                </c:pt>
                <c:pt idx="996">
                  <c:v>-16.645022913862615</c:v>
                </c:pt>
                <c:pt idx="997">
                  <c:v>-16.661781752392091</c:v>
                </c:pt>
                <c:pt idx="998">
                  <c:v>-16.678540608433284</c:v>
                </c:pt>
                <c:pt idx="999">
                  <c:v>-16.695299481985892</c:v>
                </c:pt>
                <c:pt idx="1000">
                  <c:v>-16.712058373049619</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7.6673831667516202E-5</c:v>
                </c:pt>
                <c:pt idx="2">
                  <c:v>4.8383360293073624E-4</c:v>
                </c:pt>
                <c:pt idx="3">
                  <c:v>1.4721472360017343E-3</c:v>
                </c:pt>
                <c:pt idx="4">
                  <c:v>3.1887288676949424E-3</c:v>
                </c:pt>
                <c:pt idx="5">
                  <c:v>5.780811333606346E-3</c:v>
                </c:pt>
                <c:pt idx="6">
                  <c:v>9.3957641231225131E-3</c:v>
                </c:pt>
                <c:pt idx="7">
                  <c:v>1.4181111211955319E-2</c:v>
                </c:pt>
                <c:pt idx="8">
                  <c:v>2.0284548778800676E-2</c:v>
                </c:pt>
                <c:pt idx="9">
                  <c:v>2.7853962812556095E-2</c:v>
                </c:pt>
                <c:pt idx="10">
                  <c:v>3.7037446616374953E-2</c:v>
                </c:pt>
                <c:pt idx="11">
                  <c:v>4.7941001136512881E-2</c:v>
                </c:pt>
                <c:pt idx="12">
                  <c:v>6.0586135299065633E-2</c:v>
                </c:pt>
                <c:pt idx="13">
                  <c:v>7.495172299058106E-2</c:v>
                </c:pt>
                <c:pt idx="14">
                  <c:v>9.1015950945402491E-2</c:v>
                </c:pt>
                <c:pt idx="15">
                  <c:v>0.10875664063974662</c:v>
                </c:pt>
                <c:pt idx="16">
                  <c:v>0.1281515708887013</c:v>
                </c:pt>
                <c:pt idx="17">
                  <c:v>0.14917847853524946</c:v>
                </c:pt>
                <c:pt idx="18">
                  <c:v>0.17181505913907877</c:v>
                </c:pt>
                <c:pt idx="19">
                  <c:v>0.196038967665085</c:v>
                </c:pt>
                <c:pt idx="20">
                  <c:v>0.22182781917147815</c:v>
                </c:pt>
                <c:pt idx="21">
                  <c:v>0.24915918949740007</c:v>
                </c:pt>
                <c:pt idx="22">
                  <c:v>0.27801061594996379</c:v>
                </c:pt>
                <c:pt idx="23">
                  <c:v>0.30835959799062457</c:v>
                </c:pt>
                <c:pt idx="24">
                  <c:v>0.34018359792079328</c:v>
                </c:pt>
                <c:pt idx="25">
                  <c:v>0.3734600415666039</c:v>
                </c:pt>
                <c:pt idx="26">
                  <c:v>0.40816631896274685</c:v>
                </c:pt>
                <c:pt idx="27">
                  <c:v>0.44428547195504947</c:v>
                </c:pt>
                <c:pt idx="28">
                  <c:v>0.48181189139684971</c:v>
                </c:pt>
                <c:pt idx="29">
                  <c:v>0.52074564477211105</c:v>
                </c:pt>
                <c:pt idx="30">
                  <c:v>0.56108679387943117</c:v>
                </c:pt>
                <c:pt idx="31">
                  <c:v>0.60283539482481396</c:v>
                </c:pt>
                <c:pt idx="32">
                  <c:v>0.64599149801454947</c:v>
                </c:pt>
                <c:pt idx="33">
                  <c:v>0.69055514814820318</c:v>
                </c:pt>
                <c:pt idx="34">
                  <c:v>0.73652638421171424</c:v>
                </c:pt>
                <c:pt idx="35">
                  <c:v>0.78398915810674985</c:v>
                </c:pt>
                <c:pt idx="36">
                  <c:v>0.83303012262499021</c:v>
                </c:pt>
                <c:pt idx="37">
                  <c:v>0.88365468514045031</c:v>
                </c:pt>
                <c:pt idx="38">
                  <c:v>0.93586815411548419</c:v>
                </c:pt>
                <c:pt idx="39">
                  <c:v>0.98967570454246256</c:v>
                </c:pt>
                <c:pt idx="40">
                  <c:v>1.0450823842677934</c:v>
                </c:pt>
                <c:pt idx="41">
                  <c:v>1.1020931198427062</c:v>
                </c:pt>
                <c:pt idx="42">
                  <c:v>1.1607127219471622</c:v>
                </c:pt>
                <c:pt idx="43">
                  <c:v>1.2209458904276811</c:v>
                </c:pt>
                <c:pt idx="44">
                  <c:v>1.282797218985096</c:v>
                </c:pt>
                <c:pt idx="45">
                  <c:v>1.3462711995441288</c:v>
                </c:pt>
                <c:pt idx="46">
                  <c:v>1.4113722263331046</c:v>
                </c:pt>
                <c:pt idx="47">
                  <c:v>1.4781045996990361</c:v>
                </c:pt>
                <c:pt idx="48">
                  <c:v>1.5464725296806028</c:v>
                </c:pt>
                <c:pt idx="49">
                  <c:v>1.6164801393591988</c:v>
                </c:pt>
                <c:pt idx="50">
                  <c:v>1.688131468006151</c:v>
                </c:pt>
                <c:pt idx="51">
                  <c:v>1.7614304740423981</c:v>
                </c:pt>
                <c:pt idx="52">
                  <c:v>1.8363810378253125</c:v>
                </c:pt>
                <c:pt idx="53">
                  <c:v>1.9129869642759387</c:v>
                </c:pt>
                <c:pt idx="54">
                  <c:v>1.9912519853586621</c:v>
                </c:pt>
                <c:pt idx="55">
                  <c:v>2.0711797624242112</c:v>
                </c:pt>
                <c:pt idx="56">
                  <c:v>2.1527738884258998</c:v>
                </c:pt>
                <c:pt idx="57">
                  <c:v>2.2360378900181375</c:v>
                </c:pt>
                <c:pt idx="58">
                  <c:v>2.3209752295454367</c:v>
                </c:pt>
                <c:pt idx="59">
                  <c:v>2.4075893069294412</c:v>
                </c:pt>
                <c:pt idx="60">
                  <c:v>2.4958834614608603</c:v>
                </c:pt>
                <c:pt idx="61">
                  <c:v>2.5858609735026228</c:v>
                </c:pt>
                <c:pt idx="62">
                  <c:v>2.6775250661100438</c:v>
                </c:pt>
                <c:pt idx="63">
                  <c:v>2.7708789065733352</c:v>
                </c:pt>
                <c:pt idx="64">
                  <c:v>2.8659256078873661</c:v>
                </c:pt>
                <c:pt idx="65">
                  <c:v>2.9626682301531955</c:v>
                </c:pt>
                <c:pt idx="66">
                  <c:v>3.0611097819155582</c:v>
                </c:pt>
                <c:pt idx="67">
                  <c:v>3.1612532214401603</c:v>
                </c:pt>
                <c:pt idx="68">
                  <c:v>3.2631014579343662</c:v>
                </c:pt>
                <c:pt idx="69">
                  <c:v>3.3666573527145793</c:v>
                </c:pt>
                <c:pt idx="70">
                  <c:v>3.4719237203234008</c:v>
                </c:pt>
                <c:pt idx="71">
                  <c:v>3.5789033295994104</c:v>
                </c:pt>
                <c:pt idx="72">
                  <c:v>3.6875988336324155</c:v>
                </c:pt>
                <c:pt idx="73">
                  <c:v>3.7980126992124759</c:v>
                </c:pt>
                <c:pt idx="74">
                  <c:v>3.9101472782265718</c:v>
                </c:pt>
                <c:pt idx="75">
                  <c:v>4.024004879494095</c:v>
                </c:pt>
                <c:pt idx="76">
                  <c:v>4.1395877696609196</c:v>
                </c:pt>
                <c:pt idx="77">
                  <c:v>4.2568981740585814</c:v>
                </c:pt>
                <c:pt idx="78">
                  <c:v>4.3759382775303797</c:v>
                </c:pt>
                <c:pt idx="79">
                  <c:v>4.4967102252261038</c:v>
                </c:pt>
                <c:pt idx="80">
                  <c:v>4.6192161233669626</c:v>
                </c:pt>
                <c:pt idx="81">
                  <c:v>4.7434580399822224</c:v>
                </c:pt>
                <c:pt idx="82">
                  <c:v>4.8694380056189379</c:v>
                </c:pt>
                <c:pt idx="83">
                  <c:v>4.9971580140260965</c:v>
                </c:pt>
                <c:pt idx="84">
                  <c:v>5.1266200228144099</c:v>
                </c:pt>
                <c:pt idx="85">
                  <c:v>5.2578259540929153</c:v>
                </c:pt>
                <c:pt idx="86">
                  <c:v>5.3907776950834707</c:v>
                </c:pt>
                <c:pt idx="87">
                  <c:v>5.5254770987141866</c:v>
                </c:pt>
                <c:pt idx="88">
                  <c:v>5.6619259841927532</c:v>
                </c:pt>
                <c:pt idx="89">
                  <c:v>5.8001261375605848</c:v>
                </c:pt>
                <c:pt idx="90">
                  <c:v>5.9400793122286428</c:v>
                </c:pt>
                <c:pt idx="91">
                  <c:v>6.0817872294957542</c:v>
                </c:pt>
                <c:pt idx="92">
                  <c:v>6.2252515790502008</c:v>
                </c:pt>
                <c:pt idx="93">
                  <c:v>6.3704740194552985</c:v>
                </c:pt>
                <c:pt idx="94">
                  <c:v>6.5174561786196712</c:v>
                </c:pt>
                <c:pt idx="95">
                  <c:v>6.6661996542528614</c:v>
                </c:pt>
                <c:pt idx="96">
                  <c:v>6.8167060143069067</c:v>
                </c:pt>
                <c:pt idx="97">
                  <c:v>6.9689767974044603</c:v>
                </c:pt>
                <c:pt idx="98">
                  <c:v>7.1230135132540209</c:v>
                </c:pt>
                <c:pt idx="99">
                  <c:v>7.2788176430527978</c:v>
                </c:pt>
                <c:pt idx="100">
                  <c:v>7.4363906398777129</c:v>
                </c:pt>
                <c:pt idx="101">
                  <c:v>7.5957339290650214</c:v>
                </c:pt>
                <c:pt idx="102">
                  <c:v>7.7568489085789967</c:v>
                </c:pt>
                <c:pt idx="103">
                  <c:v>7.9197369493701224</c:v>
                </c:pt>
                <c:pt idx="104">
                  <c:v>8.0843993957231906</c:v>
                </c:pt>
                <c:pt idx="105">
                  <c:v>8.2508375655957078</c:v>
                </c:pt>
                <c:pt idx="106">
                  <c:v>8.4190527509469799</c:v>
                </c:pt>
                <c:pt idx="107">
                  <c:v>8.5890462180582183</c:v>
                </c:pt>
                <c:pt idx="108">
                  <c:v>8.7608192078440297</c:v>
                </c:pt>
                <c:pt idx="109">
                  <c:v>8.9343729361555884</c:v>
                </c:pt>
                <c:pt idx="110">
                  <c:v>9.1097085940758156</c:v>
                </c:pt>
                <c:pt idx="111">
                  <c:v>9.286827348206856</c:v>
                </c:pt>
                <c:pt idx="112">
                  <c:v>9.4657303409501257</c:v>
                </c:pt>
                <c:pt idx="113">
                  <c:v>9.6464186907792175</c:v>
                </c:pt>
                <c:pt idx="114">
                  <c:v>9.8288934925058999</c:v>
                </c:pt>
                <c:pt idx="115">
                  <c:v>10.013155817539467</c:v>
                </c:pt>
                <c:pt idx="116">
                  <c:v>10.199206714139674</c:v>
                </c:pt>
                <c:pt idx="117">
                  <c:v>10.387047207663485</c:v>
                </c:pt>
                <c:pt idx="118">
                  <c:v>10.576678300805842</c:v>
                </c:pt>
                <c:pt idx="119">
                  <c:v>10.768100973834661</c:v>
                </c:pt>
                <c:pt idx="120">
                  <c:v>10.961316184820269</c:v>
                </c:pt>
                <c:pt idx="121">
                  <c:v>11.156324869859445</c:v>
                </c:pt>
                <c:pt idx="122">
                  <c:v>11.35312794329427</c:v>
                </c:pt>
                <c:pt idx="123">
                  <c:v>11.551726297925956</c:v>
                </c:pt>
                <c:pt idx="124">
                  <c:v>11.752120805223807</c:v>
                </c:pt>
                <c:pt idx="125">
                  <c:v>11.954312315529483</c:v>
                </c:pt>
                <c:pt idx="126">
                  <c:v>12.158301658256731</c:v>
                </c:pt>
                <c:pt idx="127">
                  <c:v>12.364089642086713</c:v>
                </c:pt>
                <c:pt idx="128">
                  <c:v>12.57167705515908</c:v>
                </c:pt>
                <c:pt idx="129">
                  <c:v>12.781064313062975</c:v>
                </c:pt>
                <c:pt idx="130">
                  <c:v>12.992251105389098</c:v>
                </c:pt>
                <c:pt idx="131">
                  <c:v>13.205236746230065</c:v>
                </c:pt>
                <c:pt idx="132">
                  <c:v>13.420020526137986</c:v>
                </c:pt>
                <c:pt idx="133">
                  <c:v>13.636601712347845</c:v>
                </c:pt>
                <c:pt idx="134">
                  <c:v>13.854979548996551</c:v>
                </c:pt>
                <c:pt idx="135">
                  <c:v>14.075153257337755</c:v>
                </c:pt>
                <c:pt idx="136">
                  <c:v>14.297122035952603</c:v>
                </c:pt>
                <c:pt idx="137">
                  <c:v>14.520885060956537</c:v>
                </c:pt>
                <c:pt idx="138">
                  <c:v>14.746441486202279</c:v>
                </c:pt>
                <c:pt idx="139">
                  <c:v>14.9737904434791</c:v>
                </c:pt>
                <c:pt idx="140">
                  <c:v>15.202931042708505</c:v>
                </c:pt>
                <c:pt idx="141">
                  <c:v>15.433862372136439</c:v>
                </c:pt>
                <c:pt idx="142">
                  <c:v>15.666583498522114</c:v>
                </c:pt>
                <c:pt idx="143">
                  <c:v>15.901093467323571</c:v>
                </c:pt>
                <c:pt idx="144">
                  <c:v>16.137391302880069</c:v>
                </c:pt>
                <c:pt idx="145">
                  <c:v>16.375476008591392</c:v>
                </c:pt>
                <c:pt idx="146">
                  <c:v>16.615346567094168</c:v>
                </c:pt>
                <c:pt idx="147">
                  <c:v>16.857001940435307</c:v>
                </c:pt>
                <c:pt idx="148">
                  <c:v>17.100441070242603</c:v>
                </c:pt>
                <c:pt idx="149">
                  <c:v>17.345662877892618</c:v>
                </c:pt>
                <c:pt idx="150">
                  <c:v>17.59266626467592</c:v>
                </c:pt>
                <c:pt idx="151">
                  <c:v>17.841450111959734</c:v>
                </c:pt>
                <c:pt idx="152">
                  <c:v>18.092013281348102</c:v>
                </c:pt>
                <c:pt idx="153">
                  <c:v>18.344354614839599</c:v>
                </c:pt>
                <c:pt idx="154">
                  <c:v>18.598472934982713</c:v>
                </c:pt>
                <c:pt idx="155">
                  <c:v>18.854367045028898</c:v>
                </c:pt>
                <c:pt idx="156">
                  <c:v>19.112035729083424</c:v>
                </c:pt>
                <c:pt idx="157">
                  <c:v>19.371477752254044</c:v>
                </c:pt>
                <c:pt idx="158">
                  <c:v>19.632691860797557</c:v>
                </c:pt>
                <c:pt idx="159">
                  <c:v>19.895676782264314</c:v>
                </c:pt>
                <c:pt idx="160">
                  <c:v>20.160431225640735</c:v>
                </c:pt>
                <c:pt idx="161">
                  <c:v>20.42695388148989</c:v>
                </c:pt>
                <c:pt idx="162">
                  <c:v>20.695243422090179</c:v>
                </c:pt>
                <c:pt idx="163">
                  <c:v>20.965298501572175</c:v>
                </c:pt>
                <c:pt idx="164">
                  <c:v>21.237117756053696</c:v>
                </c:pt>
                <c:pt idx="165">
                  <c:v>21.510699803773118</c:v>
                </c:pt>
                <c:pt idx="166">
                  <c:v>21.786043245220988</c:v>
                </c:pt>
                <c:pt idx="167">
                  <c:v>22.063146663270004</c:v>
                </c:pt>
                <c:pt idx="168">
                  <c:v>22.342008623303379</c:v>
                </c:pt>
                <c:pt idx="169">
                  <c:v>22.622627673341626</c:v>
                </c:pt>
                <c:pt idx="170">
                  <c:v>22.905002344167837</c:v>
                </c:pt>
                <c:pt idx="171">
                  <c:v>23.189131149451459</c:v>
                </c:pt>
                <c:pt idx="172">
                  <c:v>23.475012585870623</c:v>
                </c:pt>
                <c:pt idx="173">
                  <c:v>23.762645133233068</c:v>
                </c:pt>
                <c:pt idx="174">
                  <c:v>24.052027254595679</c:v>
                </c:pt>
                <c:pt idx="175">
                  <c:v>24.343157396382686</c:v>
                </c:pt>
                <c:pt idx="176">
                  <c:v>24.636033988502554</c:v>
                </c:pt>
                <c:pt idx="177">
                  <c:v>24.930655444463586</c:v>
                </c:pt>
                <c:pt idx="178">
                  <c:v>25.227020161488291</c:v>
                </c:pt>
                <c:pt idx="179">
                  <c:v>25.525126520626536</c:v>
                </c:pt>
                <c:pt idx="180">
                  <c:v>25.824972886867499</c:v>
                </c:pt>
                <c:pt idx="181">
                  <c:v>26.126557609250487</c:v>
                </c:pt>
                <c:pt idx="182">
                  <c:v>26.429879020974592</c:v>
                </c:pt>
                <c:pt idx="183">
                  <c:v>26.734935439507275</c:v>
                </c:pt>
                <c:pt idx="184">
                  <c:v>27.041725166691851</c:v>
                </c:pt>
                <c:pt idx="185">
                  <c:v>27.350246488853941</c:v>
                </c:pt>
                <c:pt idx="186">
                  <c:v>27.660497676906878</c:v>
                </c:pt>
                <c:pt idx="187">
                  <c:v>27.972476986456122</c:v>
                </c:pt>
                <c:pt idx="188">
                  <c:v>28.286182657902689</c:v>
                </c:pt>
                <c:pt idx="189">
                  <c:v>28.601612916545619</c:v>
                </c:pt>
                <c:pt idx="190">
                  <c:v>28.918765972683527</c:v>
                </c:pt>
                <c:pt idx="191">
                  <c:v>29.237640021715215</c:v>
                </c:pt>
                <c:pt idx="192">
                  <c:v>29.558233244239407</c:v>
                </c:pt>
                <c:pt idx="193">
                  <c:v>29.88054380615359</c:v>
                </c:pt>
                <c:pt idx="194">
                  <c:v>30.204569858752031</c:v>
                </c:pt>
                <c:pt idx="195">
                  <c:v>30.530309538822927</c:v>
                </c:pt>
                <c:pt idx="196">
                  <c:v>30.857760968744756</c:v>
                </c:pt>
                <c:pt idx="197">
                  <c:v>31.186922256581827</c:v>
                </c:pt>
                <c:pt idx="198">
                  <c:v>31.517791496179036</c:v>
                </c:pt>
                <c:pt idx="199">
                  <c:v>31.850366767255871</c:v>
                </c:pt>
                <c:pt idx="200">
                  <c:v>32.184646135499648</c:v>
                </c:pt>
                <c:pt idx="201">
                  <c:v>32.520627652658042</c:v>
                </c:pt>
                <c:pt idx="202">
                  <c:v>32.858309356630876</c:v>
                </c:pt>
                <c:pt idx="203">
                  <c:v>33.19768927156121</c:v>
                </c:pt>
                <c:pt idx="204">
                  <c:v>33.538765407925744</c:v>
                </c:pt>
                <c:pt idx="205">
                  <c:v>33.881535762624566</c:v>
                </c:pt>
                <c:pt idx="206">
                  <c:v>34.225998227921039</c:v>
                </c:pt>
                <c:pt idx="207">
                  <c:v>34.572150500141142</c:v>
                </c:pt>
                <c:pt idx="208">
                  <c:v>34.919990170619911</c:v>
                </c:pt>
                <c:pt idx="209">
                  <c:v>35.26951481689138</c:v>
                </c:pt>
                <c:pt idx="210">
                  <c:v>35.620722002783424</c:v>
                </c:pt>
                <c:pt idx="211">
                  <c:v>35.973609278511951</c:v>
                </c:pt>
                <c:pt idx="212">
                  <c:v>36.328174180774447</c:v>
                </c:pt>
                <c:pt idx="213">
                  <c:v>36.684414232842876</c:v>
                </c:pt>
                <c:pt idx="214">
                  <c:v>37.042326944655954</c:v>
                </c:pt>
                <c:pt idx="215">
                  <c:v>37.401909812910844</c:v>
                </c:pt>
                <c:pt idx="216">
                  <c:v>37.763160321154217</c:v>
                </c:pt>
                <c:pt idx="217">
                  <c:v>38.126075939872749</c:v>
                </c:pt>
                <c:pt idx="218">
                  <c:v>38.490654126583031</c:v>
                </c:pt>
                <c:pt idx="219">
                  <c:v>38.85689232592091</c:v>
                </c:pt>
                <c:pt idx="220">
                  <c:v>39.224787969730279</c:v>
                </c:pt>
                <c:pt idx="221">
                  <c:v>39.594338477151325</c:v>
                </c:pt>
                <c:pt idx="222">
                  <c:v>39.965541254708207</c:v>
                </c:pt>
                <c:pt idx="223">
                  <c:v>40.33839369639626</c:v>
                </c:pt>
                <c:pt idx="224">
                  <c:v>40.712893183768635</c:v>
                </c:pt>
                <c:pt idx="225">
                  <c:v>41.089037086022451</c:v>
                </c:pt>
                <c:pt idx="226">
                  <c:v>41.466822760084426</c:v>
                </c:pt>
                <c:pt idx="227">
                  <c:v>41.846247550696042</c:v>
                </c:pt>
                <c:pt idx="228">
                  <c:v>42.227308790498192</c:v>
                </c:pt>
                <c:pt idx="229">
                  <c:v>42.610003800115386</c:v>
                </c:pt>
                <c:pt idx="230">
                  <c:v>42.994329888239434</c:v>
                </c:pt>
                <c:pt idx="231">
                  <c:v>43.380284351712731</c:v>
                </c:pt>
                <c:pt idx="232">
                  <c:v>43.767864475611027</c:v>
                </c:pt>
                <c:pt idx="233">
                  <c:v>44.157067533325794</c:v>
                </c:pt>
                <c:pt idx="234">
                  <c:v>44.547890786646121</c:v>
                </c:pt>
                <c:pt idx="235">
                  <c:v>44.940331485840183</c:v>
                </c:pt>
                <c:pt idx="236">
                  <c:v>45.334386869736278</c:v>
                </c:pt>
                <c:pt idx="237">
                  <c:v>45.730054165803452</c:v>
                </c:pt>
                <c:pt idx="238">
                  <c:v>46.127330590231701</c:v>
                </c:pt>
                <c:pt idx="239">
                  <c:v>46.526213348011751</c:v>
                </c:pt>
                <c:pt idx="240">
                  <c:v>46.926699633014451</c:v>
                </c:pt>
                <c:pt idx="241">
                  <c:v>47.328786628069757</c:v>
                </c:pt>
                <c:pt idx="242">
                  <c:v>47.732471183028522</c:v>
                </c:pt>
                <c:pt idx="243">
                  <c:v>48.137749492121088</c:v>
                </c:pt>
                <c:pt idx="244">
                  <c:v>48.544617415252169</c:v>
                </c:pt>
                <c:pt idx="245">
                  <c:v>48.953070800011616</c:v>
                </c:pt>
                <c:pt idx="246">
                  <c:v>49.363105481778071</c:v>
                </c:pt>
                <c:pt idx="247">
                  <c:v>49.774717283822135</c:v>
                </c:pt>
                <c:pt idx="248">
                  <c:v>50.187902017408966</c:v>
                </c:pt>
                <c:pt idx="249">
                  <c:v>50.602655481900342</c:v>
                </c:pt>
                <c:pt idx="250">
                  <c:v>51.018973464856202</c:v>
                </c:pt>
                <c:pt idx="251">
                  <c:v>51.436851742135644</c:v>
                </c:pt>
                <c:pt idx="252">
                  <c:v>51.856286077997432</c:v>
                </c:pt>
                <c:pt idx="253">
                  <c:v>52.277272225199972</c:v>
                </c:pt>
                <c:pt idx="254">
                  <c:v>52.699805925100783</c:v>
                </c:pt>
                <c:pt idx="255">
                  <c:v>53.123882907755444</c:v>
                </c:pt>
                <c:pt idx="256">
                  <c:v>53.549498892016096</c:v>
                </c:pt>
                <c:pt idx="257">
                  <c:v>53.976649585629374</c:v>
                </c:pt>
                <c:pt idx="258">
                  <c:v>54.405330685333922</c:v>
                </c:pt>
                <c:pt idx="259">
                  <c:v>54.835537876957375</c:v>
                </c:pt>
                <c:pt idx="260">
                  <c:v>55.267266835512864</c:v>
                </c:pt>
                <c:pt idx="261">
                  <c:v>55.700513225295076</c:v>
                </c:pt>
                <c:pt idx="262">
                  <c:v>56.1352726999758</c:v>
                </c:pt>
                <c:pt idx="263">
                  <c:v>56.571540902699034</c:v>
                </c:pt>
                <c:pt idx="264">
                  <c:v>57.009313466175605</c:v>
                </c:pt>
                <c:pt idx="265">
                  <c:v>57.448586012777341</c:v>
                </c:pt>
                <c:pt idx="266">
                  <c:v>57.88935415463078</c:v>
                </c:pt>
                <c:pt idx="267">
                  <c:v>58.331613493710414</c:v>
                </c:pt>
                <c:pt idx="268">
                  <c:v>58.775359621931507</c:v>
                </c:pt>
                <c:pt idx="269">
                  <c:v>59.220588121242429</c:v>
                </c:pt>
                <c:pt idx="270">
                  <c:v>59.667294563716581</c:v>
                </c:pt>
                <c:pt idx="271">
                  <c:v>60.115474511643846</c:v>
                </c:pt>
                <c:pt idx="272">
                  <c:v>60.565123517621622</c:v>
                </c:pt>
                <c:pt idx="273">
                  <c:v>61.0162371246454</c:v>
                </c:pt>
                <c:pt idx="274">
                  <c:v>61.468810866198929</c:v>
                </c:pt>
                <c:pt idx="275">
                  <c:v>61.922840266343933</c:v>
                </c:pt>
                <c:pt idx="276">
                  <c:v>62.378320839809405</c:v>
                </c:pt>
                <c:pt idx="277">
                  <c:v>62.835248092080484</c:v>
                </c:pt>
                <c:pt idx="278">
                  <c:v>63.293617519486887</c:v>
                </c:pt>
                <c:pt idx="279">
                  <c:v>63.753424609290931</c:v>
                </c:pt>
                <c:pt idx="280">
                  <c:v>64.214664839775139</c:v>
                </c:pt>
                <c:pt idx="281">
                  <c:v>64.677333680329426</c:v>
                </c:pt>
                <c:pt idx="282">
                  <c:v>65.141426591537879</c:v>
                </c:pt>
                <c:pt idx="283">
                  <c:v>65.606939025265092</c:v>
                </c:pt>
                <c:pt idx="284">
                  <c:v>66.073866811332451</c:v>
                </c:pt>
                <c:pt idx="285">
                  <c:v>66.542206544854395</c:v>
                </c:pt>
                <c:pt idx="286">
                  <c:v>67.01195520040342</c:v>
                </c:pt>
                <c:pt idx="287">
                  <c:v>67.483109745500727</c:v>
                </c:pt>
                <c:pt idx="288">
                  <c:v>67.955667140673867</c:v>
                </c:pt>
                <c:pt idx="289">
                  <c:v>68.429624339514206</c:v>
                </c:pt>
                <c:pt idx="290">
                  <c:v>68.904978288734057</c:v>
                </c:pt>
                <c:pt idx="291">
                  <c:v>69.381725928223716</c:v>
                </c:pt>
                <c:pt idx="292">
                  <c:v>69.859864191108173</c:v>
                </c:pt>
                <c:pt idx="293">
                  <c:v>70.339390003803629</c:v>
                </c:pt>
                <c:pt idx="294">
                  <c:v>70.820300286073845</c:v>
                </c:pt>
                <c:pt idx="295">
                  <c:v>71.3025919510862</c:v>
                </c:pt>
                <c:pt idx="296">
                  <c:v>71.786261905467569</c:v>
                </c:pt>
                <c:pt idx="297">
                  <c:v>72.271307049359947</c:v>
                </c:pt>
                <c:pt idx="298">
                  <c:v>72.75772427647594</c:v>
                </c:pt>
                <c:pt idx="299">
                  <c:v>73.245510474153917</c:v>
                </c:pt>
                <c:pt idx="300">
                  <c:v>73.734662523413036</c:v>
                </c:pt>
                <c:pt idx="301">
                  <c:v>74.225177299008038</c:v>
                </c:pt>
                <c:pt idx="302">
                  <c:v>74.717051669483808</c:v>
                </c:pt>
                <c:pt idx="303">
                  <c:v>75.210282497229727</c:v>
                </c:pt>
                <c:pt idx="304">
                  <c:v>75.704866638533829</c:v>
                </c:pt>
                <c:pt idx="305">
                  <c:v>76.200800943636736</c:v>
                </c:pt>
                <c:pt idx="306">
                  <c:v>76.698082256785355</c:v>
                </c:pt>
                <c:pt idx="307">
                  <c:v>77.196707416286415</c:v>
                </c:pt>
                <c:pt idx="308">
                  <c:v>77.696673254559727</c:v>
                </c:pt>
                <c:pt idx="309">
                  <c:v>78.197976598191332</c:v>
                </c:pt>
                <c:pt idx="310">
                  <c:v>78.700614267986325</c:v>
                </c:pt>
                <c:pt idx="311">
                  <c:v>79.204583079021575</c:v>
                </c:pt>
                <c:pt idx="312">
                  <c:v>79.70987984069815</c:v>
                </c:pt>
                <c:pt idx="313">
                  <c:v>80.216501356793586</c:v>
                </c:pt>
                <c:pt idx="314">
                  <c:v>80.724444425513951</c:v>
                </c:pt>
                <c:pt idx="315">
                  <c:v>81.233705839545678</c:v>
                </c:pt>
                <c:pt idx="316">
                  <c:v>81.744282386107187</c:v>
                </c:pt>
                <c:pt idx="317">
                  <c:v>82.256170847000334</c:v>
                </c:pt>
                <c:pt idx="318">
                  <c:v>82.769367998661636</c:v>
                </c:pt>
                <c:pt idx="319">
                  <c:v>83.283870612213278</c:v>
                </c:pt>
                <c:pt idx="320">
                  <c:v>83.799675453513956</c:v>
                </c:pt>
                <c:pt idx="321">
                  <c:v>84.31677928320947</c:v>
                </c:pt>
                <c:pt idx="322">
                  <c:v>84.835178856783145</c:v>
                </c:pt>
                <c:pt idx="323">
                  <c:v>85.354870924606004</c:v>
                </c:pt>
                <c:pt idx="324">
                  <c:v>85.875852231986812</c:v>
                </c:pt>
                <c:pt idx="325">
                  <c:v>86.398119519221879</c:v>
                </c:pt>
                <c:pt idx="326">
                  <c:v>86.92166954587195</c:v>
                </c:pt>
                <c:pt idx="327">
                  <c:v>87.446499115071987</c:v>
                </c:pt>
                <c:pt idx="328">
                  <c:v>87.972605049381585</c:v>
                </c:pt>
                <c:pt idx="329">
                  <c:v>88.499984166601465</c:v>
                </c:pt>
                <c:pt idx="330">
                  <c:v>89.028633279820852</c:v>
                </c:pt>
                <c:pt idx="331">
                  <c:v>89.558549197464785</c:v>
                </c:pt>
                <c:pt idx="332">
                  <c:v>90.089728723341139</c:v>
                </c:pt>
                <c:pt idx="333">
                  <c:v>90.622168656687492</c:v>
                </c:pt>
                <c:pt idx="334">
                  <c:v>91.155865792217767</c:v>
                </c:pt>
                <c:pt idx="335">
                  <c:v>91.690816920168771</c:v>
                </c:pt>
                <c:pt idx="336">
                  <c:v>92.227018826346423</c:v>
                </c:pt>
                <c:pt idx="337">
                  <c:v>92.764468292171912</c:v>
                </c:pt>
                <c:pt idx="338">
                  <c:v>93.30316209472754</c:v>
                </c:pt>
                <c:pt idx="339">
                  <c:v>93.843097006802495</c:v>
                </c:pt>
                <c:pt idx="340">
                  <c:v>94.384269796938341</c:v>
                </c:pt>
                <c:pt idx="341">
                  <c:v>94.926677229474407</c:v>
                </c:pt>
                <c:pt idx="342">
                  <c:v>95.470316064592879</c:v>
                </c:pt>
                <c:pt idx="343">
                  <c:v>96.015183058363803</c:v>
                </c:pt>
                <c:pt idx="344">
                  <c:v>96.561274962789838</c:v>
                </c:pt>
                <c:pt idx="345">
                  <c:v>97.108588525850848</c:v>
                </c:pt>
                <c:pt idx="346">
                  <c:v>97.657120491548284</c:v>
                </c:pt>
                <c:pt idx="347">
                  <c:v>98.206867599949405</c:v>
                </c:pt>
                <c:pt idx="348">
                  <c:v>98.757826587231278</c:v>
                </c:pt>
                <c:pt idx="349">
                  <c:v>99.309994185724648</c:v>
                </c:pt>
                <c:pt idx="350">
                  <c:v>99.863367123957531</c:v>
                </c:pt>
                <c:pt idx="351">
                  <c:v>100.41794212669868</c:v>
                </c:pt>
                <c:pt idx="352">
                  <c:v>100.97371591500087</c:v>
                </c:pt>
                <c:pt idx="353">
                  <c:v>101.53068520624399</c:v>
                </c:pt>
                <c:pt idx="354">
                  <c:v>102.08884671417786</c:v>
                </c:pt>
                <c:pt idx="355">
                  <c:v>102.64819714896505</c:v>
                </c:pt>
                <c:pt idx="356">
                  <c:v>103.20873321722328</c:v>
                </c:pt>
                <c:pt idx="357">
                  <c:v>103.77045162206784</c:v>
                </c:pt>
                <c:pt idx="358">
                  <c:v>104.33334906315368</c:v>
                </c:pt>
                <c:pt idx="359">
                  <c:v>104.89742223671738</c:v>
                </c:pt>
                <c:pt idx="360">
                  <c:v>105.46266783561893</c:v>
                </c:pt>
                <c:pt idx="361">
                  <c:v>106.02908254938333</c:v>
                </c:pt>
                <c:pt idx="362">
                  <c:v>106.59666306424194</c:v>
                </c:pt>
                <c:pt idx="363">
                  <c:v>107.16540606317372</c:v>
                </c:pt>
                <c:pt idx="364">
                  <c:v>107.73530822594626</c:v>
                </c:pt>
                <c:pt idx="365">
                  <c:v>108.30636622915658</c:v>
                </c:pt>
                <c:pt idx="366">
                  <c:v>108.87857737125144</c:v>
                </c:pt>
                <c:pt idx="367">
                  <c:v>109.45194019822524</c:v>
                </c:pt>
                <c:pt idx="368">
                  <c:v>110.02645387913363</c:v>
                </c:pt>
                <c:pt idx="369">
                  <c:v>110.60211758091549</c:v>
                </c:pt>
                <c:pt idx="370">
                  <c:v>111.17893046840663</c:v>
                </c:pt>
                <c:pt idx="371">
                  <c:v>111.75689170435332</c:v>
                </c:pt>
                <c:pt idx="372">
                  <c:v>112.33600044942584</c:v>
                </c:pt>
                <c:pt idx="373">
                  <c:v>112.91625586223201</c:v>
                </c:pt>
                <c:pt idx="374">
                  <c:v>113.49765709933067</c:v>
                </c:pt>
                <c:pt idx="375">
                  <c:v>114.08020331524517</c:v>
                </c:pt>
                <c:pt idx="376">
                  <c:v>114.66389366247681</c:v>
                </c:pt>
                <c:pt idx="377">
                  <c:v>115.24872729151821</c:v>
                </c:pt>
                <c:pt idx="378">
                  <c:v>115.83470335086675</c:v>
                </c:pt>
                <c:pt idx="379">
                  <c:v>116.42182098703789</c:v>
                </c:pt>
                <c:pt idx="380">
                  <c:v>117.01007934457854</c:v>
                </c:pt>
                <c:pt idx="381">
                  <c:v>117.59947688731627</c:v>
                </c:pt>
                <c:pt idx="382">
                  <c:v>118.19001071891664</c:v>
                </c:pt>
                <c:pt idx="383">
                  <c:v>118.78167726124488</c:v>
                </c:pt>
                <c:pt idx="384">
                  <c:v>119.37447293343347</c:v>
                </c:pt>
                <c:pt idx="385">
                  <c:v>119.96839415192333</c:v>
                </c:pt>
                <c:pt idx="386">
                  <c:v>120.56343733050495</c:v>
                </c:pt>
                <c:pt idx="387">
                  <c:v>121.15959888035914</c:v>
                </c:pt>
                <c:pt idx="388">
                  <c:v>121.7568752100977</c:v>
                </c:pt>
                <c:pt idx="389">
                  <c:v>122.35526272580387</c:v>
                </c:pt>
                <c:pt idx="390">
                  <c:v>122.9547578310725</c:v>
                </c:pt>
                <c:pt idx="391">
                  <c:v>123.55535692705011</c:v>
                </c:pt>
                <c:pt idx="392">
                  <c:v>124.15705641247472</c:v>
                </c:pt>
                <c:pt idx="393">
                  <c:v>124.75985268371542</c:v>
                </c:pt>
                <c:pt idx="394">
                  <c:v>125.36374213481186</c:v>
                </c:pt>
                <c:pt idx="395">
                  <c:v>125.96872115751336</c:v>
                </c:pt>
                <c:pt idx="396">
                  <c:v>126.57478614131801</c:v>
                </c:pt>
                <c:pt idx="397">
                  <c:v>127.18193347351146</c:v>
                </c:pt>
                <c:pt idx="398">
                  <c:v>127.79015953920548</c:v>
                </c:pt>
                <c:pt idx="399">
                  <c:v>128.39946072137639</c:v>
                </c:pt>
                <c:pt idx="400">
                  <c:v>129.00983340090329</c:v>
                </c:pt>
                <c:pt idx="401">
                  <c:v>129.62127341953416</c:v>
                </c:pt>
                <c:pt idx="402">
                  <c:v>130.23377554237533</c:v>
                </c:pt>
                <c:pt idx="403">
                  <c:v>130.84733399479003</c:v>
                </c:pt>
                <c:pt idx="404">
                  <c:v>131.46194299978649</c:v>
                </c:pt>
                <c:pt idx="405">
                  <c:v>132.07759677808187</c:v>
                </c:pt>
                <c:pt idx="406">
                  <c:v>132.69428954816576</c:v>
                </c:pt>
                <c:pt idx="407">
                  <c:v>133.3120155263633</c:v>
                </c:pt>
                <c:pt idx="408">
                  <c:v>133.9307689268978</c:v>
                </c:pt>
                <c:pt idx="409">
                  <c:v>134.55054396195297</c:v>
                </c:pt>
                <c:pt idx="410">
                  <c:v>135.17133484173476</c:v>
                </c:pt>
                <c:pt idx="411">
                  <c:v>135.79313279867094</c:v>
                </c:pt>
                <c:pt idx="412">
                  <c:v>136.41592310924435</c:v>
                </c:pt>
                <c:pt idx="413">
                  <c:v>137.03968806921588</c:v>
                </c:pt>
                <c:pt idx="414">
                  <c:v>137.66440997133583</c:v>
                </c:pt>
                <c:pt idx="415">
                  <c:v>138.29007110564746</c:v>
                </c:pt>
                <c:pt idx="416">
                  <c:v>138.91665375978732</c:v>
                </c:pt>
                <c:pt idx="417">
                  <c:v>139.54414021928255</c:v>
                </c:pt>
                <c:pt idx="418">
                  <c:v>140.17251276784472</c:v>
                </c:pt>
                <c:pt idx="419">
                  <c:v>140.80175368766072</c:v>
                </c:pt>
                <c:pt idx="420">
                  <c:v>141.43184356270487</c:v>
                </c:pt>
                <c:pt idx="421">
                  <c:v>142.06275958099536</c:v>
                </c:pt>
                <c:pt idx="422">
                  <c:v>142.69447723193201</c:v>
                </c:pt>
                <c:pt idx="423">
                  <c:v>143.32697200478759</c:v>
                </c:pt>
                <c:pt idx="424">
                  <c:v>143.96021938918929</c:v>
                </c:pt>
                <c:pt idx="425">
                  <c:v>144.5941948755941</c:v>
                </c:pt>
                <c:pt idx="426">
                  <c:v>145.22887395575827</c:v>
                </c:pt>
                <c:pt idx="427">
                  <c:v>145.86423212320085</c:v>
                </c:pt>
                <c:pt idx="428">
                  <c:v>146.50024487366119</c:v>
                </c:pt>
                <c:pt idx="429">
                  <c:v>147.13688770555061</c:v>
                </c:pt>
                <c:pt idx="430">
                  <c:v>147.77413612039794</c:v>
                </c:pt>
                <c:pt idx="431">
                  <c:v>148.41196562328921</c:v>
                </c:pt>
                <c:pt idx="432">
                  <c:v>149.05034897973573</c:v>
                </c:pt>
                <c:pt idx="433">
                  <c:v>149.68925347161226</c:v>
                </c:pt>
                <c:pt idx="434">
                  <c:v>150.32864364248908</c:v>
                </c:pt>
                <c:pt idx="435">
                  <c:v>150.96848404409437</c:v>
                </c:pt>
                <c:pt idx="436">
                  <c:v>151.60873923714556</c:v>
                </c:pt>
                <c:pt idx="437">
                  <c:v>152.2493737921682</c:v>
                </c:pt>
                <c:pt idx="438">
                  <c:v>152.8903522903025</c:v>
                </c:pt>
                <c:pt idx="439">
                  <c:v>153.53163932409743</c:v>
                </c:pt>
                <c:pt idx="440">
                  <c:v>154.17319949829232</c:v>
                </c:pt>
                <c:pt idx="441">
                  <c:v>154.8149974305862</c:v>
                </c:pt>
                <c:pt idx="442">
                  <c:v>155.45699942344433</c:v>
                </c:pt>
                <c:pt idx="443">
                  <c:v>156.0991751359455</c:v>
                </c:pt>
                <c:pt idx="444">
                  <c:v>156.74149591188183</c:v>
                </c:pt>
                <c:pt idx="445">
                  <c:v>157.38393310766685</c:v>
                </c:pt>
                <c:pt idx="446">
                  <c:v>158.02645809279227</c:v>
                </c:pt>
                <c:pt idx="447">
                  <c:v>158.66904225027665</c:v>
                </c:pt>
                <c:pt idx="448">
                  <c:v>159.31165697710588</c:v>
                </c:pt>
                <c:pt idx="449">
                  <c:v>159.95427368466548</c:v>
                </c:pt>
                <c:pt idx="450">
                  <c:v>160.59686379916485</c:v>
                </c:pt>
                <c:pt idx="451">
                  <c:v>161.2393987620533</c:v>
                </c:pt>
                <c:pt idx="452">
                  <c:v>161.88185003042798</c:v>
                </c:pt>
                <c:pt idx="453">
                  <c:v>162.52419147833879</c:v>
                </c:pt>
                <c:pt idx="454">
                  <c:v>163.16640179758784</c:v>
                </c:pt>
                <c:pt idx="455">
                  <c:v>163.80846209412798</c:v>
                </c:pt>
                <c:pt idx="456">
                  <c:v>164.45035348483285</c:v>
                </c:pt>
                <c:pt idx="457">
                  <c:v>165.09205709763089</c:v>
                </c:pt>
                <c:pt idx="458">
                  <c:v>165.73355407163601</c:v>
                </c:pt>
                <c:pt idx="459">
                  <c:v>166.37482555727465</c:v>
                </c:pt>
                <c:pt idx="460">
                  <c:v>167.01585271640963</c:v>
                </c:pt>
                <c:pt idx="461">
                  <c:v>167.65661888866109</c:v>
                </c:pt>
                <c:pt idx="462">
                  <c:v>168.2971117570678</c:v>
                </c:pt>
                <c:pt idx="463">
                  <c:v>168.93732117895846</c:v>
                </c:pt>
                <c:pt idx="464">
                  <c:v>169.57723701742484</c:v>
                </c:pt>
                <c:pt idx="465">
                  <c:v>170.21684914132703</c:v>
                </c:pt>
                <c:pt idx="466">
                  <c:v>170.85614560247032</c:v>
                </c:pt>
                <c:pt idx="467">
                  <c:v>171.49511081339065</c:v>
                </c:pt>
                <c:pt idx="468">
                  <c:v>172.13370705947636</c:v>
                </c:pt>
                <c:pt idx="469">
                  <c:v>172.77188088604353</c:v>
                </c:pt>
                <c:pt idx="470">
                  <c:v>173.40960829993656</c:v>
                </c:pt>
                <c:pt idx="471">
                  <c:v>174.04689020048593</c:v>
                </c:pt>
                <c:pt idx="472">
                  <c:v>174.68372748443463</c:v>
                </c:pt>
                <c:pt idx="473">
                  <c:v>175.32012104594833</c:v>
                </c:pt>
                <c:pt idx="474">
                  <c:v>175.95607177662561</c:v>
                </c:pt>
                <c:pt idx="475">
                  <c:v>176.59158056550797</c:v>
                </c:pt>
                <c:pt idx="476">
                  <c:v>177.2266482990899</c:v>
                </c:pt>
                <c:pt idx="477">
                  <c:v>177.86127586132886</c:v>
                </c:pt>
                <c:pt idx="478">
                  <c:v>178.49546413365522</c:v>
                </c:pt>
                <c:pt idx="479">
                  <c:v>179.12921399498217</c:v>
                </c:pt>
                <c:pt idx="480">
                  <c:v>179.76252632171557</c:v>
                </c:pt>
                <c:pt idx="481">
                  <c:v>180.39540198776371</c:v>
                </c:pt>
                <c:pt idx="482">
                  <c:v>181.02784186454704</c:v>
                </c:pt>
                <c:pt idx="483">
                  <c:v>181.65984682100793</c:v>
                </c:pt>
                <c:pt idx="484">
                  <c:v>182.29141772362033</c:v>
                </c:pt>
                <c:pt idx="485">
                  <c:v>182.92255543639925</c:v>
                </c:pt>
                <c:pt idx="486">
                  <c:v>183.55326082091048</c:v>
                </c:pt>
                <c:pt idx="487">
                  <c:v>184.18353473628</c:v>
                </c:pt>
                <c:pt idx="488">
                  <c:v>184.81337803920346</c:v>
                </c:pt>
                <c:pt idx="489">
                  <c:v>185.4427915839556</c:v>
                </c:pt>
                <c:pt idx="490">
                  <c:v>186.07177622239965</c:v>
                </c:pt>
                <c:pt idx="491">
                  <c:v>186.70033280399662</c:v>
                </c:pt>
                <c:pt idx="492">
                  <c:v>187.32846217581459</c:v>
                </c:pt>
                <c:pt idx="493">
                  <c:v>187.95616518253797</c:v>
                </c:pt>
                <c:pt idx="494">
                  <c:v>188.58344266647663</c:v>
                </c:pt>
                <c:pt idx="495">
                  <c:v>189.21029546757512</c:v>
                </c:pt>
                <c:pt idx="496">
                  <c:v>189.83672442342174</c:v>
                </c:pt>
                <c:pt idx="497">
                  <c:v>190.4627303692576</c:v>
                </c:pt>
                <c:pt idx="498">
                  <c:v>191.08831413798563</c:v>
                </c:pt>
                <c:pt idx="499">
                  <c:v>191.71347656017952</c:v>
                </c:pt>
                <c:pt idx="500">
                  <c:v>192.33821846409273</c:v>
                </c:pt>
                <c:pt idx="501">
                  <c:v>198.56257298234181</c:v>
                </c:pt>
                <c:pt idx="502">
                  <c:v>204.74540832122014</c:v>
                </c:pt>
                <c:pt idx="503">
                  <c:v>210.88753087750254</c:v>
                </c:pt>
                <c:pt idx="504">
                  <c:v>216.98972500146775</c:v>
                </c:pt>
                <c:pt idx="505">
                  <c:v>223.05275381772063</c:v>
                </c:pt>
                <c:pt idx="506">
                  <c:v>229.07736000788211</c:v>
                </c:pt>
                <c:pt idx="507">
                  <c:v>235.06426655726781</c:v>
                </c:pt>
                <c:pt idx="508">
                  <c:v>241.01417746753947</c:v>
                </c:pt>
                <c:pt idx="509">
                  <c:v>246.92777843718562</c:v>
                </c:pt>
                <c:pt idx="510">
                  <c:v>252.80573751157112</c:v>
                </c:pt>
                <c:pt idx="511">
                  <c:v>258.64870570418509</c:v>
                </c:pt>
                <c:pt idx="512">
                  <c:v>264.45731759061573</c:v>
                </c:pt>
                <c:pt idx="513">
                  <c:v>270.23219187668622</c:v>
                </c:pt>
                <c:pt idx="514">
                  <c:v>275.97393194209786</c:v>
                </c:pt>
                <c:pt idx="515">
                  <c:v>281.68312636084551</c:v>
                </c:pt>
                <c:pt idx="516">
                  <c:v>287.36034939959404</c:v>
                </c:pt>
                <c:pt idx="517">
                  <c:v>293.00616149513434</c:v>
                </c:pt>
                <c:pt idx="518">
                  <c:v>298.62110971197001</c:v>
                </c:pt>
                <c:pt idx="519">
                  <c:v>304.20572818102647</c:v>
                </c:pt>
                <c:pt idx="520">
                  <c:v>309.7605385204148</c:v>
                </c:pt>
                <c:pt idx="521">
                  <c:v>315.28605023912991</c:v>
                </c:pt>
                <c:pt idx="522">
                  <c:v>320.78276112451243</c:v>
                </c:pt>
                <c:pt idx="523">
                  <c:v>326.25115761425673</c:v>
                </c:pt>
                <c:pt idx="524">
                  <c:v>331.691715153703</c:v>
                </c:pt>
                <c:pt idx="525">
                  <c:v>337.10489853911167</c:v>
                </c:pt>
                <c:pt idx="526">
                  <c:v>342.49116224757813</c:v>
                </c:pt>
                <c:pt idx="527">
                  <c:v>347.85095075421106</c:v>
                </c:pt>
                <c:pt idx="528">
                  <c:v>353.18469883716347</c:v>
                </c:pt>
                <c:pt idx="529">
                  <c:v>358.49283187107324</c:v>
                </c:pt>
                <c:pt idx="530">
                  <c:v>363.77576610944072</c:v>
                </c:pt>
                <c:pt idx="531">
                  <c:v>369.03390895644321</c:v>
                </c:pt>
                <c:pt idx="532">
                  <c:v>374.267659228659</c:v>
                </c:pt>
                <c:pt idx="533">
                  <c:v>379.47740740714966</c:v>
                </c:pt>
                <c:pt idx="534">
                  <c:v>384.66353588032564</c:v>
                </c:pt>
                <c:pt idx="535">
                  <c:v>389.82641917799839</c:v>
                </c:pt>
                <c:pt idx="536">
                  <c:v>394.96642419700208</c:v>
                </c:pt>
                <c:pt idx="537">
                  <c:v>400.08391041874751</c:v>
                </c:pt>
                <c:pt idx="538">
                  <c:v>405.17923011905378</c:v>
                </c:pt>
                <c:pt idx="539">
                  <c:v>410.25272857058513</c:v>
                </c:pt>
                <c:pt idx="540">
                  <c:v>415.30474423820448</c:v>
                </c:pt>
                <c:pt idx="541">
                  <c:v>420.33560896753971</c:v>
                </c:pt>
                <c:pt idx="542">
                  <c:v>425.34564816704426</c:v>
                </c:pt>
                <c:pt idx="543">
                  <c:v>430.33518098382007</c:v>
                </c:pt>
                <c:pt idx="544">
                  <c:v>435.3045204734579</c:v>
                </c:pt>
                <c:pt idx="545">
                  <c:v>440.2539737641373</c:v>
                </c:pt>
                <c:pt idx="546">
                  <c:v>445.18384221521785</c:v>
                </c:pt>
                <c:pt idx="547">
                  <c:v>450.09442157054184</c:v>
                </c:pt>
                <c:pt idx="548">
                  <c:v>454.98600210665796</c:v>
                </c:pt>
                <c:pt idx="549">
                  <c:v>459.85886877616639</c:v>
                </c:pt>
                <c:pt idx="550">
                  <c:v>464.71330134637572</c:v>
                </c:pt>
                <c:pt idx="551">
                  <c:v>469.54957453345395</c:v>
                </c:pt>
                <c:pt idx="552">
                  <c:v>474.36795813224694</c:v>
                </c:pt>
                <c:pt idx="553">
                  <c:v>479.16871714192996</c:v>
                </c:pt>
                <c:pt idx="554">
                  <c:v>483.9521118876508</c:v>
                </c:pt>
                <c:pt idx="555">
                  <c:v>488.71839813831508</c:v>
                </c:pt>
                <c:pt idx="556">
                  <c:v>493.46782722065814</c:v>
                </c:pt>
                <c:pt idx="557">
                  <c:v>498.20064612974159</c:v>
                </c:pt>
                <c:pt idx="558">
                  <c:v>502.91709763600568</c:v>
                </c:pt>
                <c:pt idx="559">
                  <c:v>507.61742038900383</c:v>
                </c:pt>
                <c:pt idx="560">
                  <c:v>512.30184901793939</c:v>
                </c:pt>
                <c:pt idx="561">
                  <c:v>516.97061422912009</c:v>
                </c:pt>
                <c:pt idx="562">
                  <c:v>521.6239429004396</c:v>
                </c:pt>
                <c:pt idx="563">
                  <c:v>526.26205817299194</c:v>
                </c:pt>
                <c:pt idx="564">
                  <c:v>530.8851795399197</c:v>
                </c:pt>
                <c:pt idx="565">
                  <c:v>535.49352293259199</c:v>
                </c:pt>
                <c:pt idx="566">
                  <c:v>540.08730080420469</c:v>
                </c:pt>
                <c:pt idx="567">
                  <c:v>544.66672221089107</c:v>
                </c:pt>
                <c:pt idx="568">
                  <c:v>549.23199289042793</c:v>
                </c:pt>
                <c:pt idx="569">
                  <c:v>553.78331533861785</c:v>
                </c:pt>
                <c:pt idx="570">
                  <c:v>558.32088888342469</c:v>
                </c:pt>
                <c:pt idx="571">
                  <c:v>562.84490975693745</c:v>
                </c:pt>
                <c:pt idx="572">
                  <c:v>567.35557116523353</c:v>
                </c:pt>
                <c:pt idx="573">
                  <c:v>571.85306335620828</c:v>
                </c:pt>
                <c:pt idx="574">
                  <c:v>576.33757368543831</c:v>
                </c:pt>
                <c:pt idx="575">
                  <c:v>580.80928668013883</c:v>
                </c:pt>
                <c:pt idx="576">
                  <c:v>585.26838410127652</c:v>
                </c:pt>
                <c:pt idx="577">
                  <c:v>589.71504500389426</c:v>
                </c:pt>
                <c:pt idx="578">
                  <c:v>594.14944579570317</c:v>
                </c:pt>
                <c:pt idx="579">
                  <c:v>598.57176029399477</c:v>
                </c:pt>
                <c:pt idx="580">
                  <c:v>602.98215978092264</c:v>
                </c:pt>
                <c:pt idx="581">
                  <c:v>607.380813057203</c:v>
                </c:pt>
                <c:pt idx="582">
                  <c:v>611.76788649427931</c:v>
                </c:pt>
                <c:pt idx="583">
                  <c:v>616.14354408499571</c:v>
                </c:pt>
                <c:pt idx="584">
                  <c:v>620.50794749282124</c:v>
                </c:pt>
                <c:pt idx="585">
                  <c:v>624.86125609966507</c:v>
                </c:pt>
                <c:pt idx="586">
                  <c:v>629.20362705232196</c:v>
                </c:pt>
                <c:pt idx="587">
                  <c:v>633.5352153075836</c:v>
                </c:pt>
                <c:pt idx="588">
                  <c:v>637.85617367605221</c:v>
                </c:pt>
                <c:pt idx="589">
                  <c:v>642.16665286468947</c:v>
                </c:pt>
                <c:pt idx="590">
                  <c:v>646.46680151813223</c:v>
                </c:pt>
                <c:pt idx="591">
                  <c:v>650.75676625880646</c:v>
                </c:pt>
                <c:pt idx="592">
                  <c:v>655.03669172586785</c:v>
                </c:pt>
                <c:pt idx="593">
                  <c:v>659.30672061299606</c:v>
                </c:pt>
                <c:pt idx="594">
                  <c:v>663.5669937050701</c:v>
                </c:pt>
                <c:pt idx="595">
                  <c:v>667.81764991374803</c:v>
                </c:pt>
                <c:pt idx="596">
                  <c:v>672.05882631197585</c:v>
                </c:pt>
                <c:pt idx="597">
                  <c:v>676.29065816744628</c:v>
                </c:pt>
                <c:pt idx="598">
                  <c:v>680.51327897502938</c:v>
                </c:pt>
                <c:pt idx="599">
                  <c:v>684.72682048819365</c:v>
                </c:pt>
                <c:pt idx="600">
                  <c:v>688.93141274943684</c:v>
                </c:pt>
                <c:pt idx="601">
                  <c:v>693.12718411974254</c:v>
                </c:pt>
                <c:pt idx="602">
                  <c:v>697.31426130707894</c:v>
                </c:pt>
                <c:pt idx="603">
                  <c:v>701.49276939395486</c:v>
                </c:pt>
                <c:pt idx="604">
                  <c:v>705.66283186404507</c:v>
                </c:pt>
                <c:pt idx="605">
                  <c:v>709.82457062789945</c:v>
                </c:pt>
                <c:pt idx="606">
                  <c:v>713.97810604774452</c:v>
                </c:pt>
                <c:pt idx="607">
                  <c:v>718.12355696138957</c:v>
                </c:pt>
                <c:pt idx="608">
                  <c:v>722.2610407052448</c:v>
                </c:pt>
                <c:pt idx="609">
                  <c:v>726.39067313645978</c:v>
                </c:pt>
                <c:pt idx="610">
                  <c:v>730.51256865418861</c:v>
                </c:pt>
                <c:pt idx="611">
                  <c:v>734.62684021998655</c:v>
                </c:pt>
                <c:pt idx="612">
                  <c:v>738.73359937734358</c:v>
                </c:pt>
                <c:pt idx="613">
                  <c:v>742.83295627035636</c:v>
                </c:pt>
                <c:pt idx="614">
                  <c:v>746.92501966154134</c:v>
                </c:pt>
                <c:pt idx="615">
                  <c:v>751.00989694878979</c:v>
                </c:pt>
                <c:pt idx="616">
                  <c:v>755.08769418146369</c:v>
                </c:pt>
                <c:pt idx="617">
                  <c:v>759.15851607563047</c:v>
                </c:pt>
                <c:pt idx="618">
                  <c:v>763.22246602843484</c:v>
                </c:pt>
                <c:pt idx="619">
                  <c:v>767.27964613160225</c:v>
                </c:pt>
                <c:pt idx="620">
                  <c:v>771.33015718406932</c:v>
                </c:pt>
                <c:pt idx="621">
                  <c:v>775.37409870373438</c:v>
                </c:pt>
                <c:pt idx="622">
                  <c:v>779.41156893831987</c:v>
                </c:pt>
                <c:pt idx="623">
                  <c:v>783.44266487533844</c:v>
                </c:pt>
                <c:pt idx="624">
                  <c:v>787.46748225115141</c:v>
                </c:pt>
                <c:pt idx="625">
                  <c:v>791.48611555910838</c:v>
                </c:pt>
                <c:pt idx="626">
                  <c:v>795.49865805675518</c:v>
                </c:pt>
                <c:pt idx="627">
                  <c:v>799.50520177209569</c:v>
                </c:pt>
                <c:pt idx="628">
                  <c:v>803.50583750889302</c:v>
                </c:pt>
                <c:pt idx="629">
                  <c:v>807.50065485099265</c:v>
                </c:pt>
                <c:pt idx="630">
                  <c:v>811.48974216565045</c:v>
                </c:pt>
                <c:pt idx="631">
                  <c:v>815.47318660584699</c:v>
                </c:pt>
                <c:pt idx="632">
                  <c:v>819.45107411156766</c:v>
                </c:pt>
                <c:pt idx="633">
                  <c:v>823.42348941002899</c:v>
                </c:pt>
                <c:pt idx="634">
                  <c:v>827.39051601482822</c:v>
                </c:pt>
                <c:pt idx="635">
                  <c:v>831.35223622399519</c:v>
                </c:pt>
                <c:pt idx="636">
                  <c:v>835.30873111692256</c:v>
                </c:pt>
                <c:pt idx="637">
                  <c:v>839.2600805501512</c:v>
                </c:pt>
                <c:pt idx="638">
                  <c:v>843.20636315198738</c:v>
                </c:pt>
                <c:pt idx="639">
                  <c:v>847.14765631592809</c:v>
                </c:pt>
                <c:pt idx="640">
                  <c:v>851.08403619287014</c:v>
                </c:pt>
                <c:pt idx="641">
                  <c:v>855.01557768208113</c:v>
                </c:pt>
                <c:pt idx="642">
                  <c:v>858.94235442091008</c:v>
                </c:pt>
                <c:pt idx="643">
                  <c:v>862.86443877321619</c:v>
                </c:pt>
                <c:pt idx="644">
                  <c:v>866.78190181649779</c:v>
                </c:pt>
                <c:pt idx="645">
                  <c:v>870.69481332770363</c:v>
                </c:pt>
                <c:pt idx="646">
                  <c:v>874.60324176771394</c:v>
                </c:pt>
                <c:pt idx="647">
                  <c:v>878.50725426447912</c:v>
                </c:pt>
                <c:pt idx="648">
                  <c:v>882.40691659481149</c:v>
                </c:pt>
                <c:pt idx="649">
                  <c:v>886.30229316482769</c:v>
                </c:pt>
                <c:pt idx="650">
                  <c:v>890.19344698904672</c:v>
                </c:pt>
                <c:pt idx="651">
                  <c:v>894.08043966815444</c:v>
                </c:pt>
                <c:pt idx="652">
                  <c:v>897.96333136545468</c:v>
                </c:pt>
                <c:pt idx="653">
                  <c:v>901.84218078203276</c:v>
                </c:pt>
                <c:pt idx="654">
                  <c:v>905.71704513067118</c:v>
                </c:pt>
                <c:pt idx="655">
                  <c:v>909.58798010856401</c:v>
                </c:pt>
                <c:pt idx="656">
                  <c:v>913.45503986889219</c:v>
                </c:pt>
                <c:pt idx="657">
                  <c:v>917.31827699133248</c:v>
                </c:pt>
                <c:pt idx="658">
                  <c:v>921.17774245158921</c:v>
                </c:pt>
                <c:pt idx="659">
                  <c:v>925.03348559005178</c:v>
                </c:pt>
                <c:pt idx="660">
                  <c:v>928.88555407969795</c:v>
                </c:pt>
                <c:pt idx="661">
                  <c:v>932.73399389338056</c:v>
                </c:pt>
                <c:pt idx="662">
                  <c:v>936.57884927065163</c:v>
                </c:pt>
                <c:pt idx="663">
                  <c:v>940.42016268429734</c:v>
                </c:pt>
                <c:pt idx="664">
                  <c:v>944.2579748067742</c:v>
                </c:pt>
                <c:pt idx="665">
                  <c:v>948.09232447675674</c:v>
                </c:pt>
                <c:pt idx="666">
                  <c:v>951.92324866602053</c:v>
                </c:pt>
                <c:pt idx="667">
                  <c:v>955.75078244690519</c:v>
                </c:pt>
                <c:pt idx="668">
                  <c:v>959.57495896061164</c:v>
                </c:pt>
                <c:pt idx="669">
                  <c:v>963.39580938660413</c:v>
                </c:pt>
                <c:pt idx="670">
                  <c:v>967.21336291339435</c:v>
                </c:pt>
                <c:pt idx="671">
                  <c:v>971.02764671099362</c:v>
                </c:pt>
                <c:pt idx="672">
                  <c:v>974.83868590531995</c:v>
                </c:pt>
                <c:pt idx="673">
                  <c:v>978.64650355484662</c:v>
                </c:pt>
                <c:pt idx="674">
                  <c:v>982.45112062977364</c:v>
                </c:pt>
                <c:pt idx="675">
                  <c:v>986.25255599399088</c:v>
                </c:pt>
                <c:pt idx="676">
                  <c:v>990.05082639008856</c:v>
                </c:pt>
                <c:pt idx="677">
                  <c:v>993.84594642764898</c:v>
                </c:pt>
                <c:pt idx="678">
                  <c:v>997.6379285750287</c:v>
                </c:pt>
                <c:pt idx="679">
                  <c:v>1001.4267831548117</c:v>
                </c:pt>
                <c:pt idx="680">
                  <c:v>1005.2125183430788</c:v>
                </c:pt>
                <c:pt idx="681">
                  <c:v>1008.9951401726049</c:v>
                </c:pt>
                <c:pt idx="682">
                  <c:v>1012.7746525400527</c:v>
                </c:pt>
                <c:pt idx="683">
                  <c:v>1016.5510572171949</c:v>
                </c:pt>
                <c:pt idx="684">
                  <c:v>1020.3243538661509</c:v>
                </c:pt>
                <c:pt idx="685">
                  <c:v>1024.094540058587</c:v>
                </c:pt>
                <c:pt idx="686">
                  <c:v>1027.8616112987847</c:v>
                </c:pt>
                <c:pt idx="687">
                  <c:v>1031.6255610504472</c:v>
                </c:pt>
                <c:pt idx="688">
                  <c:v>1035.3863807670762</c:v>
                </c:pt>
                <c:pt idx="689">
                  <c:v>1039.1440599257228</c:v>
                </c:pt>
                <c:pt idx="690">
                  <c:v>1042.8985860638859</c:v>
                </c:pt>
                <c:pt idx="691">
                  <c:v>1046.6499448193097</c:v>
                </c:pt>
                <c:pt idx="692">
                  <c:v>1050.3981199724151</c:v>
                </c:pt>
                <c:pt idx="693">
                  <c:v>1054.1430934910882</c:v>
                </c:pt>
                <c:pt idx="694">
                  <c:v>1057.8848455775362</c:v>
                </c:pt>
                <c:pt idx="695">
                  <c:v>1061.6233547169245</c:v>
                </c:pt>
                <c:pt idx="696">
                  <c:v>1065.3585977275043</c:v>
                </c:pt>
                <c:pt idx="697">
                  <c:v>1069.0905498119491</c:v>
                </c:pt>
                <c:pt idx="698">
                  <c:v>1072.8191846096249</c:v>
                </c:pt>
                <c:pt idx="699">
                  <c:v>1076.5444742495326</c:v>
                </c:pt>
                <c:pt idx="700">
                  <c:v>1080.2663894036725</c:v>
                </c:pt>
                <c:pt idx="701">
                  <c:v>1083.9848993405999</c:v>
                </c:pt>
                <c:pt idx="702">
                  <c:v>1087.6999719789565</c:v>
                </c:pt>
                <c:pt idx="703">
                  <c:v>1091.41157394078</c:v>
                </c:pt>
                <c:pt idx="704">
                  <c:v>1095.1196706044161</c:v>
                </c:pt>
                <c:pt idx="705">
                  <c:v>1098.8242261568712</c:v>
                </c:pt>
                <c:pt idx="706">
                  <c:v>1102.5252036454676</c:v>
                </c:pt>
                <c:pt idx="707">
                  <c:v>1106.2225650286789</c:v>
                </c:pt>
                <c:pt idx="708">
                  <c:v>1109.9162712260395</c:v>
                </c:pt>
                <c:pt idx="709">
                  <c:v>1113.6062821670407</c:v>
                </c:pt>
                <c:pt idx="710">
                  <c:v>1117.2925568389401</c:v>
                </c:pt>
                <c:pt idx="711">
                  <c:v>1120.975053333425</c:v>
                </c:pt>
                <c:pt idx="712">
                  <c:v>1124.6537288920854</c:v>
                </c:pt>
                <c:pt idx="713">
                  <c:v>1128.3285399506606</c:v>
                </c:pt>
                <c:pt idx="714">
                  <c:v>1131.9994421820379</c:v>
                </c:pt>
                <c:pt idx="715">
                  <c:v>1135.6663905379889</c:v>
                </c:pt>
                <c:pt idx="716">
                  <c:v>1139.3293392896371</c:v>
                </c:pt>
                <c:pt idx="717">
                  <c:v>1142.9882420666609</c:v>
                </c:pt>
                <c:pt idx="718">
                  <c:v>1146.6430518952393</c:v>
                </c:pt>
                <c:pt idx="719">
                  <c:v>1150.2937212347533</c:v>
                </c:pt>
                <c:pt idx="720">
                  <c:v>1153.9402020132625</c:v>
                </c:pt>
                <c:pt idx="721">
                  <c:v>1157.582445661779</c:v>
                </c:pt>
                <c:pt idx="722">
                  <c:v>1161.2204031473652</c:v>
                </c:pt>
                <c:pt idx="723">
                  <c:v>1164.8540250050801</c:v>
                </c:pt>
                <c:pt idx="724">
                  <c:v>1168.4832613688093</c:v>
                </c:pt>
                <c:pt idx="725">
                  <c:v>1172.1080620010057</c:v>
                </c:pt>
                <c:pt idx="726">
                  <c:v>1175.7283763213763</c:v>
                </c:pt>
                <c:pt idx="727">
                  <c:v>1179.3441534345477</c:v>
                </c:pt>
                <c:pt idx="728">
                  <c:v>1182.9553421567434</c:v>
                </c:pt>
                <c:pt idx="729">
                  <c:v>1186.5618910415094</c:v>
                </c:pt>
                <c:pt idx="730">
                  <c:v>1190.1637484045184</c:v>
                </c:pt>
                <c:pt idx="731">
                  <c:v>1193.7608623474889</c:v>
                </c:pt>
                <c:pt idx="732">
                  <c:v>1197.3531807812512</c:v>
                </c:pt>
                <c:pt idx="733">
                  <c:v>1200.9406514479931</c:v>
                </c:pt>
                <c:pt idx="734">
                  <c:v>1204.5232219427164</c:v>
                </c:pt>
                <c:pt idx="735">
                  <c:v>1208.1008397339365</c:v>
                </c:pt>
                <c:pt idx="736">
                  <c:v>1211.6734521836534</c:v>
                </c:pt>
                <c:pt idx="737">
                  <c:v>1215.2410065666245</c:v>
                </c:pt>
                <c:pt idx="738">
                  <c:v>1218.8034500889685</c:v>
                </c:pt>
                <c:pt idx="739">
                  <c:v>1222.3607299061234</c:v>
                </c:pt>
                <c:pt idx="740">
                  <c:v>1225.9127931401906</c:v>
                </c:pt>
                <c:pt idx="741">
                  <c:v>1229.4595868966853</c:v>
                </c:pt>
                <c:pt idx="742">
                  <c:v>1233.0010582807206</c:v>
                </c:pt>
                <c:pt idx="743">
                  <c:v>1236.5371544126465</c:v>
                </c:pt>
                <c:pt idx="744">
                  <c:v>1240.0678224431683</c:v>
                </c:pt>
                <c:pt idx="745">
                  <c:v>1243.5930095679628</c:v>
                </c:pt>
                <c:pt idx="746">
                  <c:v>1247.1126630418153</c:v>
                </c:pt>
                <c:pt idx="747">
                  <c:v>1250.6267301922951</c:v>
                </c:pt>
                <c:pt idx="748">
                  <c:v>1254.1351584329898</c:v>
                </c:pt>
                <c:pt idx="749">
                  <c:v>1257.6378952763132</c:v>
                </c:pt>
                <c:pt idx="750">
                  <c:v>1261.1348883459075</c:v>
                </c:pt>
                <c:pt idx="751">
                  <c:v>1264.6260853886524</c:v>
                </c:pt>
                <c:pt idx="752">
                  <c:v>1268.1114342862991</c:v>
                </c:pt>
                <c:pt idx="753">
                  <c:v>1271.5908830667422</c:v>
                </c:pt>
                <c:pt idx="754">
                  <c:v>1275.0643799149439</c:v>
                </c:pt>
                <c:pt idx="755">
                  <c:v>1278.5318731835232</c:v>
                </c:pt>
                <c:pt idx="756">
                  <c:v>1281.9933114030248</c:v>
                </c:pt>
                <c:pt idx="757">
                  <c:v>1285.4486432918761</c:v>
                </c:pt>
                <c:pt idx="758">
                  <c:v>1288.8978177660472</c:v>
                </c:pt>
                <c:pt idx="759">
                  <c:v>1292.3407839484223</c:v>
                </c:pt>
                <c:pt idx="760">
                  <c:v>1295.7774911778945</c:v>
                </c:pt>
                <c:pt idx="761">
                  <c:v>1299.207889018192</c:v>
                </c:pt>
                <c:pt idx="762">
                  <c:v>1302.6319272664468</c:v>
                </c:pt>
                <c:pt idx="763">
                  <c:v>1306.0495559615142</c:v>
                </c:pt>
                <c:pt idx="764">
                  <c:v>1309.4607253920499</c:v>
                </c:pt>
                <c:pt idx="765">
                  <c:v>1312.8653861043556</c:v>
                </c:pt>
                <c:pt idx="766">
                  <c:v>1316.2634889099988</c:v>
                </c:pt>
                <c:pt idx="767">
                  <c:v>1319.6549848932141</c:v>
                </c:pt>
                <c:pt idx="768">
                  <c:v>1323.039825418093</c:v>
                </c:pt>
                <c:pt idx="769">
                  <c:v>1326.4179621355697</c:v>
                </c:pt>
                <c:pt idx="770">
                  <c:v>1329.7893469902085</c:v>
                </c:pt>
                <c:pt idx="771">
                  <c:v>1333.1539322267975</c:v>
                </c:pt>
                <c:pt idx="772">
                  <c:v>1336.5116703967558</c:v>
                </c:pt>
                <c:pt idx="773">
                  <c:v>1339.8625143643608</c:v>
                </c:pt>
                <c:pt idx="774">
                  <c:v>1343.206417312796</c:v>
                </c:pt>
                <c:pt idx="775">
                  <c:v>1346.54333275003</c:v>
                </c:pt>
                <c:pt idx="776">
                  <c:v>1349.873214514527</c:v>
                </c:pt>
                <c:pt idx="777">
                  <c:v>1353.1960167807954</c:v>
                </c:pt>
                <c:pt idx="778">
                  <c:v>1356.5116940647772</c:v>
                </c:pt>
                <c:pt idx="779">
                  <c:v>1359.8202012290847</c:v>
                </c:pt>
                <c:pt idx="780">
                  <c:v>1363.1214934880852</c:v>
                </c:pt>
                <c:pt idx="781">
                  <c:v>1366.4155264128399</c:v>
                </c:pt>
                <c:pt idx="782">
                  <c:v>1369.7022559358982</c:v>
                </c:pt>
                <c:pt idx="783">
                  <c:v>1372.9816383559539</c:v>
                </c:pt>
                <c:pt idx="784">
                  <c:v>1376.2536303423626</c:v>
                </c:pt>
                <c:pt idx="785">
                  <c:v>1379.5181889395267</c:v>
                </c:pt>
                <c:pt idx="786">
                  <c:v>1382.7752715711486</c:v>
                </c:pt>
                <c:pt idx="787">
                  <c:v>1386.0248360443561</c:v>
                </c:pt>
                <c:pt idx="788">
                  <c:v>1389.2668405537033</c:v>
                </c:pt>
                <c:pt idx="789">
                  <c:v>1392.5012436850463</c:v>
                </c:pt>
                <c:pt idx="790">
                  <c:v>1395.7280044193005</c:v>
                </c:pt>
                <c:pt idx="791">
                  <c:v>1398.9470821360792</c:v>
                </c:pt>
                <c:pt idx="792">
                  <c:v>1402.1584366172153</c:v>
                </c:pt>
                <c:pt idx="793">
                  <c:v>1405.3620280501707</c:v>
                </c:pt>
                <c:pt idx="794">
                  <c:v>1408.5578170313329</c:v>
                </c:pt>
                <c:pt idx="795">
                  <c:v>1411.7457645692023</c:v>
                </c:pt>
                <c:pt idx="796">
                  <c:v>1414.9258320874715</c:v>
                </c:pt>
                <c:pt idx="797">
                  <c:v>1418.097981427999</c:v>
                </c:pt>
                <c:pt idx="798">
                  <c:v>1421.2621748536778</c:v>
                </c:pt>
                <c:pt idx="799">
                  <c:v>1424.4183750512025</c:v>
                </c:pt>
                <c:pt idx="800">
                  <c:v>1427.5665451337343</c:v>
                </c:pt>
                <c:pt idx="801">
                  <c:v>1430.7066486434678</c:v>
                </c:pt>
                <c:pt idx="802">
                  <c:v>1433.838649554099</c:v>
                </c:pt>
                <c:pt idx="803">
                  <c:v>1436.9625122731979</c:v>
                </c:pt>
                <c:pt idx="804">
                  <c:v>1440.078201644485</c:v>
                </c:pt>
                <c:pt idx="805">
                  <c:v>1443.1856829500157</c:v>
                </c:pt>
                <c:pt idx="806">
                  <c:v>1446.2849219122704</c:v>
                </c:pt>
                <c:pt idx="807">
                  <c:v>1449.3758846961562</c:v>
                </c:pt>
                <c:pt idx="808">
                  <c:v>1452.4585379109164</c:v>
                </c:pt>
                <c:pt idx="809">
                  <c:v>1455.5328486119538</c:v>
                </c:pt>
                <c:pt idx="810">
                  <c:v>1458.5987843025646</c:v>
                </c:pt>
                <c:pt idx="811">
                  <c:v>1461.6563129355875</c:v>
                </c:pt>
                <c:pt idx="812">
                  <c:v>1464.7054029149679</c:v>
                </c:pt>
                <c:pt idx="813">
                  <c:v>1467.7460230972365</c:v>
                </c:pt>
                <c:pt idx="814">
                  <c:v>1470.7781427929071</c:v>
                </c:pt>
                <c:pt idx="815">
                  <c:v>1473.8017317677916</c:v>
                </c:pt>
                <c:pt idx="816">
                  <c:v>1476.8167602442329</c:v>
                </c:pt>
                <c:pt idx="817">
                  <c:v>1479.8231989022611</c:v>
                </c:pt>
                <c:pt idx="818">
                  <c:v>1482.821018880667</c:v>
                </c:pt>
                <c:pt idx="819">
                  <c:v>1485.8101917780009</c:v>
                </c:pt>
                <c:pt idx="820">
                  <c:v>1488.7906896534926</c:v>
                </c:pt>
                <c:pt idx="821">
                  <c:v>1491.7624850278955</c:v>
                </c:pt>
                <c:pt idx="822">
                  <c:v>1494.7255508842563</c:v>
                </c:pt>
                <c:pt idx="823">
                  <c:v>1497.6798606686095</c:v>
                </c:pt>
                <c:pt idx="824">
                  <c:v>1500.6253882905987</c:v>
                </c:pt>
                <c:pt idx="825">
                  <c:v>1503.5621081240261</c:v>
                </c:pt>
                <c:pt idx="826">
                  <c:v>1506.4899950073286</c:v>
                </c:pt>
                <c:pt idx="827">
                  <c:v>1509.409024243985</c:v>
                </c:pt>
                <c:pt idx="828">
                  <c:v>1512.3191716028509</c:v>
                </c:pt>
                <c:pt idx="829">
                  <c:v>1515.2204133184266</c:v>
                </c:pt>
                <c:pt idx="830">
                  <c:v>1518.1127260910546</c:v>
                </c:pt>
                <c:pt idx="831">
                  <c:v>1520.9960870870505</c:v>
                </c:pt>
                <c:pt idx="832">
                  <c:v>1523.8704739387667</c:v>
                </c:pt>
                <c:pt idx="833">
                  <c:v>1526.7358647445901</c:v>
                </c:pt>
                <c:pt idx="834">
                  <c:v>1529.5922380688737</c:v>
                </c:pt>
                <c:pt idx="835">
                  <c:v>1532.439572941805</c:v>
                </c:pt>
                <c:pt idx="836">
                  <c:v>1535.2778488592087</c:v>
                </c:pt>
                <c:pt idx="837">
                  <c:v>1538.1070457822882</c:v>
                </c:pt>
                <c:pt idx="838">
                  <c:v>1540.9271441373037</c:v>
                </c:pt>
                <c:pt idx="839">
                  <c:v>1543.7381248151887</c:v>
                </c:pt>
                <c:pt idx="840">
                  <c:v>1546.5399691711059</c:v>
                </c:pt>
                <c:pt idx="841">
                  <c:v>1549.3326590239433</c:v>
                </c:pt>
                <c:pt idx="842">
                  <c:v>1552.1161766557495</c:v>
                </c:pt>
                <c:pt idx="843">
                  <c:v>1554.8905048111126</c:v>
                </c:pt>
                <c:pt idx="844">
                  <c:v>1557.655626696479</c:v>
                </c:pt>
                <c:pt idx="845">
                  <c:v>1560.4115259794162</c:v>
                </c:pt>
                <c:pt idx="846">
                  <c:v>1563.1581867878185</c:v>
                </c:pt>
                <c:pt idx="847">
                  <c:v>1565.8955937090579</c:v>
                </c:pt>
                <c:pt idx="848">
                  <c:v>1568.6237317890786</c:v>
                </c:pt>
                <c:pt idx="849">
                  <c:v>1571.3425865314377</c:v>
                </c:pt>
                <c:pt idx="850">
                  <c:v>1574.0521438962928</c:v>
                </c:pt>
                <c:pt idx="851">
                  <c:v>1576.7523902993357</c:v>
                </c:pt>
                <c:pt idx="852">
                  <c:v>1579.4433126106751</c:v>
                </c:pt>
                <c:pt idx="853">
                  <c:v>1582.1248981536662</c:v>
                </c:pt>
                <c:pt idx="854">
                  <c:v>1584.7971347036912</c:v>
                </c:pt>
                <c:pt idx="855">
                  <c:v>1587.4600104868885</c:v>
                </c:pt>
                <c:pt idx="856">
                  <c:v>1590.1135141788325</c:v>
                </c:pt>
                <c:pt idx="857">
                  <c:v>1592.7576349031663</c:v>
                </c:pt>
                <c:pt idx="858">
                  <c:v>1595.3923622301843</c:v>
                </c:pt>
                <c:pt idx="859">
                  <c:v>1598.0176861753685</c:v>
                </c:pt>
                <c:pt idx="860">
                  <c:v>1600.6335971978785</c:v>
                </c:pt>
                <c:pt idx="861">
                  <c:v>1603.2400861989959</c:v>
                </c:pt>
                <c:pt idx="862">
                  <c:v>1605.8371445205219</c:v>
                </c:pt>
                <c:pt idx="863">
                  <c:v>1608.4247639431321</c:v>
                </c:pt>
                <c:pt idx="864">
                  <c:v>1611.0029366846873</c:v>
                </c:pt>
                <c:pt idx="865">
                  <c:v>1613.5716553985001</c:v>
                </c:pt>
                <c:pt idx="866">
                  <c:v>1616.1309131715611</c:v>
                </c:pt>
                <c:pt idx="867">
                  <c:v>1618.6807035227216</c:v>
                </c:pt>
                <c:pt idx="868">
                  <c:v>1621.2210204008359</c:v>
                </c:pt>
                <c:pt idx="869">
                  <c:v>1623.7518581828642</c:v>
                </c:pt>
                <c:pt idx="870">
                  <c:v>1626.2732116719351</c:v>
                </c:pt>
                <c:pt idx="871">
                  <c:v>1628.7850760953688</c:v>
                </c:pt>
                <c:pt idx="872">
                  <c:v>1631.2874471026637</c:v>
                </c:pt>
                <c:pt idx="873">
                  <c:v>1633.7803207634438</c:v>
                </c:pt>
                <c:pt idx="874">
                  <c:v>1636.2636935653709</c:v>
                </c:pt>
                <c:pt idx="875">
                  <c:v>1638.7375624120193</c:v>
                </c:pt>
                <c:pt idx="876">
                  <c:v>1641.2019246207162</c:v>
                </c:pt>
                <c:pt idx="877">
                  <c:v>1643.6567779203472</c:v>
                </c:pt>
                <c:pt idx="878">
                  <c:v>1646.1021204491269</c:v>
                </c:pt>
                <c:pt idx="879">
                  <c:v>1648.537950752338</c:v>
                </c:pt>
                <c:pt idx="880">
                  <c:v>1650.9642677800359</c:v>
                </c:pt>
                <c:pt idx="881">
                  <c:v>1653.3810708847227</c:v>
                </c:pt>
                <c:pt idx="882">
                  <c:v>1655.7883598189892</c:v>
                </c:pt>
                <c:pt idx="883">
                  <c:v>1658.1861347331269</c:v>
                </c:pt>
                <c:pt idx="884">
                  <c:v>1660.5743961727096</c:v>
                </c:pt>
                <c:pt idx="885">
                  <c:v>1662.9531450761469</c:v>
                </c:pt>
                <c:pt idx="886">
                  <c:v>1665.3223827722077</c:v>
                </c:pt>
                <c:pt idx="887">
                  <c:v>1667.6821109775167</c:v>
                </c:pt>
                <c:pt idx="888">
                  <c:v>1670.0323317940242</c:v>
                </c:pt>
                <c:pt idx="889">
                  <c:v>1672.3730477064485</c:v>
                </c:pt>
                <c:pt idx="890">
                  <c:v>1674.7042615796934</c:v>
                </c:pt>
                <c:pt idx="891">
                  <c:v>1677.0259766562399</c:v>
                </c:pt>
                <c:pt idx="892">
                  <c:v>1679.3381965535139</c:v>
                </c:pt>
                <c:pt idx="893">
                  <c:v>1681.6409252612298</c:v>
                </c:pt>
                <c:pt idx="894">
                  <c:v>1683.9341671387112</c:v>
                </c:pt>
                <c:pt idx="895">
                  <c:v>1686.2179269121898</c:v>
                </c:pt>
                <c:pt idx="896">
                  <c:v>1688.4922096720804</c:v>
                </c:pt>
                <c:pt idx="897">
                  <c:v>1690.7570208702377</c:v>
                </c:pt>
                <c:pt idx="898">
                  <c:v>1693.0123663171905</c:v>
                </c:pt>
                <c:pt idx="899">
                  <c:v>1695.2582521793568</c:v>
                </c:pt>
                <c:pt idx="900">
                  <c:v>1697.4946849762396</c:v>
                </c:pt>
                <c:pt idx="901">
                  <c:v>1699.7216715776044</c:v>
                </c:pt>
                <c:pt idx="902">
                  <c:v>1701.9392192006389</c:v>
                </c:pt>
                <c:pt idx="903">
                  <c:v>1704.1473354070947</c:v>
                </c:pt>
                <c:pt idx="904">
                  <c:v>1706.3460281004129</c:v>
                </c:pt>
                <c:pt idx="905">
                  <c:v>1708.5353055228347</c:v>
                </c:pt>
                <c:pt idx="906">
                  <c:v>1710.7151762524945</c:v>
                </c:pt>
                <c:pt idx="907">
                  <c:v>1712.8856492005002</c:v>
                </c:pt>
                <c:pt idx="908">
                  <c:v>1715.0467336079982</c:v>
                </c:pt>
                <c:pt idx="909">
                  <c:v>1717.1984390432258</c:v>
                </c:pt>
                <c:pt idx="910">
                  <c:v>1719.34077539855</c:v>
                </c:pt>
                <c:pt idx="911">
                  <c:v>1721.4737528874946</c:v>
                </c:pt>
                <c:pt idx="912">
                  <c:v>1723.5973820417548</c:v>
                </c:pt>
                <c:pt idx="913">
                  <c:v>1725.7116737082022</c:v>
                </c:pt>
                <c:pt idx="914">
                  <c:v>1727.8166390458775</c:v>
                </c:pt>
                <c:pt idx="915">
                  <c:v>1729.9122895229748</c:v>
                </c:pt>
                <c:pt idx="916">
                  <c:v>1731.9986369138155</c:v>
                </c:pt>
                <c:pt idx="917">
                  <c:v>1734.075693295815</c:v>
                </c:pt>
                <c:pt idx="918">
                  <c:v>1736.1434710464391</c:v>
                </c:pt>
                <c:pt idx="919">
                  <c:v>1738.2019828401549</c:v>
                </c:pt>
                <c:pt idx="920">
                  <c:v>1740.2512416453735</c:v>
                </c:pt>
                <c:pt idx="921">
                  <c:v>1742.2912607213864</c:v>
                </c:pt>
                <c:pt idx="922">
                  <c:v>1744.3220536152967</c:v>
                </c:pt>
                <c:pt idx="923">
                  <c:v>1746.3436341589438</c:v>
                </c:pt>
                <c:pt idx="924">
                  <c:v>1748.3560164658245</c:v>
                </c:pt>
                <c:pt idx="925">
                  <c:v>1750.3592149280091</c:v>
                </c:pt>
                <c:pt idx="926">
                  <c:v>1752.353244213054</c:v>
                </c:pt>
                <c:pt idx="927">
                  <c:v>1754.3381192609113</c:v>
                </c:pt>
                <c:pt idx="928">
                  <c:v>1756.3138552808352</c:v>
                </c:pt>
                <c:pt idx="929">
                  <c:v>1758.2804677482873</c:v>
                </c:pt>
                <c:pt idx="930">
                  <c:v>1760.2379724018388</c:v>
                </c:pt>
                <c:pt idx="931">
                  <c:v>1762.1863852400729</c:v>
                </c:pt>
                <c:pt idx="932">
                  <c:v>1764.1257225184859</c:v>
                </c:pt>
                <c:pt idx="933">
                  <c:v>1766.0560007463882</c:v>
                </c:pt>
                <c:pt idx="934">
                  <c:v>1767.9772366838065</c:v>
                </c:pt>
                <c:pt idx="935">
                  <c:v>1769.889447338385</c:v>
                </c:pt>
                <c:pt idx="936">
                  <c:v>1771.7926499622899</c:v>
                </c:pt>
                <c:pt idx="937">
                  <c:v>1773.6868620491148</c:v>
                </c:pt>
                <c:pt idx="938">
                  <c:v>1775.572101330788</c:v>
                </c:pt>
                <c:pt idx="939">
                  <c:v>1777.4483857744835</c:v>
                </c:pt>
                <c:pt idx="940">
                  <c:v>1779.3157335795345</c:v>
                </c:pt>
                <c:pt idx="941">
                  <c:v>1781.17416317435</c:v>
                </c:pt>
                <c:pt idx="942">
                  <c:v>1783.0236932133373</c:v>
                </c:pt>
                <c:pt idx="943">
                  <c:v>1783.0236932133373</c:v>
                </c:pt>
                <c:pt idx="944">
                  <c:v>1783.0236932133373</c:v>
                </c:pt>
                <c:pt idx="945">
                  <c:v>1783.0236932133373</c:v>
                </c:pt>
                <c:pt idx="946">
                  <c:v>1783.0236932133373</c:v>
                </c:pt>
                <c:pt idx="947">
                  <c:v>1783.0236932133373</c:v>
                </c:pt>
                <c:pt idx="948">
                  <c:v>1783.0236932133373</c:v>
                </c:pt>
                <c:pt idx="949">
                  <c:v>1783.0236932133373</c:v>
                </c:pt>
                <c:pt idx="950">
                  <c:v>1783.0236932133373</c:v>
                </c:pt>
                <c:pt idx="951">
                  <c:v>1783.0236932133373</c:v>
                </c:pt>
                <c:pt idx="952">
                  <c:v>1783.0236932133373</c:v>
                </c:pt>
                <c:pt idx="953">
                  <c:v>1783.0236932133373</c:v>
                </c:pt>
                <c:pt idx="954">
                  <c:v>1783.0236932133373</c:v>
                </c:pt>
                <c:pt idx="955">
                  <c:v>1783.0236932133373</c:v>
                </c:pt>
                <c:pt idx="956">
                  <c:v>1783.0236932133373</c:v>
                </c:pt>
                <c:pt idx="957">
                  <c:v>1783.0236932133373</c:v>
                </c:pt>
                <c:pt idx="958">
                  <c:v>1783.0236932133373</c:v>
                </c:pt>
                <c:pt idx="959">
                  <c:v>1783.0236932133373</c:v>
                </c:pt>
                <c:pt idx="960">
                  <c:v>1783.0236932133373</c:v>
                </c:pt>
                <c:pt idx="961">
                  <c:v>1783.0236932133373</c:v>
                </c:pt>
                <c:pt idx="962">
                  <c:v>1783.0236932133373</c:v>
                </c:pt>
                <c:pt idx="963">
                  <c:v>1783.0236932133373</c:v>
                </c:pt>
                <c:pt idx="964">
                  <c:v>1783.0236932133373</c:v>
                </c:pt>
                <c:pt idx="965">
                  <c:v>1783.0236932133373</c:v>
                </c:pt>
                <c:pt idx="966">
                  <c:v>1783.0236932133373</c:v>
                </c:pt>
                <c:pt idx="967">
                  <c:v>1783.0236932133373</c:v>
                </c:pt>
                <c:pt idx="968">
                  <c:v>1783.0236932133373</c:v>
                </c:pt>
                <c:pt idx="969">
                  <c:v>1783.0236932133373</c:v>
                </c:pt>
                <c:pt idx="970">
                  <c:v>1783.0236932133373</c:v>
                </c:pt>
                <c:pt idx="971">
                  <c:v>1783.0236932133373</c:v>
                </c:pt>
                <c:pt idx="972">
                  <c:v>1783.0236932133373</c:v>
                </c:pt>
                <c:pt idx="973">
                  <c:v>1783.0236932133373</c:v>
                </c:pt>
                <c:pt idx="974">
                  <c:v>1783.0236932133373</c:v>
                </c:pt>
                <c:pt idx="975">
                  <c:v>1783.0236932133373</c:v>
                </c:pt>
                <c:pt idx="976">
                  <c:v>1783.0236932133373</c:v>
                </c:pt>
                <c:pt idx="977">
                  <c:v>1783.0236932133373</c:v>
                </c:pt>
                <c:pt idx="978">
                  <c:v>1783.0236932133373</c:v>
                </c:pt>
                <c:pt idx="979">
                  <c:v>1783.0236932133373</c:v>
                </c:pt>
                <c:pt idx="980">
                  <c:v>1783.0236932133373</c:v>
                </c:pt>
                <c:pt idx="981">
                  <c:v>1783.0236932133373</c:v>
                </c:pt>
                <c:pt idx="982">
                  <c:v>1783.0236932133373</c:v>
                </c:pt>
                <c:pt idx="983">
                  <c:v>1783.0236932133373</c:v>
                </c:pt>
                <c:pt idx="984">
                  <c:v>1783.0236932133373</c:v>
                </c:pt>
                <c:pt idx="985">
                  <c:v>1783.0236932133373</c:v>
                </c:pt>
                <c:pt idx="986">
                  <c:v>1783.0236932133373</c:v>
                </c:pt>
                <c:pt idx="987">
                  <c:v>1783.0236932133373</c:v>
                </c:pt>
                <c:pt idx="988">
                  <c:v>1783.0236932133373</c:v>
                </c:pt>
                <c:pt idx="989">
                  <c:v>1783.0236932133373</c:v>
                </c:pt>
                <c:pt idx="990">
                  <c:v>1783.0236932133373</c:v>
                </c:pt>
                <c:pt idx="991">
                  <c:v>1783.0236932133373</c:v>
                </c:pt>
                <c:pt idx="992">
                  <c:v>1783.0236932133373</c:v>
                </c:pt>
                <c:pt idx="993">
                  <c:v>1783.0236932133373</c:v>
                </c:pt>
                <c:pt idx="994">
                  <c:v>1783.0236932133373</c:v>
                </c:pt>
                <c:pt idx="995">
                  <c:v>1783.0236932133373</c:v>
                </c:pt>
                <c:pt idx="996">
                  <c:v>1783.0236932133373</c:v>
                </c:pt>
                <c:pt idx="997">
                  <c:v>1783.0236932133373</c:v>
                </c:pt>
                <c:pt idx="998">
                  <c:v>1783.0236932133373</c:v>
                </c:pt>
                <c:pt idx="999">
                  <c:v>1783.0236932133373</c:v>
                </c:pt>
                <c:pt idx="1000">
                  <c:v>1783.0236932133373</c:v>
                </c:pt>
              </c:numCache>
            </c:numRef>
          </c:xVal>
          <c:yVal>
            <c:numRef>
              <c:f>Calculs!$K$4:$K$1004</c:f>
              <c:numCache>
                <c:formatCode>0.00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2647.5377654318622</c:v>
                </c:pt>
                <c:pt idx="651">
                  <c:v>2650.4158653779969</c:v>
                </c:pt>
                <c:pt idx="652">
                  <c:v>2653.1928284295295</c:v>
                </c:pt>
                <c:pt idx="653">
                  <c:v>2655.8688001867931</c:v>
                </c:pt>
                <c:pt idx="654">
                  <c:v>2658.4439223623162</c:v>
                </c:pt>
                <c:pt idx="655">
                  <c:v>2660.9183328698477</c:v>
                </c:pt>
                <c:pt idx="656">
                  <c:v>2663.2921659157519</c:v>
                </c:pt>
                <c:pt idx="657">
                  <c:v>2665.565552092969</c:v>
                </c:pt>
                <c:pt idx="658">
                  <c:v>2667.7386184777233</c:v>
                </c:pt>
                <c:pt idx="659">
                  <c:v>2669.811488729169</c:v>
                </c:pt>
                <c:pt idx="660">
                  <c:v>2671.784283192148</c:v>
                </c:pt>
                <c:pt idx="661">
                  <c:v>2673.6571190032278</c:v>
                </c:pt>
                <c:pt idx="662">
                  <c:v>2675.4301102001778</c:v>
                </c:pt>
                <c:pt idx="663">
                  <c:v>2677.1033678350223</c:v>
                </c:pt>
                <c:pt idx="664">
                  <c:v>2678.6770000907954</c:v>
                </c:pt>
                <c:pt idx="665">
                  <c:v>2680.1511124020954</c:v>
                </c:pt>
                <c:pt idx="666">
                  <c:v>2681.5258075795164</c:v>
                </c:pt>
                <c:pt idx="667">
                  <c:v>2682.8011859380031</c:v>
                </c:pt>
                <c:pt idx="668">
                  <c:v>2683.9773454291426</c:v>
                </c:pt>
                <c:pt idx="669">
                  <c:v>2685.0543817773705</c:v>
                </c:pt>
                <c:pt idx="670">
                  <c:v>2686.0323886200317</c:v>
                </c:pt>
                <c:pt idx="671">
                  <c:v>2686.9114576511947</c:v>
                </c:pt>
                <c:pt idx="672">
                  <c:v>2687.6916787690698</c:v>
                </c:pt>
                <c:pt idx="673">
                  <c:v>2688.3731402268463</c:v>
                </c:pt>
                <c:pt idx="674">
                  <c:v>2688.9559287867069</c:v>
                </c:pt>
                <c:pt idx="675">
                  <c:v>2689.4401298767407</c:v>
                </c:pt>
                <c:pt idx="676">
                  <c:v>2689.8258277504278</c:v>
                </c:pt>
                <c:pt idx="677">
                  <c:v>2690.1131056483273</c:v>
                </c:pt>
                <c:pt idx="678">
                  <c:v>2690.30204596156</c:v>
                </c:pt>
                <c:pt idx="679">
                  <c:v>2690.3927303966475</c:v>
                </c:pt>
                <c:pt idx="680">
                  <c:v>2690.3852401412328</c:v>
                </c:pt>
                <c:pt idx="681">
                  <c:v>2690.2796560301908</c:v>
                </c:pt>
                <c:pt idx="682">
                  <c:v>2690.0760587116147</c:v>
                </c:pt>
                <c:pt idx="683">
                  <c:v>2689.7745288121573</c:v>
                </c:pt>
                <c:pt idx="684">
                  <c:v>2689.3751471012065</c:v>
                </c:pt>
                <c:pt idx="685">
                  <c:v>2688.8779946533723</c:v>
                </c:pt>
                <c:pt idx="686">
                  <c:v>2688.2831530087851</c:v>
                </c:pt>
                <c:pt idx="687">
                  <c:v>2687.5907043307138</c:v>
                </c:pt>
                <c:pt idx="688">
                  <c:v>2686.8007315600489</c:v>
                </c:pt>
                <c:pt idx="689">
                  <c:v>2685.9133185662195</c:v>
                </c:pt>
                <c:pt idx="690">
                  <c:v>2684.9285502941534</c:v>
                </c:pt>
                <c:pt idx="691">
                  <c:v>2683.8465129069314</c:v>
                </c:pt>
                <c:pt idx="692">
                  <c:v>2682.6672939238238</c:v>
                </c:pt>
                <c:pt idx="693">
                  <c:v>2681.3909823534509</c:v>
                </c:pt>
                <c:pt idx="694">
                  <c:v>2680.0176688218467</c:v>
                </c:pt>
                <c:pt idx="695">
                  <c:v>2678.5474456952556</c:v>
                </c:pt>
                <c:pt idx="696">
                  <c:v>2676.9804071975368</c:v>
                </c:pt>
                <c:pt idx="697">
                  <c:v>2675.3166495220885</c:v>
                </c:pt>
                <c:pt idx="698">
                  <c:v>2673.5562709382489</c:v>
                </c:pt>
                <c:pt idx="699">
                  <c:v>2671.6993718921703</c:v>
                </c:pt>
                <c:pt idx="700">
                  <c:v>2669.7460551021886</c:v>
                </c:pt>
                <c:pt idx="701">
                  <c:v>2667.6964256487495</c:v>
                </c:pt>
                <c:pt idx="702">
                  <c:v>2665.5505910589764</c:v>
                </c:pt>
                <c:pt idx="703">
                  <c:v>2663.3086613859846</c:v>
                </c:pt>
                <c:pt idx="704">
                  <c:v>2660.9707492830739</c:v>
                </c:pt>
                <c:pt idx="705">
                  <c:v>2658.5369700729425</c:v>
                </c:pt>
                <c:pt idx="706">
                  <c:v>2656.0074418120753</c:v>
                </c:pt>
                <c:pt idx="707">
                  <c:v>2653.3822853504817</c:v>
                </c:pt>
                <c:pt idx="708">
                  <c:v>2650.6616243869494</c:v>
                </c:pt>
                <c:pt idx="709">
                  <c:v>2647.8455855199968</c:v>
                </c:pt>
                <c:pt idx="710">
                  <c:v>2644.9342982947069</c:v>
                </c:pt>
                <c:pt idx="711">
                  <c:v>2641.9278952456211</c:v>
                </c:pt>
                <c:pt idx="712">
                  <c:v>2638.8265119358775</c:v>
                </c:pt>
                <c:pt idx="713">
                  <c:v>2635.6302869927699</c:v>
                </c:pt>
                <c:pt idx="714">
                  <c:v>2632.339362139905</c:v>
                </c:pt>
                <c:pt idx="715">
                  <c:v>2628.9538822261261</c:v>
                </c:pt>
                <c:pt idx="716">
                  <c:v>2625.4739952513696</c:v>
                </c:pt>
                <c:pt idx="717">
                  <c:v>2621.8998523896139</c:v>
                </c:pt>
                <c:pt idx="718">
                  <c:v>2618.2316080090727</c:v>
                </c:pt>
                <c:pt idx="719">
                  <c:v>2614.4694196897822</c:v>
                </c:pt>
                <c:pt idx="720">
                  <c:v>2610.6134482387179</c:v>
                </c:pt>
                <c:pt idx="721">
                  <c:v>2606.6638577025778</c:v>
                </c:pt>
                <c:pt idx="722">
                  <c:v>2602.6208153783573</c:v>
                </c:pt>
                <c:pt idx="723">
                  <c:v>2598.4844918218328</c:v>
                </c:pt>
                <c:pt idx="724">
                  <c:v>2594.2550608540732</c:v>
                </c:pt>
                <c:pt idx="725">
                  <c:v>2589.9326995660804</c:v>
                </c:pt>
                <c:pt idx="726">
                  <c:v>2585.5175883216621</c:v>
                </c:pt>
                <c:pt idx="727">
                  <c:v>2581.0099107586307</c:v>
                </c:pt>
                <c:pt idx="728">
                  <c:v>2576.4098537884197</c:v>
                </c:pt>
                <c:pt idx="729">
                  <c:v>2571.7176075941989</c:v>
                </c:pt>
                <c:pt idx="730">
                  <c:v>2566.9333656275662</c:v>
                </c:pt>
                <c:pt idx="731">
                  <c:v>2562.0573246038944</c:v>
                </c:pt>
                <c:pt idx="732">
                  <c:v>2557.0896844963959</c:v>
                </c:pt>
                <c:pt idx="733">
                  <c:v>2552.0306485289752</c:v>
                </c:pt>
                <c:pt idx="734">
                  <c:v>2546.8804231679283</c:v>
                </c:pt>
                <c:pt idx="735">
                  <c:v>2541.6392181125434</c:v>
                </c:pt>
                <c:pt idx="736">
                  <c:v>2536.3072462846617</c:v>
                </c:pt>
                <c:pt idx="737">
                  <c:v>2530.884723817243</c:v>
                </c:pt>
                <c:pt idx="738">
                  <c:v>2525.3718700419854</c:v>
                </c:pt>
                <c:pt idx="739">
                  <c:v>2519.7689074760433</c:v>
                </c:pt>
                <c:pt idx="740">
                  <c:v>2514.0760618078839</c:v>
                </c:pt>
                <c:pt idx="741">
                  <c:v>2508.2935618823226</c:v>
                </c:pt>
                <c:pt idx="742">
                  <c:v>2502.4216396847705</c:v>
                </c:pt>
                <c:pt idx="743">
                  <c:v>2496.4605303247322</c:v>
                </c:pt>
                <c:pt idx="744">
                  <c:v>2490.4104720185824</c:v>
                </c:pt>
                <c:pt idx="745">
                  <c:v>2484.2717060716536</c:v>
                </c:pt>
                <c:pt idx="746">
                  <c:v>2478.0444768596626</c:v>
                </c:pt>
                <c:pt idx="747">
                  <c:v>2471.7290318095033</c:v>
                </c:pt>
                <c:pt idx="748">
                  <c:v>2465.3256213794302</c:v>
                </c:pt>
                <c:pt idx="749">
                  <c:v>2458.8344990386568</c:v>
                </c:pt>
                <c:pt idx="750">
                  <c:v>2452.2559212463916</c:v>
                </c:pt>
                <c:pt idx="751">
                  <c:v>2445.5901474303341</c:v>
                </c:pt>
                <c:pt idx="752">
                  <c:v>2438.8374399646473</c:v>
                </c:pt>
                <c:pt idx="753">
                  <c:v>2431.9980641474326</c:v>
                </c:pt>
                <c:pt idx="754">
                  <c:v>2425.0722881777183</c:v>
                </c:pt>
                <c:pt idx="755">
                  <c:v>2418.0603831319831</c:v>
                </c:pt>
                <c:pt idx="756">
                  <c:v>2410.9626229402315</c:v>
                </c:pt>
                <c:pt idx="757">
                  <c:v>2403.779284361633</c:v>
                </c:pt>
                <c:pt idx="758">
                  <c:v>2396.5106469597467</c:v>
                </c:pt>
                <c:pt idx="759">
                  <c:v>2389.1569930773376</c:v>
                </c:pt>
                <c:pt idx="760">
                  <c:v>2381.7186078108061</c:v>
                </c:pt>
                <c:pt idx="761">
                  <c:v>2374.1957789842386</c:v>
                </c:pt>
                <c:pt idx="762">
                  <c:v>2366.5887971230945</c:v>
                </c:pt>
                <c:pt idx="763">
                  <c:v>2358.8979554275415</c:v>
                </c:pt>
                <c:pt idx="764">
                  <c:v>2351.1235497454504</c:v>
                </c:pt>
                <c:pt idx="765">
                  <c:v>2343.2658785450603</c:v>
                </c:pt>
                <c:pt idx="766">
                  <c:v>2335.3252428873279</c:v>
                </c:pt>
                <c:pt idx="767">
                  <c:v>2327.3019463979676</c:v>
                </c:pt>
                <c:pt idx="768">
                  <c:v>2319.1962952391964</c:v>
                </c:pt>
                <c:pt idx="769">
                  <c:v>2311.0085980811905</c:v>
                </c:pt>
                <c:pt idx="770">
                  <c:v>2302.7391660732656</c:v>
                </c:pt>
                <c:pt idx="771">
                  <c:v>2294.38831281479</c:v>
                </c:pt>
                <c:pt idx="772">
                  <c:v>2285.9563543258369</c:v>
                </c:pt>
                <c:pt idx="773">
                  <c:v>2277.44360901759</c:v>
                </c:pt>
                <c:pt idx="774">
                  <c:v>2268.8503976625066</c:v>
                </c:pt>
                <c:pt idx="775">
                  <c:v>2260.1770433642478</c:v>
                </c:pt>
                <c:pt idx="776">
                  <c:v>2251.4238715273882</c:v>
                </c:pt>
                <c:pt idx="777">
                  <c:v>2242.5912098269046</c:v>
                </c:pt>
                <c:pt idx="778">
                  <c:v>2233.679388177462</c:v>
                </c:pt>
                <c:pt idx="779">
                  <c:v>2224.6887387024972</c:v>
                </c:pt>
                <c:pt idx="780">
                  <c:v>2215.6195957031105</c:v>
                </c:pt>
                <c:pt idx="781">
                  <c:v>2206.4722956267738</c:v>
                </c:pt>
                <c:pt idx="782">
                  <c:v>2197.2471770358616</c:v>
                </c:pt>
                <c:pt idx="783">
                  <c:v>2187.9445805760115</c:v>
                </c:pt>
                <c:pt idx="784">
                  <c:v>2178.5648489443238</c:v>
                </c:pt>
                <c:pt idx="785">
                  <c:v>2169.1083268574052</c:v>
                </c:pt>
                <c:pt idx="786">
                  <c:v>2159.5753610192642</c:v>
                </c:pt>
                <c:pt idx="787">
                  <c:v>2149.9663000890655</c:v>
                </c:pt>
                <c:pt idx="788">
                  <c:v>2140.2814946487515</c:v>
                </c:pt>
                <c:pt idx="789">
                  <c:v>2130.5212971705346</c:v>
                </c:pt>
                <c:pt idx="790">
                  <c:v>2120.6860619842696</c:v>
                </c:pt>
                <c:pt idx="791">
                  <c:v>2110.776145244713</c:v>
                </c:pt>
                <c:pt idx="792">
                  <c:v>2100.7919048986732</c:v>
                </c:pt>
                <c:pt idx="793">
                  <c:v>2090.7337006520615</c:v>
                </c:pt>
                <c:pt idx="794">
                  <c:v>2080.6018939368482</c:v>
                </c:pt>
                <c:pt idx="795">
                  <c:v>2070.3968478779293</c:v>
                </c:pt>
                <c:pt idx="796">
                  <c:v>2060.1189272599145</c:v>
                </c:pt>
                <c:pt idx="797">
                  <c:v>2049.7684984938373</c:v>
                </c:pt>
                <c:pt idx="798">
                  <c:v>2039.3459295837981</c:v>
                </c:pt>
                <c:pt idx="799">
                  <c:v>2028.851590093542</c:v>
                </c:pt>
                <c:pt idx="800">
                  <c:v>2018.2858511129821</c:v>
                </c:pt>
                <c:pt idx="801">
                  <c:v>2007.6490852246714</c:v>
                </c:pt>
                <c:pt idx="802">
                  <c:v>1996.9416664702296</c:v>
                </c:pt>
                <c:pt idx="803">
                  <c:v>1986.163970316732</c:v>
                </c:pt>
                <c:pt idx="804">
                  <c:v>1975.3163736230658</c:v>
                </c:pt>
                <c:pt idx="805">
                  <c:v>1964.3992546062589</c:v>
                </c:pt>
                <c:pt idx="806">
                  <c:v>1953.4129928077882</c:v>
                </c:pt>
                <c:pt idx="807">
                  <c:v>1942.3579690598738</c:v>
                </c:pt>
                <c:pt idx="808">
                  <c:v>1931.2345654517619</c:v>
                </c:pt>
                <c:pt idx="809">
                  <c:v>1920.0431652960065</c:v>
                </c:pt>
                <c:pt idx="810">
                  <c:v>1908.784153094751</c:v>
                </c:pt>
                <c:pt idx="811">
                  <c:v>1897.4579145060197</c:v>
                </c:pt>
                <c:pt idx="812">
                  <c:v>1886.0648363100206</c:v>
                </c:pt>
                <c:pt idx="813">
                  <c:v>1874.6053063754687</c:v>
                </c:pt>
                <c:pt idx="814">
                  <c:v>1863.0797136259332</c:v>
                </c:pt>
                <c:pt idx="815">
                  <c:v>1851.4884480062142</c:v>
                </c:pt>
                <c:pt idx="816">
                  <c:v>1839.8319004487557</c:v>
                </c:pt>
                <c:pt idx="817">
                  <c:v>1828.1104628400985</c:v>
                </c:pt>
                <c:pt idx="818">
                  <c:v>1816.3245279873793</c:v>
                </c:pt>
                <c:pt idx="819">
                  <c:v>1804.4744895848814</c:v>
                </c:pt>
                <c:pt idx="820">
                  <c:v>1792.5607421806421</c:v>
                </c:pt>
                <c:pt idx="821">
                  <c:v>1780.5836811431216</c:v>
                </c:pt>
                <c:pt idx="822">
                  <c:v>1768.5437026279385</c:v>
                </c:pt>
                <c:pt idx="823">
                  <c:v>1756.4412035446785</c:v>
                </c:pt>
                <c:pt idx="824">
                  <c:v>1744.2765815237792</c:v>
                </c:pt>
                <c:pt idx="825">
                  <c:v>1732.0502348834975</c:v>
                </c:pt>
                <c:pt idx="826">
                  <c:v>1719.7625625969638</c:v>
                </c:pt>
                <c:pt idx="827">
                  <c:v>1707.4139642593286</c:v>
                </c:pt>
                <c:pt idx="828">
                  <c:v>1695.0048400550061</c:v>
                </c:pt>
                <c:pt idx="829">
                  <c:v>1682.5355907250184</c:v>
                </c:pt>
                <c:pt idx="830">
                  <c:v>1670.0066175344484</c:v>
                </c:pt>
                <c:pt idx="831">
                  <c:v>1657.4183222400011</c:v>
                </c:pt>
                <c:pt idx="832">
                  <c:v>1644.7711070576829</c:v>
                </c:pt>
                <c:pt idx="833">
                  <c:v>1632.0653746306009</c:v>
                </c:pt>
                <c:pt idx="834">
                  <c:v>1619.3015279968865</c:v>
                </c:pt>
                <c:pt idx="835">
                  <c:v>1606.4799705577491</c:v>
                </c:pt>
                <c:pt idx="836">
                  <c:v>1593.6011060456638</c:v>
                </c:pt>
                <c:pt idx="837">
                  <c:v>1580.6653384926974</c:v>
                </c:pt>
                <c:pt idx="838">
                  <c:v>1567.6730721989773</c:v>
                </c:pt>
                <c:pt idx="839">
                  <c:v>1554.6247117013068</c:v>
                </c:pt>
                <c:pt idx="840">
                  <c:v>1541.5206617419321</c:v>
                </c:pt>
                <c:pt idx="841">
                  <c:v>1528.361327237465</c:v>
                </c:pt>
                <c:pt idx="842">
                  <c:v>1515.1471132479644</c:v>
                </c:pt>
                <c:pt idx="843">
                  <c:v>1501.8784249461814</c:v>
                </c:pt>
                <c:pt idx="844">
                  <c:v>1488.5556675869725</c:v>
                </c:pt>
                <c:pt idx="845">
                  <c:v>1475.1792464768841</c:v>
                </c:pt>
                <c:pt idx="846">
                  <c:v>1461.7495669439122</c:v>
                </c:pt>
                <c:pt idx="847">
                  <c:v>1448.2670343074403</c:v>
                </c:pt>
                <c:pt idx="848">
                  <c:v>1434.7320538483625</c:v>
                </c:pt>
                <c:pt idx="849">
                  <c:v>1421.1450307793905</c:v>
                </c:pt>
                <c:pt idx="850">
                  <c:v>1407.506370215553</c:v>
                </c:pt>
                <c:pt idx="851">
                  <c:v>1393.8164771448874</c:v>
                </c:pt>
                <c:pt idx="852">
                  <c:v>1380.0757563993288</c:v>
                </c:pt>
                <c:pt idx="853">
                  <c:v>1366.2846126258014</c:v>
                </c:pt>
                <c:pt idx="854">
                  <c:v>1352.4434502575109</c:v>
                </c:pt>
                <c:pt idx="855">
                  <c:v>1338.552673485447</c:v>
                </c:pt>
                <c:pt idx="856">
                  <c:v>1324.6126862300951</c:v>
                </c:pt>
                <c:pt idx="857">
                  <c:v>1310.6238921133615</c:v>
                </c:pt>
                <c:pt idx="858">
                  <c:v>1296.5866944307165</c:v>
                </c:pt>
                <c:pt idx="859">
                  <c:v>1282.5014961235559</c:v>
                </c:pt>
                <c:pt idx="860">
                  <c:v>1268.3686997517864</c:v>
                </c:pt>
                <c:pt idx="861">
                  <c:v>1254.1887074666365</c:v>
                </c:pt>
                <c:pt idx="862">
                  <c:v>1239.9619209836953</c:v>
                </c:pt>
                <c:pt idx="863">
                  <c:v>1225.6887415561832</c:v>
                </c:pt>
                <c:pt idx="864">
                  <c:v>1211.369569948456</c:v>
                </c:pt>
                <c:pt idx="865">
                  <c:v>1197.0048064097464</c:v>
                </c:pt>
                <c:pt idx="866">
                  <c:v>1182.5948506481438</c:v>
                </c:pt>
                <c:pt idx="867">
                  <c:v>1168.1401018048159</c:v>
                </c:pt>
                <c:pt idx="868">
                  <c:v>1153.6409584284747</c:v>
                </c:pt>
                <c:pt idx="869">
                  <c:v>1139.0978184500882</c:v>
                </c:pt>
                <c:pt idx="870">
                  <c:v>1124.5110791578413</c:v>
                </c:pt>
                <c:pt idx="871">
                  <c:v>1109.8811371723473</c:v>
                </c:pt>
                <c:pt idx="872">
                  <c:v>1095.208388422112</c:v>
                </c:pt>
                <c:pt idx="873">
                  <c:v>1080.4932281192537</c:v>
                </c:pt>
                <c:pt idx="874">
                  <c:v>1065.7360507354792</c:v>
                </c:pt>
                <c:pt idx="875">
                  <c:v>1050.9372499783196</c:v>
                </c:pt>
                <c:pt idx="876">
                  <c:v>1036.0972187676261</c:v>
                </c:pt>
                <c:pt idx="877">
                  <c:v>1021.2163492123287</c:v>
                </c:pt>
                <c:pt idx="878">
                  <c:v>1006.2950325874593</c:v>
                </c:pt>
                <c:pt idx="879">
                  <c:v>991.33365931144056</c:v>
                </c:pt>
                <c:pt idx="880">
                  <c:v>976.33261892364226</c:v>
                </c:pt>
                <c:pt idx="881">
                  <c:v>961.29230006220655</c:v>
                </c:pt>
                <c:pt idx="882">
                  <c:v>946.21309044214365</c:v>
                </c:pt>
                <c:pt idx="883">
                  <c:v>931.09537683369945</c:v>
                </c:pt>
                <c:pt idx="884">
                  <c:v>915.93954504099577</c:v>
                </c:pt>
                <c:pt idx="885">
                  <c:v>900.74597988094547</c:v>
                </c:pt>
                <c:pt idx="886">
                  <c:v>885.51506516244262</c:v>
                </c:pt>
                <c:pt idx="887">
                  <c:v>870.2471836658292</c:v>
                </c:pt>
                <c:pt idx="888">
                  <c:v>854.94271712263912</c:v>
                </c:pt>
                <c:pt idx="889">
                  <c:v>839.6020461956216</c:v>
                </c:pt>
                <c:pt idx="890">
                  <c:v>824.22555045904267</c:v>
                </c:pt>
                <c:pt idx="891">
                  <c:v>808.81360837926786</c:v>
                </c:pt>
                <c:pt idx="892">
                  <c:v>793.36659729562541</c:v>
                </c:pt>
                <c:pt idx="893">
                  <c:v>777.8848934015507</c:v>
                </c:pt>
                <c:pt idx="894">
                  <c:v>762.36887172601371</c:v>
                </c:pt>
                <c:pt idx="895">
                  <c:v>746.81890611522874</c:v>
                </c:pt>
                <c:pt idx="896">
                  <c:v>731.23536921464722</c:v>
                </c:pt>
                <c:pt idx="897">
                  <c:v>715.61863245123448</c:v>
                </c:pt>
                <c:pt idx="898">
                  <c:v>699.96906601603064</c:v>
                </c:pt>
                <c:pt idx="899">
                  <c:v>684.28703884699542</c:v>
                </c:pt>
                <c:pt idx="900">
                  <c:v>668.57291861213776</c:v>
                </c:pt>
                <c:pt idx="901">
                  <c:v>652.82707169292996</c:v>
                </c:pt>
                <c:pt idx="902">
                  <c:v>637.0498631680066</c:v>
                </c:pt>
                <c:pt idx="903">
                  <c:v>621.24165679714861</c:v>
                </c:pt>
                <c:pt idx="904">
                  <c:v>605.40281500555182</c:v>
                </c:pt>
                <c:pt idx="905">
                  <c:v>589.53369886837993</c:v>
                </c:pt>
                <c:pt idx="906">
                  <c:v>573.63466809560305</c:v>
                </c:pt>
                <c:pt idx="907">
                  <c:v>557.70608101711946</c:v>
                </c:pt>
                <c:pt idx="908">
                  <c:v>541.74829456816224</c:v>
                </c:pt>
                <c:pt idx="909">
                  <c:v>525.76166427498947</c:v>
                </c:pt>
                <c:pt idx="910">
                  <c:v>509.74654424085759</c:v>
                </c:pt>
                <c:pt idx="911">
                  <c:v>493.70328713227815</c:v>
                </c:pt>
                <c:pt idx="912">
                  <c:v>477.63224416555676</c:v>
                </c:pt>
                <c:pt idx="913">
                  <c:v>461.53376509361408</c:v>
                </c:pt>
                <c:pt idx="914">
                  <c:v>445.4081981930882</c:v>
                </c:pt>
                <c:pt idx="915">
                  <c:v>429.25589025171746</c:v>
                </c:pt>
                <c:pt idx="916">
                  <c:v>413.07718655600354</c:v>
                </c:pt>
                <c:pt idx="917">
                  <c:v>396.87243087915357</c:v>
                </c:pt>
                <c:pt idx="918">
                  <c:v>380.64196546930066</c:v>
                </c:pt>
                <c:pt idx="919">
                  <c:v>364.38613103800208</c:v>
                </c:pt>
                <c:pt idx="920">
                  <c:v>348.10526674901399</c:v>
                </c:pt>
                <c:pt idx="921">
                  <c:v>331.79971020734172</c:v>
                </c:pt>
                <c:pt idx="922">
                  <c:v>315.46979744856486</c:v>
                </c:pt>
                <c:pt idx="923">
                  <c:v>299.115862928436</c:v>
                </c:pt>
                <c:pt idx="924">
                  <c:v>282.73823951275159</c:v>
                </c:pt>
                <c:pt idx="925">
                  <c:v>266.33725846749462</c:v>
                </c:pt>
                <c:pt idx="926">
                  <c:v>249.91324944924708</c:v>
                </c:pt>
                <c:pt idx="927">
                  <c:v>233.46654049587147</c:v>
                </c:pt>
                <c:pt idx="928">
                  <c:v>216.99745801745991</c:v>
                </c:pt>
                <c:pt idx="929">
                  <c:v>200.50632678754948</c:v>
                </c:pt>
                <c:pt idx="930">
                  <c:v>183.99346993460256</c:v>
                </c:pt>
                <c:pt idx="931">
                  <c:v>167.45920893375052</c:v>
                </c:pt>
                <c:pt idx="932">
                  <c:v>150.90386359879969</c:v>
                </c:pt>
                <c:pt idx="933">
                  <c:v>134.32775207449771</c:v>
                </c:pt>
                <c:pt idx="934">
                  <c:v>117.73119082905899</c:v>
                </c:pt>
                <c:pt idx="935">
                  <c:v>101.11449464694763</c:v>
                </c:pt>
                <c:pt idx="936">
                  <c:v>84.477976621916227</c:v>
                </c:pt>
                <c:pt idx="937">
                  <c:v>67.82194815029888</c:v>
                </c:pt>
                <c:pt idx="938">
                  <c:v>51.146718924556794</c:v>
                </c:pt>
                <c:pt idx="939">
                  <c:v>34.452596927074723</c:v>
                </c:pt>
                <c:pt idx="940">
                  <c:v>17.739888424206502</c:v>
                </c:pt>
                <c:pt idx="941">
                  <c:v>1.0088979605679498</c:v>
                </c:pt>
                <c:pt idx="942">
                  <c:v>-15.740071646424692</c:v>
                </c:pt>
                <c:pt idx="943">
                  <c:v>-15.756829538879217</c:v>
                </c:pt>
                <c:pt idx="944">
                  <c:v>-15.773587448861541</c:v>
                </c:pt>
                <c:pt idx="945">
                  <c:v>-15.790345376371368</c:v>
                </c:pt>
                <c:pt idx="946">
                  <c:v>-15.8071033214084</c:v>
                </c:pt>
                <c:pt idx="947">
                  <c:v>-15.82386128397234</c:v>
                </c:pt>
                <c:pt idx="948">
                  <c:v>-15.840619264062887</c:v>
                </c:pt>
                <c:pt idx="949">
                  <c:v>-15.857377261679746</c:v>
                </c:pt>
                <c:pt idx="950">
                  <c:v>-15.874135276822619</c:v>
                </c:pt>
                <c:pt idx="951">
                  <c:v>-15.890893309491206</c:v>
                </c:pt>
                <c:pt idx="952">
                  <c:v>-15.907651359685211</c:v>
                </c:pt>
                <c:pt idx="953">
                  <c:v>-15.924409427404335</c:v>
                </c:pt>
                <c:pt idx="954">
                  <c:v>-15.941167512648281</c:v>
                </c:pt>
                <c:pt idx="955">
                  <c:v>-15.95792561541675</c:v>
                </c:pt>
                <c:pt idx="956">
                  <c:v>-15.974683735709444</c:v>
                </c:pt>
                <c:pt idx="957">
                  <c:v>-15.991441873526067</c:v>
                </c:pt>
                <c:pt idx="958">
                  <c:v>-16.00820002886632</c:v>
                </c:pt>
                <c:pt idx="959">
                  <c:v>-16.024958201729905</c:v>
                </c:pt>
                <c:pt idx="960">
                  <c:v>-16.041716392116523</c:v>
                </c:pt>
                <c:pt idx="961">
                  <c:v>-16.058474600025878</c:v>
                </c:pt>
                <c:pt idx="962">
                  <c:v>-16.075232825457672</c:v>
                </c:pt>
                <c:pt idx="963">
                  <c:v>-16.091991068411605</c:v>
                </c:pt>
                <c:pt idx="964">
                  <c:v>-16.108749328887381</c:v>
                </c:pt>
                <c:pt idx="965">
                  <c:v>-16.125507606884703</c:v>
                </c:pt>
                <c:pt idx="966">
                  <c:v>-16.14226590240327</c:v>
                </c:pt>
                <c:pt idx="967">
                  <c:v>-16.159024215442788</c:v>
                </c:pt>
                <c:pt idx="968">
                  <c:v>-16.175782546002957</c:v>
                </c:pt>
                <c:pt idx="969">
                  <c:v>-16.192540894083479</c:v>
                </c:pt>
                <c:pt idx="970">
                  <c:v>-16.209299259684055</c:v>
                </c:pt>
                <c:pt idx="971">
                  <c:v>-16.226057642804388</c:v>
                </c:pt>
                <c:pt idx="972">
                  <c:v>-16.242816043444183</c:v>
                </c:pt>
                <c:pt idx="973">
                  <c:v>-16.259574461603137</c:v>
                </c:pt>
                <c:pt idx="974">
                  <c:v>-16.276332897280955</c:v>
                </c:pt>
                <c:pt idx="975">
                  <c:v>-16.29309135047734</c:v>
                </c:pt>
                <c:pt idx="976">
                  <c:v>-16.309849821191992</c:v>
                </c:pt>
                <c:pt idx="977">
                  <c:v>-16.326608309424614</c:v>
                </c:pt>
                <c:pt idx="978">
                  <c:v>-16.34336681517491</c:v>
                </c:pt>
                <c:pt idx="979">
                  <c:v>-16.360125338442579</c:v>
                </c:pt>
                <c:pt idx="980">
                  <c:v>-16.376883879227325</c:v>
                </c:pt>
                <c:pt idx="981">
                  <c:v>-16.39364243752885</c:v>
                </c:pt>
                <c:pt idx="982">
                  <c:v>-16.410401013346856</c:v>
                </c:pt>
                <c:pt idx="983">
                  <c:v>-16.427159606681045</c:v>
                </c:pt>
                <c:pt idx="984">
                  <c:v>-16.443918217531117</c:v>
                </c:pt>
                <c:pt idx="985">
                  <c:v>-16.460676845896778</c:v>
                </c:pt>
                <c:pt idx="986">
                  <c:v>-16.477435491777726</c:v>
                </c:pt>
                <c:pt idx="987">
                  <c:v>-16.494194155173666</c:v>
                </c:pt>
                <c:pt idx="988">
                  <c:v>-16.5109528360843</c:v>
                </c:pt>
                <c:pt idx="989">
                  <c:v>-16.527711534509333</c:v>
                </c:pt>
                <c:pt idx="990">
                  <c:v>-16.544470250448462</c:v>
                </c:pt>
                <c:pt idx="991">
                  <c:v>-16.56122898390139</c:v>
                </c:pt>
                <c:pt idx="992">
                  <c:v>-16.577987734867822</c:v>
                </c:pt>
                <c:pt idx="993">
                  <c:v>-16.594746503347459</c:v>
                </c:pt>
                <c:pt idx="994">
                  <c:v>-16.611505289340002</c:v>
                </c:pt>
                <c:pt idx="995">
                  <c:v>-16.628264092845153</c:v>
                </c:pt>
                <c:pt idx="996">
                  <c:v>-16.645022913862615</c:v>
                </c:pt>
                <c:pt idx="997">
                  <c:v>-16.661781752392091</c:v>
                </c:pt>
                <c:pt idx="998">
                  <c:v>-16.678540608433284</c:v>
                </c:pt>
                <c:pt idx="999">
                  <c:v>-16.695299481985892</c:v>
                </c:pt>
                <c:pt idx="1000">
                  <c:v>-16.712058373049619</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7.6673831667516202E-5</c:v>
                </c:pt>
                <c:pt idx="2">
                  <c:v>4.8383360293073624E-4</c:v>
                </c:pt>
                <c:pt idx="3">
                  <c:v>1.4721472360017343E-3</c:v>
                </c:pt>
                <c:pt idx="4">
                  <c:v>3.1887288676949424E-3</c:v>
                </c:pt>
                <c:pt idx="5">
                  <c:v>5.780811333606346E-3</c:v>
                </c:pt>
                <c:pt idx="6">
                  <c:v>9.3957641231225131E-3</c:v>
                </c:pt>
                <c:pt idx="7">
                  <c:v>1.4181111211955319E-2</c:v>
                </c:pt>
                <c:pt idx="8">
                  <c:v>2.0284548778800676E-2</c:v>
                </c:pt>
                <c:pt idx="9">
                  <c:v>2.7853962812556095E-2</c:v>
                </c:pt>
                <c:pt idx="10">
                  <c:v>3.7037446616374953E-2</c:v>
                </c:pt>
                <c:pt idx="11">
                  <c:v>4.7941001136512881E-2</c:v>
                </c:pt>
                <c:pt idx="12">
                  <c:v>6.0586135299065633E-2</c:v>
                </c:pt>
                <c:pt idx="13">
                  <c:v>7.495172299058106E-2</c:v>
                </c:pt>
                <c:pt idx="14">
                  <c:v>9.1015950945402491E-2</c:v>
                </c:pt>
                <c:pt idx="15">
                  <c:v>0.10875664063974662</c:v>
                </c:pt>
                <c:pt idx="16">
                  <c:v>0.1281515708887013</c:v>
                </c:pt>
                <c:pt idx="17">
                  <c:v>0.14917847853524946</c:v>
                </c:pt>
                <c:pt idx="18">
                  <c:v>0.17181505913907877</c:v>
                </c:pt>
                <c:pt idx="19">
                  <c:v>0.196038967665085</c:v>
                </c:pt>
                <c:pt idx="20">
                  <c:v>0.22182781917147815</c:v>
                </c:pt>
                <c:pt idx="21">
                  <c:v>0.24915918949740007</c:v>
                </c:pt>
                <c:pt idx="22">
                  <c:v>0.27801061594996379</c:v>
                </c:pt>
                <c:pt idx="23">
                  <c:v>0.30835959799062457</c:v>
                </c:pt>
                <c:pt idx="24">
                  <c:v>0.34018359792079328</c:v>
                </c:pt>
                <c:pt idx="25">
                  <c:v>0.3734600415666039</c:v>
                </c:pt>
                <c:pt idx="26">
                  <c:v>0.40816631896274685</c:v>
                </c:pt>
                <c:pt idx="27">
                  <c:v>0.44428547195504947</c:v>
                </c:pt>
                <c:pt idx="28">
                  <c:v>0.48181189139684971</c:v>
                </c:pt>
                <c:pt idx="29">
                  <c:v>0.52074564477211105</c:v>
                </c:pt>
                <c:pt idx="30">
                  <c:v>0.56108679387943117</c:v>
                </c:pt>
                <c:pt idx="31">
                  <c:v>0.60283539482481396</c:v>
                </c:pt>
                <c:pt idx="32">
                  <c:v>0.64599149801454947</c:v>
                </c:pt>
                <c:pt idx="33">
                  <c:v>0.69055514814820318</c:v>
                </c:pt>
                <c:pt idx="34">
                  <c:v>0.73652638421171424</c:v>
                </c:pt>
                <c:pt idx="35">
                  <c:v>0.78398915810674985</c:v>
                </c:pt>
                <c:pt idx="36">
                  <c:v>0.83303012262499021</c:v>
                </c:pt>
                <c:pt idx="37">
                  <c:v>0.88365468514045031</c:v>
                </c:pt>
                <c:pt idx="38">
                  <c:v>0.93586815411548419</c:v>
                </c:pt>
                <c:pt idx="39">
                  <c:v>0.98967570454246256</c:v>
                </c:pt>
                <c:pt idx="40">
                  <c:v>1.0450823842677934</c:v>
                </c:pt>
                <c:pt idx="41">
                  <c:v>1.1020931198427062</c:v>
                </c:pt>
                <c:pt idx="42">
                  <c:v>1.1607127219471622</c:v>
                </c:pt>
                <c:pt idx="43">
                  <c:v>1.2209458904276811</c:v>
                </c:pt>
                <c:pt idx="44">
                  <c:v>1.282797218985096</c:v>
                </c:pt>
                <c:pt idx="45">
                  <c:v>1.3462711995441288</c:v>
                </c:pt>
                <c:pt idx="46">
                  <c:v>1.4113722263331046</c:v>
                </c:pt>
                <c:pt idx="47">
                  <c:v>1.4781045996990361</c:v>
                </c:pt>
                <c:pt idx="48">
                  <c:v>1.5464725296806028</c:v>
                </c:pt>
                <c:pt idx="49">
                  <c:v>1.6164801393591988</c:v>
                </c:pt>
                <c:pt idx="50">
                  <c:v>1.688131468006151</c:v>
                </c:pt>
                <c:pt idx="51">
                  <c:v>1.7614304740423981</c:v>
                </c:pt>
                <c:pt idx="52">
                  <c:v>1.8363810378253125</c:v>
                </c:pt>
                <c:pt idx="53">
                  <c:v>1.9129869642759387</c:v>
                </c:pt>
                <c:pt idx="54">
                  <c:v>1.9912519853586621</c:v>
                </c:pt>
                <c:pt idx="55">
                  <c:v>2.0711797624242112</c:v>
                </c:pt>
                <c:pt idx="56">
                  <c:v>2.1527738884258998</c:v>
                </c:pt>
                <c:pt idx="57">
                  <c:v>2.2360378900181375</c:v>
                </c:pt>
                <c:pt idx="58">
                  <c:v>2.3209752295454367</c:v>
                </c:pt>
                <c:pt idx="59">
                  <c:v>2.4075893069294412</c:v>
                </c:pt>
                <c:pt idx="60">
                  <c:v>2.4958834614608603</c:v>
                </c:pt>
                <c:pt idx="61">
                  <c:v>2.5858609735026228</c:v>
                </c:pt>
                <c:pt idx="62">
                  <c:v>2.6775250661100438</c:v>
                </c:pt>
                <c:pt idx="63">
                  <c:v>2.7708789065733352</c:v>
                </c:pt>
                <c:pt idx="64">
                  <c:v>2.8659256078873661</c:v>
                </c:pt>
                <c:pt idx="65">
                  <c:v>2.9626682301531955</c:v>
                </c:pt>
                <c:pt idx="66">
                  <c:v>3.0611097819155582</c:v>
                </c:pt>
                <c:pt idx="67">
                  <c:v>3.1612532214401603</c:v>
                </c:pt>
                <c:pt idx="68">
                  <c:v>3.2631014579343662</c:v>
                </c:pt>
                <c:pt idx="69">
                  <c:v>3.3666573527145793</c:v>
                </c:pt>
                <c:pt idx="70">
                  <c:v>3.4719237203234008</c:v>
                </c:pt>
                <c:pt idx="71">
                  <c:v>3.5789033295994104</c:v>
                </c:pt>
                <c:pt idx="72">
                  <c:v>3.6875988336324155</c:v>
                </c:pt>
                <c:pt idx="73">
                  <c:v>3.7980126992124759</c:v>
                </c:pt>
                <c:pt idx="74">
                  <c:v>3.9101472782265718</c:v>
                </c:pt>
                <c:pt idx="75">
                  <c:v>4.024004879494095</c:v>
                </c:pt>
                <c:pt idx="76">
                  <c:v>4.1395877696609196</c:v>
                </c:pt>
                <c:pt idx="77">
                  <c:v>4.2568981740585814</c:v>
                </c:pt>
                <c:pt idx="78">
                  <c:v>4.3759382775303797</c:v>
                </c:pt>
                <c:pt idx="79">
                  <c:v>4.4967102252261038</c:v>
                </c:pt>
                <c:pt idx="80">
                  <c:v>4.6192161233669626</c:v>
                </c:pt>
                <c:pt idx="81">
                  <c:v>4.7434580399822224</c:v>
                </c:pt>
                <c:pt idx="82">
                  <c:v>4.8694380056189379</c:v>
                </c:pt>
                <c:pt idx="83">
                  <c:v>4.9971580140260965</c:v>
                </c:pt>
                <c:pt idx="84">
                  <c:v>5.1266200228144099</c:v>
                </c:pt>
                <c:pt idx="85">
                  <c:v>5.2578259540929153</c:v>
                </c:pt>
                <c:pt idx="86">
                  <c:v>5.3907776950834707</c:v>
                </c:pt>
                <c:pt idx="87">
                  <c:v>5.5254770987141866</c:v>
                </c:pt>
                <c:pt idx="88">
                  <c:v>5.6619259841927532</c:v>
                </c:pt>
                <c:pt idx="89">
                  <c:v>5.8001261375605848</c:v>
                </c:pt>
                <c:pt idx="90">
                  <c:v>5.9400793122286428</c:v>
                </c:pt>
                <c:pt idx="91">
                  <c:v>6.0817872294957542</c:v>
                </c:pt>
                <c:pt idx="92">
                  <c:v>6.2252515790502008</c:v>
                </c:pt>
                <c:pt idx="93">
                  <c:v>6.3704740194552985</c:v>
                </c:pt>
                <c:pt idx="94">
                  <c:v>6.5174561786196712</c:v>
                </c:pt>
                <c:pt idx="95">
                  <c:v>6.6661996542528614</c:v>
                </c:pt>
                <c:pt idx="96">
                  <c:v>6.8167060143069067</c:v>
                </c:pt>
                <c:pt idx="97">
                  <c:v>6.9689767974044603</c:v>
                </c:pt>
                <c:pt idx="98">
                  <c:v>7.1230135132540209</c:v>
                </c:pt>
                <c:pt idx="99">
                  <c:v>7.2788176430527978</c:v>
                </c:pt>
                <c:pt idx="100">
                  <c:v>7.4363906398777129</c:v>
                </c:pt>
                <c:pt idx="101">
                  <c:v>7.5957339290650214</c:v>
                </c:pt>
                <c:pt idx="102">
                  <c:v>7.7568489085789967</c:v>
                </c:pt>
                <c:pt idx="103">
                  <c:v>7.9197369493701224</c:v>
                </c:pt>
                <c:pt idx="104">
                  <c:v>8.0843993957231906</c:v>
                </c:pt>
                <c:pt idx="105">
                  <c:v>8.2508375655957078</c:v>
                </c:pt>
                <c:pt idx="106">
                  <c:v>8.4190527509469799</c:v>
                </c:pt>
                <c:pt idx="107">
                  <c:v>8.5890462180582183</c:v>
                </c:pt>
                <c:pt idx="108">
                  <c:v>8.7608192078440297</c:v>
                </c:pt>
                <c:pt idx="109">
                  <c:v>8.9343729361555884</c:v>
                </c:pt>
                <c:pt idx="110">
                  <c:v>9.1097085940758156</c:v>
                </c:pt>
                <c:pt idx="111">
                  <c:v>9.286827348206856</c:v>
                </c:pt>
                <c:pt idx="112">
                  <c:v>9.4657303409501257</c:v>
                </c:pt>
                <c:pt idx="113">
                  <c:v>9.6464186907792175</c:v>
                </c:pt>
                <c:pt idx="114">
                  <c:v>9.8288934925058999</c:v>
                </c:pt>
                <c:pt idx="115">
                  <c:v>10.013155817539467</c:v>
                </c:pt>
                <c:pt idx="116">
                  <c:v>10.199206714139674</c:v>
                </c:pt>
                <c:pt idx="117">
                  <c:v>10.387047207663485</c:v>
                </c:pt>
                <c:pt idx="118">
                  <c:v>10.576678300805842</c:v>
                </c:pt>
                <c:pt idx="119">
                  <c:v>10.768100973834661</c:v>
                </c:pt>
                <c:pt idx="120">
                  <c:v>10.961316184820269</c:v>
                </c:pt>
                <c:pt idx="121">
                  <c:v>11.156324869859445</c:v>
                </c:pt>
                <c:pt idx="122">
                  <c:v>11.35312794329427</c:v>
                </c:pt>
                <c:pt idx="123">
                  <c:v>11.551726297925956</c:v>
                </c:pt>
                <c:pt idx="124">
                  <c:v>11.752120805223807</c:v>
                </c:pt>
                <c:pt idx="125">
                  <c:v>11.954312315529483</c:v>
                </c:pt>
                <c:pt idx="126">
                  <c:v>12.158301658256731</c:v>
                </c:pt>
                <c:pt idx="127">
                  <c:v>12.364089642086713</c:v>
                </c:pt>
                <c:pt idx="128">
                  <c:v>12.57167705515908</c:v>
                </c:pt>
                <c:pt idx="129">
                  <c:v>12.781064313062975</c:v>
                </c:pt>
                <c:pt idx="130">
                  <c:v>12.992251105389098</c:v>
                </c:pt>
                <c:pt idx="131">
                  <c:v>13.205236746230065</c:v>
                </c:pt>
                <c:pt idx="132">
                  <c:v>13.420020526137986</c:v>
                </c:pt>
                <c:pt idx="133">
                  <c:v>13.636601712347845</c:v>
                </c:pt>
                <c:pt idx="134">
                  <c:v>13.854979548996551</c:v>
                </c:pt>
                <c:pt idx="135">
                  <c:v>14.075153257337755</c:v>
                </c:pt>
                <c:pt idx="136">
                  <c:v>14.297122035952603</c:v>
                </c:pt>
                <c:pt idx="137">
                  <c:v>14.520885060956537</c:v>
                </c:pt>
                <c:pt idx="138">
                  <c:v>14.746441486202279</c:v>
                </c:pt>
                <c:pt idx="139">
                  <c:v>14.9737904434791</c:v>
                </c:pt>
                <c:pt idx="140">
                  <c:v>15.202931042708505</c:v>
                </c:pt>
                <c:pt idx="141">
                  <c:v>15.433862372136439</c:v>
                </c:pt>
                <c:pt idx="142">
                  <c:v>15.666583498522114</c:v>
                </c:pt>
                <c:pt idx="143">
                  <c:v>15.901093467323571</c:v>
                </c:pt>
                <c:pt idx="144">
                  <c:v>16.137391302880069</c:v>
                </c:pt>
                <c:pt idx="145">
                  <c:v>16.375476008591392</c:v>
                </c:pt>
                <c:pt idx="146">
                  <c:v>16.615346567094168</c:v>
                </c:pt>
                <c:pt idx="147">
                  <c:v>16.857001940435307</c:v>
                </c:pt>
                <c:pt idx="148">
                  <c:v>17.100441070242603</c:v>
                </c:pt>
                <c:pt idx="149">
                  <c:v>17.345662877892618</c:v>
                </c:pt>
                <c:pt idx="150">
                  <c:v>17.59266626467592</c:v>
                </c:pt>
                <c:pt idx="151">
                  <c:v>17.841450111959734</c:v>
                </c:pt>
                <c:pt idx="152">
                  <c:v>18.092013281348102</c:v>
                </c:pt>
                <c:pt idx="153">
                  <c:v>18.344354614839599</c:v>
                </c:pt>
                <c:pt idx="154">
                  <c:v>18.598472934982713</c:v>
                </c:pt>
                <c:pt idx="155">
                  <c:v>18.854367045028898</c:v>
                </c:pt>
                <c:pt idx="156">
                  <c:v>19.112035729083424</c:v>
                </c:pt>
                <c:pt idx="157">
                  <c:v>19.371477752254044</c:v>
                </c:pt>
                <c:pt idx="158">
                  <c:v>19.632691860797557</c:v>
                </c:pt>
                <c:pt idx="159">
                  <c:v>19.895676782264314</c:v>
                </c:pt>
                <c:pt idx="160">
                  <c:v>20.160431225640735</c:v>
                </c:pt>
                <c:pt idx="161">
                  <c:v>20.42695388148989</c:v>
                </c:pt>
                <c:pt idx="162">
                  <c:v>20.695243422090179</c:v>
                </c:pt>
                <c:pt idx="163">
                  <c:v>20.965298501572175</c:v>
                </c:pt>
                <c:pt idx="164">
                  <c:v>21.237117756053696</c:v>
                </c:pt>
                <c:pt idx="165">
                  <c:v>21.510699803773118</c:v>
                </c:pt>
                <c:pt idx="166">
                  <c:v>21.786043245220988</c:v>
                </c:pt>
                <c:pt idx="167">
                  <c:v>22.063146663270004</c:v>
                </c:pt>
                <c:pt idx="168">
                  <c:v>22.342008623303379</c:v>
                </c:pt>
                <c:pt idx="169">
                  <c:v>22.622627673341626</c:v>
                </c:pt>
                <c:pt idx="170">
                  <c:v>22.905002344167837</c:v>
                </c:pt>
                <c:pt idx="171">
                  <c:v>23.189131149451459</c:v>
                </c:pt>
                <c:pt idx="172">
                  <c:v>23.475012585870623</c:v>
                </c:pt>
                <c:pt idx="173">
                  <c:v>23.762645133233068</c:v>
                </c:pt>
                <c:pt idx="174">
                  <c:v>24.052027254595679</c:v>
                </c:pt>
                <c:pt idx="175">
                  <c:v>24.343157396382686</c:v>
                </c:pt>
                <c:pt idx="176">
                  <c:v>24.636033988502554</c:v>
                </c:pt>
                <c:pt idx="177">
                  <c:v>24.930655444463586</c:v>
                </c:pt>
                <c:pt idx="178">
                  <c:v>25.227020161488291</c:v>
                </c:pt>
                <c:pt idx="179">
                  <c:v>25.525126520626536</c:v>
                </c:pt>
                <c:pt idx="180">
                  <c:v>25.824972886867499</c:v>
                </c:pt>
                <c:pt idx="181">
                  <c:v>26.126557609250487</c:v>
                </c:pt>
                <c:pt idx="182">
                  <c:v>26.429879020974592</c:v>
                </c:pt>
                <c:pt idx="183">
                  <c:v>26.734935439507275</c:v>
                </c:pt>
                <c:pt idx="184">
                  <c:v>27.041725166691851</c:v>
                </c:pt>
                <c:pt idx="185">
                  <c:v>27.350246488853941</c:v>
                </c:pt>
                <c:pt idx="186">
                  <c:v>27.660497676906878</c:v>
                </c:pt>
                <c:pt idx="187">
                  <c:v>27.972476986456122</c:v>
                </c:pt>
                <c:pt idx="188">
                  <c:v>28.286182657902689</c:v>
                </c:pt>
                <c:pt idx="189">
                  <c:v>28.601612916545619</c:v>
                </c:pt>
                <c:pt idx="190">
                  <c:v>28.918765972683527</c:v>
                </c:pt>
                <c:pt idx="191">
                  <c:v>29.237640021715215</c:v>
                </c:pt>
                <c:pt idx="192">
                  <c:v>29.558233244239407</c:v>
                </c:pt>
                <c:pt idx="193">
                  <c:v>29.88054380615359</c:v>
                </c:pt>
                <c:pt idx="194">
                  <c:v>30.204569858752031</c:v>
                </c:pt>
                <c:pt idx="195">
                  <c:v>30.530309538822927</c:v>
                </c:pt>
                <c:pt idx="196">
                  <c:v>30.857760968744756</c:v>
                </c:pt>
                <c:pt idx="197">
                  <c:v>31.186922256581827</c:v>
                </c:pt>
                <c:pt idx="198">
                  <c:v>31.517791496179036</c:v>
                </c:pt>
                <c:pt idx="199">
                  <c:v>31.850366767255871</c:v>
                </c:pt>
                <c:pt idx="200">
                  <c:v>32.184646135499648</c:v>
                </c:pt>
                <c:pt idx="201">
                  <c:v>32.520627652658042</c:v>
                </c:pt>
                <c:pt idx="202">
                  <c:v>32.858309356630876</c:v>
                </c:pt>
                <c:pt idx="203">
                  <c:v>33.19768927156121</c:v>
                </c:pt>
                <c:pt idx="204">
                  <c:v>33.538765407925744</c:v>
                </c:pt>
                <c:pt idx="205">
                  <c:v>33.881535762624566</c:v>
                </c:pt>
                <c:pt idx="206">
                  <c:v>34.225998227921039</c:v>
                </c:pt>
                <c:pt idx="207">
                  <c:v>34.572150500141142</c:v>
                </c:pt>
                <c:pt idx="208">
                  <c:v>34.919990170619911</c:v>
                </c:pt>
                <c:pt idx="209">
                  <c:v>35.26951481689138</c:v>
                </c:pt>
                <c:pt idx="210">
                  <c:v>35.620722002783424</c:v>
                </c:pt>
                <c:pt idx="211">
                  <c:v>35.973609278511951</c:v>
                </c:pt>
                <c:pt idx="212">
                  <c:v>36.328174180774447</c:v>
                </c:pt>
                <c:pt idx="213">
                  <c:v>36.684414232842876</c:v>
                </c:pt>
                <c:pt idx="214">
                  <c:v>37.042326944655954</c:v>
                </c:pt>
                <c:pt idx="215">
                  <c:v>37.401909812910844</c:v>
                </c:pt>
                <c:pt idx="216">
                  <c:v>37.763160321154217</c:v>
                </c:pt>
                <c:pt idx="217">
                  <c:v>38.126075939872749</c:v>
                </c:pt>
                <c:pt idx="218">
                  <c:v>38.490654126583031</c:v>
                </c:pt>
                <c:pt idx="219">
                  <c:v>38.85689232592091</c:v>
                </c:pt>
                <c:pt idx="220">
                  <c:v>39.224787969730279</c:v>
                </c:pt>
                <c:pt idx="221">
                  <c:v>39.594338477151325</c:v>
                </c:pt>
                <c:pt idx="222">
                  <c:v>39.965541254708207</c:v>
                </c:pt>
                <c:pt idx="223">
                  <c:v>40.33839369639626</c:v>
                </c:pt>
                <c:pt idx="224">
                  <c:v>40.712893183768635</c:v>
                </c:pt>
                <c:pt idx="225">
                  <c:v>41.089037086022451</c:v>
                </c:pt>
                <c:pt idx="226">
                  <c:v>41.466822760084426</c:v>
                </c:pt>
                <c:pt idx="227">
                  <c:v>41.846247550696042</c:v>
                </c:pt>
                <c:pt idx="228">
                  <c:v>42.227308790498192</c:v>
                </c:pt>
                <c:pt idx="229">
                  <c:v>42.610003800115386</c:v>
                </c:pt>
                <c:pt idx="230">
                  <c:v>42.994329888239434</c:v>
                </c:pt>
                <c:pt idx="231">
                  <c:v>43.380284351712731</c:v>
                </c:pt>
                <c:pt idx="232">
                  <c:v>43.767864475611027</c:v>
                </c:pt>
                <c:pt idx="233">
                  <c:v>44.157067533325794</c:v>
                </c:pt>
                <c:pt idx="234">
                  <c:v>44.547890786646121</c:v>
                </c:pt>
                <c:pt idx="235">
                  <c:v>44.940331485840183</c:v>
                </c:pt>
                <c:pt idx="236">
                  <c:v>45.334386869736278</c:v>
                </c:pt>
                <c:pt idx="237">
                  <c:v>45.730054165803452</c:v>
                </c:pt>
                <c:pt idx="238">
                  <c:v>46.127330590231701</c:v>
                </c:pt>
                <c:pt idx="239">
                  <c:v>46.526213348011751</c:v>
                </c:pt>
                <c:pt idx="240">
                  <c:v>46.926699633014451</c:v>
                </c:pt>
                <c:pt idx="241">
                  <c:v>47.328786628069757</c:v>
                </c:pt>
                <c:pt idx="242">
                  <c:v>47.732471183028522</c:v>
                </c:pt>
                <c:pt idx="243">
                  <c:v>48.137749492121088</c:v>
                </c:pt>
                <c:pt idx="244">
                  <c:v>48.544617415252169</c:v>
                </c:pt>
                <c:pt idx="245">
                  <c:v>48.953070800011616</c:v>
                </c:pt>
                <c:pt idx="246">
                  <c:v>49.363105481778071</c:v>
                </c:pt>
                <c:pt idx="247">
                  <c:v>49.774717283822135</c:v>
                </c:pt>
                <c:pt idx="248">
                  <c:v>50.187902017408966</c:v>
                </c:pt>
                <c:pt idx="249">
                  <c:v>50.602655481900342</c:v>
                </c:pt>
                <c:pt idx="250">
                  <c:v>51.018973464856202</c:v>
                </c:pt>
                <c:pt idx="251">
                  <c:v>51.436851742135644</c:v>
                </c:pt>
                <c:pt idx="252">
                  <c:v>51.856286077997432</c:v>
                </c:pt>
                <c:pt idx="253">
                  <c:v>52.277272225199972</c:v>
                </c:pt>
                <c:pt idx="254">
                  <c:v>52.699805925100783</c:v>
                </c:pt>
                <c:pt idx="255">
                  <c:v>53.123882907755444</c:v>
                </c:pt>
                <c:pt idx="256">
                  <c:v>53.549498892016096</c:v>
                </c:pt>
                <c:pt idx="257">
                  <c:v>53.976649585629374</c:v>
                </c:pt>
                <c:pt idx="258">
                  <c:v>54.405330685333922</c:v>
                </c:pt>
                <c:pt idx="259">
                  <c:v>54.835537876957375</c:v>
                </c:pt>
                <c:pt idx="260">
                  <c:v>55.267266835512864</c:v>
                </c:pt>
                <c:pt idx="261">
                  <c:v>55.700513225295076</c:v>
                </c:pt>
                <c:pt idx="262">
                  <c:v>56.1352726999758</c:v>
                </c:pt>
                <c:pt idx="263">
                  <c:v>56.571540902699034</c:v>
                </c:pt>
                <c:pt idx="264">
                  <c:v>57.009313466175605</c:v>
                </c:pt>
                <c:pt idx="265">
                  <c:v>57.448586012777341</c:v>
                </c:pt>
                <c:pt idx="266">
                  <c:v>57.88935415463078</c:v>
                </c:pt>
                <c:pt idx="267">
                  <c:v>58.331613493710414</c:v>
                </c:pt>
                <c:pt idx="268">
                  <c:v>58.775359621931507</c:v>
                </c:pt>
                <c:pt idx="269">
                  <c:v>59.220588121242429</c:v>
                </c:pt>
                <c:pt idx="270">
                  <c:v>59.667294563716581</c:v>
                </c:pt>
                <c:pt idx="271">
                  <c:v>60.115474511643846</c:v>
                </c:pt>
                <c:pt idx="272">
                  <c:v>60.565123517621622</c:v>
                </c:pt>
                <c:pt idx="273">
                  <c:v>61.0162371246454</c:v>
                </c:pt>
                <c:pt idx="274">
                  <c:v>61.468810866198929</c:v>
                </c:pt>
                <c:pt idx="275">
                  <c:v>61.922840266343933</c:v>
                </c:pt>
                <c:pt idx="276">
                  <c:v>62.378320839809405</c:v>
                </c:pt>
                <c:pt idx="277">
                  <c:v>62.835248092080484</c:v>
                </c:pt>
                <c:pt idx="278">
                  <c:v>63.293617519486887</c:v>
                </c:pt>
                <c:pt idx="279">
                  <c:v>63.753424609290931</c:v>
                </c:pt>
                <c:pt idx="280">
                  <c:v>64.214664839775139</c:v>
                </c:pt>
                <c:pt idx="281">
                  <c:v>64.677333680329426</c:v>
                </c:pt>
                <c:pt idx="282">
                  <c:v>65.141426591537879</c:v>
                </c:pt>
                <c:pt idx="283">
                  <c:v>65.606939025265092</c:v>
                </c:pt>
                <c:pt idx="284">
                  <c:v>66.073866811332451</c:v>
                </c:pt>
                <c:pt idx="285">
                  <c:v>66.542206544854395</c:v>
                </c:pt>
                <c:pt idx="286">
                  <c:v>67.01195520040342</c:v>
                </c:pt>
                <c:pt idx="287">
                  <c:v>67.483109745500727</c:v>
                </c:pt>
                <c:pt idx="288">
                  <c:v>67.955667140673867</c:v>
                </c:pt>
                <c:pt idx="289">
                  <c:v>68.429624339514206</c:v>
                </c:pt>
                <c:pt idx="290">
                  <c:v>68.904978288734057</c:v>
                </c:pt>
                <c:pt idx="291">
                  <c:v>69.381725928223716</c:v>
                </c:pt>
                <c:pt idx="292">
                  <c:v>69.859864191108173</c:v>
                </c:pt>
                <c:pt idx="293">
                  <c:v>70.339390003803629</c:v>
                </c:pt>
                <c:pt idx="294">
                  <c:v>70.820300286073845</c:v>
                </c:pt>
                <c:pt idx="295">
                  <c:v>71.3025919510862</c:v>
                </c:pt>
                <c:pt idx="296">
                  <c:v>71.786261905467569</c:v>
                </c:pt>
                <c:pt idx="297">
                  <c:v>72.271307049359947</c:v>
                </c:pt>
                <c:pt idx="298">
                  <c:v>72.75772427647594</c:v>
                </c:pt>
                <c:pt idx="299">
                  <c:v>73.245510474153917</c:v>
                </c:pt>
                <c:pt idx="300">
                  <c:v>73.734662523413036</c:v>
                </c:pt>
                <c:pt idx="301">
                  <c:v>74.225177299008038</c:v>
                </c:pt>
                <c:pt idx="302">
                  <c:v>74.717051669483808</c:v>
                </c:pt>
                <c:pt idx="303">
                  <c:v>75.210282497229727</c:v>
                </c:pt>
                <c:pt idx="304">
                  <c:v>75.704866638533829</c:v>
                </c:pt>
                <c:pt idx="305">
                  <c:v>76.200800943636736</c:v>
                </c:pt>
                <c:pt idx="306">
                  <c:v>76.698082256785355</c:v>
                </c:pt>
                <c:pt idx="307">
                  <c:v>77.196707416286415</c:v>
                </c:pt>
                <c:pt idx="308">
                  <c:v>77.696673254559727</c:v>
                </c:pt>
                <c:pt idx="309">
                  <c:v>78.197976598191332</c:v>
                </c:pt>
                <c:pt idx="310">
                  <c:v>78.700614267986325</c:v>
                </c:pt>
                <c:pt idx="311">
                  <c:v>79.204583079021575</c:v>
                </c:pt>
                <c:pt idx="312">
                  <c:v>79.70987984069815</c:v>
                </c:pt>
                <c:pt idx="313">
                  <c:v>80.216501356793586</c:v>
                </c:pt>
                <c:pt idx="314">
                  <c:v>80.724444425513951</c:v>
                </c:pt>
                <c:pt idx="315">
                  <c:v>81.233705839545678</c:v>
                </c:pt>
                <c:pt idx="316">
                  <c:v>81.744282386107187</c:v>
                </c:pt>
                <c:pt idx="317">
                  <c:v>82.256170847000334</c:v>
                </c:pt>
                <c:pt idx="318">
                  <c:v>82.769367998661636</c:v>
                </c:pt>
                <c:pt idx="319">
                  <c:v>83.283870612213278</c:v>
                </c:pt>
                <c:pt idx="320">
                  <c:v>83.799675453513956</c:v>
                </c:pt>
                <c:pt idx="321">
                  <c:v>84.31677928320947</c:v>
                </c:pt>
                <c:pt idx="322">
                  <c:v>84.835178856783145</c:v>
                </c:pt>
                <c:pt idx="323">
                  <c:v>85.354870924606004</c:v>
                </c:pt>
                <c:pt idx="324">
                  <c:v>85.875852231986812</c:v>
                </c:pt>
                <c:pt idx="325">
                  <c:v>86.398119519221879</c:v>
                </c:pt>
                <c:pt idx="326">
                  <c:v>86.92166954587195</c:v>
                </c:pt>
                <c:pt idx="327">
                  <c:v>87.446499115071987</c:v>
                </c:pt>
                <c:pt idx="328">
                  <c:v>87.972605049381585</c:v>
                </c:pt>
                <c:pt idx="329">
                  <c:v>88.499984166601465</c:v>
                </c:pt>
                <c:pt idx="330">
                  <c:v>89.028633279820852</c:v>
                </c:pt>
                <c:pt idx="331">
                  <c:v>89.558549197464785</c:v>
                </c:pt>
                <c:pt idx="332">
                  <c:v>90.089728723341139</c:v>
                </c:pt>
                <c:pt idx="333">
                  <c:v>90.622168656687492</c:v>
                </c:pt>
                <c:pt idx="334">
                  <c:v>91.155865792217767</c:v>
                </c:pt>
                <c:pt idx="335">
                  <c:v>91.690816920168771</c:v>
                </c:pt>
                <c:pt idx="336">
                  <c:v>92.227018826346423</c:v>
                </c:pt>
                <c:pt idx="337">
                  <c:v>92.764468292171912</c:v>
                </c:pt>
                <c:pt idx="338">
                  <c:v>93.30316209472754</c:v>
                </c:pt>
                <c:pt idx="339">
                  <c:v>93.843097006802495</c:v>
                </c:pt>
                <c:pt idx="340">
                  <c:v>94.384269796938341</c:v>
                </c:pt>
                <c:pt idx="341">
                  <c:v>94.926677229474407</c:v>
                </c:pt>
                <c:pt idx="342">
                  <c:v>95.470316064592879</c:v>
                </c:pt>
                <c:pt idx="343">
                  <c:v>96.015183058363803</c:v>
                </c:pt>
                <c:pt idx="344">
                  <c:v>96.561274962789838</c:v>
                </c:pt>
                <c:pt idx="345">
                  <c:v>97.108588525850848</c:v>
                </c:pt>
                <c:pt idx="346">
                  <c:v>97.657120491548284</c:v>
                </c:pt>
                <c:pt idx="347">
                  <c:v>98.206867599949405</c:v>
                </c:pt>
                <c:pt idx="348">
                  <c:v>98.757826587231278</c:v>
                </c:pt>
                <c:pt idx="349">
                  <c:v>99.309994185724648</c:v>
                </c:pt>
                <c:pt idx="350">
                  <c:v>99.863367123957531</c:v>
                </c:pt>
                <c:pt idx="351">
                  <c:v>100.41794212669868</c:v>
                </c:pt>
                <c:pt idx="352">
                  <c:v>100.97371591500087</c:v>
                </c:pt>
                <c:pt idx="353">
                  <c:v>101.53068520624399</c:v>
                </c:pt>
                <c:pt idx="354">
                  <c:v>102.08884671417786</c:v>
                </c:pt>
                <c:pt idx="355">
                  <c:v>102.64819714896505</c:v>
                </c:pt>
                <c:pt idx="356">
                  <c:v>103.20873321722328</c:v>
                </c:pt>
                <c:pt idx="357">
                  <c:v>103.77045162206784</c:v>
                </c:pt>
                <c:pt idx="358">
                  <c:v>104.33334906315368</c:v>
                </c:pt>
                <c:pt idx="359">
                  <c:v>104.89742223671738</c:v>
                </c:pt>
                <c:pt idx="360">
                  <c:v>105.46266783561893</c:v>
                </c:pt>
                <c:pt idx="361">
                  <c:v>106.02908254938333</c:v>
                </c:pt>
                <c:pt idx="362">
                  <c:v>106.59666306424194</c:v>
                </c:pt>
                <c:pt idx="363">
                  <c:v>107.16540606317372</c:v>
                </c:pt>
                <c:pt idx="364">
                  <c:v>107.73530822594626</c:v>
                </c:pt>
                <c:pt idx="365">
                  <c:v>108.30636622915658</c:v>
                </c:pt>
                <c:pt idx="366">
                  <c:v>108.87857737125144</c:v>
                </c:pt>
                <c:pt idx="367">
                  <c:v>109.45194019822524</c:v>
                </c:pt>
                <c:pt idx="368">
                  <c:v>110.02645387913363</c:v>
                </c:pt>
                <c:pt idx="369">
                  <c:v>110.60211758091549</c:v>
                </c:pt>
                <c:pt idx="370">
                  <c:v>111.17893046840663</c:v>
                </c:pt>
                <c:pt idx="371">
                  <c:v>111.75689170435332</c:v>
                </c:pt>
                <c:pt idx="372">
                  <c:v>112.33600044942584</c:v>
                </c:pt>
                <c:pt idx="373">
                  <c:v>112.91625586223201</c:v>
                </c:pt>
                <c:pt idx="374">
                  <c:v>113.49765709933067</c:v>
                </c:pt>
                <c:pt idx="375">
                  <c:v>114.08020331524517</c:v>
                </c:pt>
                <c:pt idx="376">
                  <c:v>114.66389366247681</c:v>
                </c:pt>
                <c:pt idx="377">
                  <c:v>115.24872729151821</c:v>
                </c:pt>
                <c:pt idx="378">
                  <c:v>115.83470335086675</c:v>
                </c:pt>
                <c:pt idx="379">
                  <c:v>116.42182098703789</c:v>
                </c:pt>
                <c:pt idx="380">
                  <c:v>117.01007934457854</c:v>
                </c:pt>
                <c:pt idx="381">
                  <c:v>117.59947688731627</c:v>
                </c:pt>
                <c:pt idx="382">
                  <c:v>118.19001071891664</c:v>
                </c:pt>
                <c:pt idx="383">
                  <c:v>118.78167726124488</c:v>
                </c:pt>
                <c:pt idx="384">
                  <c:v>119.37447293343347</c:v>
                </c:pt>
                <c:pt idx="385">
                  <c:v>119.96839415192333</c:v>
                </c:pt>
                <c:pt idx="386">
                  <c:v>120.56343733050495</c:v>
                </c:pt>
                <c:pt idx="387">
                  <c:v>121.15959888035914</c:v>
                </c:pt>
                <c:pt idx="388">
                  <c:v>121.7568752100977</c:v>
                </c:pt>
                <c:pt idx="389">
                  <c:v>122.35526272580387</c:v>
                </c:pt>
                <c:pt idx="390">
                  <c:v>122.9547578310725</c:v>
                </c:pt>
                <c:pt idx="391">
                  <c:v>123.55535692705011</c:v>
                </c:pt>
                <c:pt idx="392">
                  <c:v>124.15705641247472</c:v>
                </c:pt>
                <c:pt idx="393">
                  <c:v>124.75985268371542</c:v>
                </c:pt>
                <c:pt idx="394">
                  <c:v>125.36374213481186</c:v>
                </c:pt>
                <c:pt idx="395">
                  <c:v>125.96872115751336</c:v>
                </c:pt>
                <c:pt idx="396">
                  <c:v>126.57478614131801</c:v>
                </c:pt>
                <c:pt idx="397">
                  <c:v>127.18193347351146</c:v>
                </c:pt>
                <c:pt idx="398">
                  <c:v>127.79015953920548</c:v>
                </c:pt>
                <c:pt idx="399">
                  <c:v>128.39946072137639</c:v>
                </c:pt>
                <c:pt idx="400">
                  <c:v>129.00983340090329</c:v>
                </c:pt>
                <c:pt idx="401">
                  <c:v>129.62127341953416</c:v>
                </c:pt>
                <c:pt idx="402">
                  <c:v>130.23377554237533</c:v>
                </c:pt>
                <c:pt idx="403">
                  <c:v>130.84733399479003</c:v>
                </c:pt>
                <c:pt idx="404">
                  <c:v>131.46194299978649</c:v>
                </c:pt>
                <c:pt idx="405">
                  <c:v>132.07759677808187</c:v>
                </c:pt>
                <c:pt idx="406">
                  <c:v>132.69428954816576</c:v>
                </c:pt>
                <c:pt idx="407">
                  <c:v>133.3120155263633</c:v>
                </c:pt>
                <c:pt idx="408">
                  <c:v>133.9307689268978</c:v>
                </c:pt>
                <c:pt idx="409">
                  <c:v>134.55054396195297</c:v>
                </c:pt>
                <c:pt idx="410">
                  <c:v>135.17133484173476</c:v>
                </c:pt>
                <c:pt idx="411">
                  <c:v>135.79313279867094</c:v>
                </c:pt>
                <c:pt idx="412">
                  <c:v>136.41592310924435</c:v>
                </c:pt>
                <c:pt idx="413">
                  <c:v>137.03968806921588</c:v>
                </c:pt>
                <c:pt idx="414">
                  <c:v>137.66440997133583</c:v>
                </c:pt>
                <c:pt idx="415">
                  <c:v>138.29007110564746</c:v>
                </c:pt>
                <c:pt idx="416">
                  <c:v>138.91665375978732</c:v>
                </c:pt>
                <c:pt idx="417">
                  <c:v>139.54414021928255</c:v>
                </c:pt>
                <c:pt idx="418">
                  <c:v>140.17251276784472</c:v>
                </c:pt>
                <c:pt idx="419">
                  <c:v>140.80175368766072</c:v>
                </c:pt>
                <c:pt idx="420">
                  <c:v>141.43184356270487</c:v>
                </c:pt>
                <c:pt idx="421">
                  <c:v>142.06275958099536</c:v>
                </c:pt>
                <c:pt idx="422">
                  <c:v>142.69447723193201</c:v>
                </c:pt>
                <c:pt idx="423">
                  <c:v>143.32697200478759</c:v>
                </c:pt>
                <c:pt idx="424">
                  <c:v>143.96021938918929</c:v>
                </c:pt>
                <c:pt idx="425">
                  <c:v>144.5941948755941</c:v>
                </c:pt>
                <c:pt idx="426">
                  <c:v>145.22887395575827</c:v>
                </c:pt>
                <c:pt idx="427">
                  <c:v>145.86423212320085</c:v>
                </c:pt>
                <c:pt idx="428">
                  <c:v>146.50024487366119</c:v>
                </c:pt>
                <c:pt idx="429">
                  <c:v>147.13688770555061</c:v>
                </c:pt>
                <c:pt idx="430">
                  <c:v>147.77413612039794</c:v>
                </c:pt>
                <c:pt idx="431">
                  <c:v>148.41196562328921</c:v>
                </c:pt>
                <c:pt idx="432">
                  <c:v>149.05034897973573</c:v>
                </c:pt>
                <c:pt idx="433">
                  <c:v>149.68925347161226</c:v>
                </c:pt>
                <c:pt idx="434">
                  <c:v>150.32864364248908</c:v>
                </c:pt>
                <c:pt idx="435">
                  <c:v>150.96848404409437</c:v>
                </c:pt>
                <c:pt idx="436">
                  <c:v>151.60873923714556</c:v>
                </c:pt>
                <c:pt idx="437">
                  <c:v>152.2493737921682</c:v>
                </c:pt>
                <c:pt idx="438">
                  <c:v>152.8903522903025</c:v>
                </c:pt>
                <c:pt idx="439">
                  <c:v>153.53163932409743</c:v>
                </c:pt>
                <c:pt idx="440">
                  <c:v>154.17319949829232</c:v>
                </c:pt>
                <c:pt idx="441">
                  <c:v>154.8149974305862</c:v>
                </c:pt>
                <c:pt idx="442">
                  <c:v>155.45699942344433</c:v>
                </c:pt>
                <c:pt idx="443">
                  <c:v>156.0991751359455</c:v>
                </c:pt>
                <c:pt idx="444">
                  <c:v>156.74149591188183</c:v>
                </c:pt>
                <c:pt idx="445">
                  <c:v>157.38393310766685</c:v>
                </c:pt>
                <c:pt idx="446">
                  <c:v>158.02645809279227</c:v>
                </c:pt>
                <c:pt idx="447">
                  <c:v>158.66904225027665</c:v>
                </c:pt>
                <c:pt idx="448">
                  <c:v>159.31165697710588</c:v>
                </c:pt>
                <c:pt idx="449">
                  <c:v>159.95427368466548</c:v>
                </c:pt>
                <c:pt idx="450">
                  <c:v>160.59686379916485</c:v>
                </c:pt>
                <c:pt idx="451">
                  <c:v>161.2393987620533</c:v>
                </c:pt>
                <c:pt idx="452">
                  <c:v>161.88185003042798</c:v>
                </c:pt>
                <c:pt idx="453">
                  <c:v>162.52419147833879</c:v>
                </c:pt>
                <c:pt idx="454">
                  <c:v>163.16640179758784</c:v>
                </c:pt>
                <c:pt idx="455">
                  <c:v>163.80846209412798</c:v>
                </c:pt>
                <c:pt idx="456">
                  <c:v>164.45035348483285</c:v>
                </c:pt>
                <c:pt idx="457">
                  <c:v>165.09205709763089</c:v>
                </c:pt>
                <c:pt idx="458">
                  <c:v>165.73355407163601</c:v>
                </c:pt>
                <c:pt idx="459">
                  <c:v>166.37482555727465</c:v>
                </c:pt>
                <c:pt idx="460">
                  <c:v>167.01585271640963</c:v>
                </c:pt>
                <c:pt idx="461">
                  <c:v>167.65661888866109</c:v>
                </c:pt>
                <c:pt idx="462">
                  <c:v>168.2971117570678</c:v>
                </c:pt>
                <c:pt idx="463">
                  <c:v>168.93732117895846</c:v>
                </c:pt>
                <c:pt idx="464">
                  <c:v>169.57723701742484</c:v>
                </c:pt>
                <c:pt idx="465">
                  <c:v>170.21684914132703</c:v>
                </c:pt>
                <c:pt idx="466">
                  <c:v>170.85614560247032</c:v>
                </c:pt>
                <c:pt idx="467">
                  <c:v>171.49511081339065</c:v>
                </c:pt>
                <c:pt idx="468">
                  <c:v>172.13370705947636</c:v>
                </c:pt>
                <c:pt idx="469">
                  <c:v>172.77188088604353</c:v>
                </c:pt>
                <c:pt idx="470">
                  <c:v>173.40960829993656</c:v>
                </c:pt>
                <c:pt idx="471">
                  <c:v>174.04689020048593</c:v>
                </c:pt>
                <c:pt idx="472">
                  <c:v>174.68372748443463</c:v>
                </c:pt>
                <c:pt idx="473">
                  <c:v>175.32012104594833</c:v>
                </c:pt>
                <c:pt idx="474">
                  <c:v>175.95607177662561</c:v>
                </c:pt>
                <c:pt idx="475">
                  <c:v>176.59158056550797</c:v>
                </c:pt>
                <c:pt idx="476">
                  <c:v>177.2266482990899</c:v>
                </c:pt>
                <c:pt idx="477">
                  <c:v>177.86127586132886</c:v>
                </c:pt>
                <c:pt idx="478">
                  <c:v>178.49546413365522</c:v>
                </c:pt>
                <c:pt idx="479">
                  <c:v>179.12921399498217</c:v>
                </c:pt>
                <c:pt idx="480">
                  <c:v>179.76252632171557</c:v>
                </c:pt>
                <c:pt idx="481">
                  <c:v>180.39540198776371</c:v>
                </c:pt>
                <c:pt idx="482">
                  <c:v>181.02784186454704</c:v>
                </c:pt>
                <c:pt idx="483">
                  <c:v>181.65984682100793</c:v>
                </c:pt>
                <c:pt idx="484">
                  <c:v>182.29141772362033</c:v>
                </c:pt>
                <c:pt idx="485">
                  <c:v>182.92255543639925</c:v>
                </c:pt>
                <c:pt idx="486">
                  <c:v>183.55326082091048</c:v>
                </c:pt>
                <c:pt idx="487">
                  <c:v>184.18353473628</c:v>
                </c:pt>
                <c:pt idx="488">
                  <c:v>184.81337803920346</c:v>
                </c:pt>
                <c:pt idx="489">
                  <c:v>185.4427915839556</c:v>
                </c:pt>
                <c:pt idx="490">
                  <c:v>186.07177622239965</c:v>
                </c:pt>
                <c:pt idx="491">
                  <c:v>186.70033280399662</c:v>
                </c:pt>
                <c:pt idx="492">
                  <c:v>187.32846217581459</c:v>
                </c:pt>
                <c:pt idx="493">
                  <c:v>187.95616518253797</c:v>
                </c:pt>
                <c:pt idx="494">
                  <c:v>188.58344266647663</c:v>
                </c:pt>
                <c:pt idx="495">
                  <c:v>189.21029546757512</c:v>
                </c:pt>
                <c:pt idx="496">
                  <c:v>189.83672442342174</c:v>
                </c:pt>
                <c:pt idx="497">
                  <c:v>190.4627303692576</c:v>
                </c:pt>
                <c:pt idx="498">
                  <c:v>191.08831413798563</c:v>
                </c:pt>
                <c:pt idx="499">
                  <c:v>191.71347656017952</c:v>
                </c:pt>
                <c:pt idx="500">
                  <c:v>192.33821846409273</c:v>
                </c:pt>
                <c:pt idx="501">
                  <c:v>198.56257298234181</c:v>
                </c:pt>
                <c:pt idx="502">
                  <c:v>204.74540832122014</c:v>
                </c:pt>
                <c:pt idx="503">
                  <c:v>210.88753087750254</c:v>
                </c:pt>
                <c:pt idx="504">
                  <c:v>216.98972500146775</c:v>
                </c:pt>
                <c:pt idx="505">
                  <c:v>223.05275381772063</c:v>
                </c:pt>
                <c:pt idx="506">
                  <c:v>229.07736000788211</c:v>
                </c:pt>
                <c:pt idx="507">
                  <c:v>235.06426655726781</c:v>
                </c:pt>
                <c:pt idx="508">
                  <c:v>241.01417746753947</c:v>
                </c:pt>
                <c:pt idx="509">
                  <c:v>246.92777843718562</c:v>
                </c:pt>
                <c:pt idx="510">
                  <c:v>252.80573751157112</c:v>
                </c:pt>
                <c:pt idx="511">
                  <c:v>258.64870570418509</c:v>
                </c:pt>
                <c:pt idx="512">
                  <c:v>264.45731759061573</c:v>
                </c:pt>
                <c:pt idx="513">
                  <c:v>270.23219187668622</c:v>
                </c:pt>
                <c:pt idx="514">
                  <c:v>275.97393194209786</c:v>
                </c:pt>
                <c:pt idx="515">
                  <c:v>281.68312636084551</c:v>
                </c:pt>
                <c:pt idx="516">
                  <c:v>287.36034939959404</c:v>
                </c:pt>
                <c:pt idx="517">
                  <c:v>293.00616149513434</c:v>
                </c:pt>
                <c:pt idx="518">
                  <c:v>298.62110971197001</c:v>
                </c:pt>
                <c:pt idx="519">
                  <c:v>304.20572818102647</c:v>
                </c:pt>
                <c:pt idx="520">
                  <c:v>309.7605385204148</c:v>
                </c:pt>
                <c:pt idx="521">
                  <c:v>315.28605023912991</c:v>
                </c:pt>
                <c:pt idx="522">
                  <c:v>320.78276112451243</c:v>
                </c:pt>
                <c:pt idx="523">
                  <c:v>326.25115761425673</c:v>
                </c:pt>
                <c:pt idx="524">
                  <c:v>331.691715153703</c:v>
                </c:pt>
                <c:pt idx="525">
                  <c:v>337.10489853911167</c:v>
                </c:pt>
                <c:pt idx="526">
                  <c:v>342.49116224757813</c:v>
                </c:pt>
                <c:pt idx="527">
                  <c:v>347.85095075421106</c:v>
                </c:pt>
                <c:pt idx="528">
                  <c:v>353.18469883716347</c:v>
                </c:pt>
                <c:pt idx="529">
                  <c:v>358.49283187107324</c:v>
                </c:pt>
                <c:pt idx="530">
                  <c:v>363.77576610944072</c:v>
                </c:pt>
                <c:pt idx="531">
                  <c:v>369.03390895644321</c:v>
                </c:pt>
                <c:pt idx="532">
                  <c:v>374.267659228659</c:v>
                </c:pt>
                <c:pt idx="533">
                  <c:v>379.47740740714966</c:v>
                </c:pt>
                <c:pt idx="534">
                  <c:v>384.66353588032564</c:v>
                </c:pt>
                <c:pt idx="535">
                  <c:v>389.82641917799839</c:v>
                </c:pt>
                <c:pt idx="536">
                  <c:v>394.96642419700208</c:v>
                </c:pt>
                <c:pt idx="537">
                  <c:v>400.08391041874751</c:v>
                </c:pt>
                <c:pt idx="538">
                  <c:v>405.17923011905378</c:v>
                </c:pt>
                <c:pt idx="539">
                  <c:v>410.25272857058513</c:v>
                </c:pt>
                <c:pt idx="540">
                  <c:v>415.30474423820448</c:v>
                </c:pt>
                <c:pt idx="541">
                  <c:v>420.33560896753971</c:v>
                </c:pt>
                <c:pt idx="542">
                  <c:v>425.34564816704426</c:v>
                </c:pt>
                <c:pt idx="543">
                  <c:v>430.33518098382007</c:v>
                </c:pt>
                <c:pt idx="544">
                  <c:v>435.3045204734579</c:v>
                </c:pt>
                <c:pt idx="545">
                  <c:v>440.2539737641373</c:v>
                </c:pt>
                <c:pt idx="546">
                  <c:v>445.18384221521785</c:v>
                </c:pt>
                <c:pt idx="547">
                  <c:v>450.09442157054184</c:v>
                </c:pt>
                <c:pt idx="548">
                  <c:v>454.98600210665796</c:v>
                </c:pt>
                <c:pt idx="549">
                  <c:v>459.85886877616639</c:v>
                </c:pt>
                <c:pt idx="550">
                  <c:v>464.71330134637572</c:v>
                </c:pt>
                <c:pt idx="551">
                  <c:v>469.54957453345395</c:v>
                </c:pt>
                <c:pt idx="552">
                  <c:v>474.36795813224694</c:v>
                </c:pt>
                <c:pt idx="553">
                  <c:v>479.16871714192996</c:v>
                </c:pt>
                <c:pt idx="554">
                  <c:v>483.9521118876508</c:v>
                </c:pt>
                <c:pt idx="555">
                  <c:v>488.71839813831508</c:v>
                </c:pt>
                <c:pt idx="556">
                  <c:v>493.46782722065814</c:v>
                </c:pt>
                <c:pt idx="557">
                  <c:v>498.20064612974159</c:v>
                </c:pt>
                <c:pt idx="558">
                  <c:v>502.91709763600568</c:v>
                </c:pt>
                <c:pt idx="559">
                  <c:v>507.61742038900383</c:v>
                </c:pt>
                <c:pt idx="560">
                  <c:v>512.30184901793939</c:v>
                </c:pt>
                <c:pt idx="561">
                  <c:v>516.97061422912009</c:v>
                </c:pt>
                <c:pt idx="562">
                  <c:v>521.6239429004396</c:v>
                </c:pt>
                <c:pt idx="563">
                  <c:v>526.26205817299194</c:v>
                </c:pt>
                <c:pt idx="564">
                  <c:v>530.8851795399197</c:v>
                </c:pt>
                <c:pt idx="565">
                  <c:v>535.49352293259199</c:v>
                </c:pt>
                <c:pt idx="566">
                  <c:v>540.08730080420469</c:v>
                </c:pt>
                <c:pt idx="567">
                  <c:v>544.66672221089107</c:v>
                </c:pt>
                <c:pt idx="568">
                  <c:v>549.23199289042793</c:v>
                </c:pt>
                <c:pt idx="569">
                  <c:v>553.78331533861785</c:v>
                </c:pt>
                <c:pt idx="570">
                  <c:v>558.32088888342469</c:v>
                </c:pt>
                <c:pt idx="571">
                  <c:v>562.84490975693745</c:v>
                </c:pt>
                <c:pt idx="572">
                  <c:v>567.35557116523353</c:v>
                </c:pt>
                <c:pt idx="573">
                  <c:v>571.85306335620828</c:v>
                </c:pt>
                <c:pt idx="574">
                  <c:v>576.33757368543831</c:v>
                </c:pt>
                <c:pt idx="575">
                  <c:v>580.80928668013883</c:v>
                </c:pt>
                <c:pt idx="576">
                  <c:v>585.26838410127652</c:v>
                </c:pt>
                <c:pt idx="577">
                  <c:v>589.71504500389426</c:v>
                </c:pt>
                <c:pt idx="578">
                  <c:v>594.14944579570317</c:v>
                </c:pt>
                <c:pt idx="579">
                  <c:v>598.57176029399477</c:v>
                </c:pt>
                <c:pt idx="580">
                  <c:v>602.98215978092264</c:v>
                </c:pt>
                <c:pt idx="581">
                  <c:v>607.380813057203</c:v>
                </c:pt>
                <c:pt idx="582">
                  <c:v>611.76788649427931</c:v>
                </c:pt>
                <c:pt idx="583">
                  <c:v>616.14354408499571</c:v>
                </c:pt>
                <c:pt idx="584">
                  <c:v>620.50794749282124</c:v>
                </c:pt>
                <c:pt idx="585">
                  <c:v>624.86125609966507</c:v>
                </c:pt>
                <c:pt idx="586">
                  <c:v>629.20362705232196</c:v>
                </c:pt>
                <c:pt idx="587">
                  <c:v>633.5352153075836</c:v>
                </c:pt>
                <c:pt idx="588">
                  <c:v>637.85617367605221</c:v>
                </c:pt>
                <c:pt idx="589">
                  <c:v>642.16665286468947</c:v>
                </c:pt>
                <c:pt idx="590">
                  <c:v>646.46680151813223</c:v>
                </c:pt>
                <c:pt idx="591">
                  <c:v>650.75676625880646</c:v>
                </c:pt>
                <c:pt idx="592">
                  <c:v>655.03669172586785</c:v>
                </c:pt>
                <c:pt idx="593">
                  <c:v>659.30672061299606</c:v>
                </c:pt>
                <c:pt idx="594">
                  <c:v>663.5669937050701</c:v>
                </c:pt>
                <c:pt idx="595">
                  <c:v>667.81764991374803</c:v>
                </c:pt>
                <c:pt idx="596">
                  <c:v>672.05882631197585</c:v>
                </c:pt>
                <c:pt idx="597">
                  <c:v>676.29065816744628</c:v>
                </c:pt>
                <c:pt idx="598">
                  <c:v>680.51327897502938</c:v>
                </c:pt>
                <c:pt idx="599">
                  <c:v>684.72682048819365</c:v>
                </c:pt>
                <c:pt idx="600">
                  <c:v>688.93141274943684</c:v>
                </c:pt>
                <c:pt idx="601">
                  <c:v>693.12718411974254</c:v>
                </c:pt>
                <c:pt idx="602">
                  <c:v>697.31426130707894</c:v>
                </c:pt>
                <c:pt idx="603">
                  <c:v>701.49276939395486</c:v>
                </c:pt>
                <c:pt idx="604">
                  <c:v>705.66283186404507</c:v>
                </c:pt>
                <c:pt idx="605">
                  <c:v>709.82457062789945</c:v>
                </c:pt>
                <c:pt idx="606">
                  <c:v>713.97810604774452</c:v>
                </c:pt>
                <c:pt idx="607">
                  <c:v>718.12355696138957</c:v>
                </c:pt>
                <c:pt idx="608">
                  <c:v>722.2610407052448</c:v>
                </c:pt>
                <c:pt idx="609">
                  <c:v>726.39067313645978</c:v>
                </c:pt>
                <c:pt idx="610">
                  <c:v>730.51256865418861</c:v>
                </c:pt>
                <c:pt idx="611">
                  <c:v>734.62684021998655</c:v>
                </c:pt>
                <c:pt idx="612">
                  <c:v>738.73359937734358</c:v>
                </c:pt>
                <c:pt idx="613">
                  <c:v>742.83295627035636</c:v>
                </c:pt>
                <c:pt idx="614">
                  <c:v>746.92501966154134</c:v>
                </c:pt>
                <c:pt idx="615">
                  <c:v>751.00989694878979</c:v>
                </c:pt>
                <c:pt idx="616">
                  <c:v>755.08769418146369</c:v>
                </c:pt>
                <c:pt idx="617">
                  <c:v>759.15851607563047</c:v>
                </c:pt>
                <c:pt idx="618">
                  <c:v>763.22246602843484</c:v>
                </c:pt>
                <c:pt idx="619">
                  <c:v>767.27964613160225</c:v>
                </c:pt>
                <c:pt idx="620">
                  <c:v>771.33015718406932</c:v>
                </c:pt>
                <c:pt idx="621">
                  <c:v>775.37409870373438</c:v>
                </c:pt>
                <c:pt idx="622">
                  <c:v>779.41156893831987</c:v>
                </c:pt>
                <c:pt idx="623">
                  <c:v>783.44266487533844</c:v>
                </c:pt>
                <c:pt idx="624">
                  <c:v>787.46748225115141</c:v>
                </c:pt>
                <c:pt idx="625">
                  <c:v>791.48611555910838</c:v>
                </c:pt>
                <c:pt idx="626">
                  <c:v>795.49865805675518</c:v>
                </c:pt>
                <c:pt idx="627">
                  <c:v>799.50520177209569</c:v>
                </c:pt>
                <c:pt idx="628">
                  <c:v>803.50583750889302</c:v>
                </c:pt>
                <c:pt idx="629">
                  <c:v>807.50065485099265</c:v>
                </c:pt>
                <c:pt idx="630">
                  <c:v>811.48974216565045</c:v>
                </c:pt>
                <c:pt idx="631">
                  <c:v>815.47318660584699</c:v>
                </c:pt>
                <c:pt idx="632">
                  <c:v>819.45107411156766</c:v>
                </c:pt>
                <c:pt idx="633">
                  <c:v>823.42348941002899</c:v>
                </c:pt>
                <c:pt idx="634">
                  <c:v>827.39051601482822</c:v>
                </c:pt>
                <c:pt idx="635">
                  <c:v>831.35223622399519</c:v>
                </c:pt>
                <c:pt idx="636">
                  <c:v>835.30873111692256</c:v>
                </c:pt>
                <c:pt idx="637">
                  <c:v>839.2600805501512</c:v>
                </c:pt>
                <c:pt idx="638">
                  <c:v>843.20636315198738</c:v>
                </c:pt>
                <c:pt idx="639">
                  <c:v>847.14765631592809</c:v>
                </c:pt>
                <c:pt idx="640">
                  <c:v>851.08403619287014</c:v>
                </c:pt>
                <c:pt idx="641">
                  <c:v>855.01557768208113</c:v>
                </c:pt>
                <c:pt idx="642">
                  <c:v>858.94235442091008</c:v>
                </c:pt>
                <c:pt idx="643">
                  <c:v>862.86443877321619</c:v>
                </c:pt>
                <c:pt idx="644">
                  <c:v>866.78190181649779</c:v>
                </c:pt>
                <c:pt idx="645">
                  <c:v>870.69481332770363</c:v>
                </c:pt>
                <c:pt idx="646">
                  <c:v>874.60324176771394</c:v>
                </c:pt>
                <c:pt idx="647">
                  <c:v>878.50725426447912</c:v>
                </c:pt>
                <c:pt idx="648">
                  <c:v>882.40691659481149</c:v>
                </c:pt>
                <c:pt idx="649">
                  <c:v>886.30229316482769</c:v>
                </c:pt>
                <c:pt idx="650">
                  <c:v>890.19344698904672</c:v>
                </c:pt>
                <c:pt idx="651">
                  <c:v>894.08043966815444</c:v>
                </c:pt>
                <c:pt idx="652">
                  <c:v>897.96333136545468</c:v>
                </c:pt>
                <c:pt idx="653">
                  <c:v>901.84218078203276</c:v>
                </c:pt>
                <c:pt idx="654">
                  <c:v>905.71704513067118</c:v>
                </c:pt>
                <c:pt idx="655">
                  <c:v>909.58798010856401</c:v>
                </c:pt>
                <c:pt idx="656">
                  <c:v>913.45503986889219</c:v>
                </c:pt>
                <c:pt idx="657">
                  <c:v>917.31827699133248</c:v>
                </c:pt>
                <c:pt idx="658">
                  <c:v>921.17774245158921</c:v>
                </c:pt>
                <c:pt idx="659">
                  <c:v>925.03348559005178</c:v>
                </c:pt>
                <c:pt idx="660">
                  <c:v>928.88555407969795</c:v>
                </c:pt>
                <c:pt idx="661">
                  <c:v>932.73399389338056</c:v>
                </c:pt>
                <c:pt idx="662">
                  <c:v>936.57884927065163</c:v>
                </c:pt>
                <c:pt idx="663">
                  <c:v>940.42016268429734</c:v>
                </c:pt>
                <c:pt idx="664">
                  <c:v>944.2579748067742</c:v>
                </c:pt>
                <c:pt idx="665">
                  <c:v>948.09232447675674</c:v>
                </c:pt>
                <c:pt idx="666">
                  <c:v>951.92324866602053</c:v>
                </c:pt>
                <c:pt idx="667">
                  <c:v>955.75078244690519</c:v>
                </c:pt>
                <c:pt idx="668">
                  <c:v>959.57495896061164</c:v>
                </c:pt>
                <c:pt idx="669">
                  <c:v>963.39580938660413</c:v>
                </c:pt>
                <c:pt idx="670">
                  <c:v>967.21336291339435</c:v>
                </c:pt>
                <c:pt idx="671">
                  <c:v>971.02764671099362</c:v>
                </c:pt>
                <c:pt idx="672">
                  <c:v>974.83868590531995</c:v>
                </c:pt>
                <c:pt idx="673">
                  <c:v>978.64650355484662</c:v>
                </c:pt>
                <c:pt idx="674">
                  <c:v>982.45112062977364</c:v>
                </c:pt>
                <c:pt idx="675">
                  <c:v>986.25255599399088</c:v>
                </c:pt>
                <c:pt idx="676">
                  <c:v>990.05082639008856</c:v>
                </c:pt>
                <c:pt idx="677">
                  <c:v>993.84594642764898</c:v>
                </c:pt>
                <c:pt idx="678">
                  <c:v>997.6379285750287</c:v>
                </c:pt>
                <c:pt idx="679">
                  <c:v>1001.4267831548117</c:v>
                </c:pt>
                <c:pt idx="680">
                  <c:v>1005.2125183430788</c:v>
                </c:pt>
                <c:pt idx="681">
                  <c:v>1008.9951401726049</c:v>
                </c:pt>
                <c:pt idx="682">
                  <c:v>1012.7746525400527</c:v>
                </c:pt>
                <c:pt idx="683">
                  <c:v>1016.5510572171949</c:v>
                </c:pt>
                <c:pt idx="684">
                  <c:v>1020.3243538661509</c:v>
                </c:pt>
                <c:pt idx="685">
                  <c:v>1024.094540058587</c:v>
                </c:pt>
                <c:pt idx="686">
                  <c:v>1027.8616112987847</c:v>
                </c:pt>
                <c:pt idx="687">
                  <c:v>1031.6255610504472</c:v>
                </c:pt>
                <c:pt idx="688">
                  <c:v>1035.3863807670762</c:v>
                </c:pt>
                <c:pt idx="689">
                  <c:v>1039.1440599257228</c:v>
                </c:pt>
                <c:pt idx="690">
                  <c:v>1042.8985860638859</c:v>
                </c:pt>
                <c:pt idx="691">
                  <c:v>1046.6499448193097</c:v>
                </c:pt>
                <c:pt idx="692">
                  <c:v>1050.3981199724151</c:v>
                </c:pt>
                <c:pt idx="693">
                  <c:v>1054.1430934910882</c:v>
                </c:pt>
                <c:pt idx="694">
                  <c:v>1057.8848455775362</c:v>
                </c:pt>
                <c:pt idx="695">
                  <c:v>1061.6233547169245</c:v>
                </c:pt>
                <c:pt idx="696">
                  <c:v>1065.3585977275043</c:v>
                </c:pt>
                <c:pt idx="697">
                  <c:v>1069.0905498119491</c:v>
                </c:pt>
                <c:pt idx="698">
                  <c:v>1072.8191846096249</c:v>
                </c:pt>
                <c:pt idx="699">
                  <c:v>1076.5444742495326</c:v>
                </c:pt>
                <c:pt idx="700">
                  <c:v>1080.2663894036725</c:v>
                </c:pt>
                <c:pt idx="701">
                  <c:v>1083.9848993405999</c:v>
                </c:pt>
                <c:pt idx="702">
                  <c:v>1087.6999719789565</c:v>
                </c:pt>
                <c:pt idx="703">
                  <c:v>1091.41157394078</c:v>
                </c:pt>
                <c:pt idx="704">
                  <c:v>1095.1196706044161</c:v>
                </c:pt>
                <c:pt idx="705">
                  <c:v>1098.8242261568712</c:v>
                </c:pt>
                <c:pt idx="706">
                  <c:v>1102.5252036454676</c:v>
                </c:pt>
                <c:pt idx="707">
                  <c:v>1106.2225650286789</c:v>
                </c:pt>
                <c:pt idx="708">
                  <c:v>1109.9162712260395</c:v>
                </c:pt>
                <c:pt idx="709">
                  <c:v>1113.6062821670407</c:v>
                </c:pt>
                <c:pt idx="710">
                  <c:v>1117.2925568389401</c:v>
                </c:pt>
                <c:pt idx="711">
                  <c:v>1120.975053333425</c:v>
                </c:pt>
                <c:pt idx="712">
                  <c:v>1124.6537288920854</c:v>
                </c:pt>
                <c:pt idx="713">
                  <c:v>1128.3285399506606</c:v>
                </c:pt>
                <c:pt idx="714">
                  <c:v>1131.9994421820379</c:v>
                </c:pt>
                <c:pt idx="715">
                  <c:v>1135.6663905379889</c:v>
                </c:pt>
                <c:pt idx="716">
                  <c:v>1139.3293392896371</c:v>
                </c:pt>
                <c:pt idx="717">
                  <c:v>1142.9882420666609</c:v>
                </c:pt>
                <c:pt idx="718">
                  <c:v>1146.6430518952393</c:v>
                </c:pt>
                <c:pt idx="719">
                  <c:v>1150.2937212347533</c:v>
                </c:pt>
                <c:pt idx="720">
                  <c:v>1153.9402020132625</c:v>
                </c:pt>
                <c:pt idx="721">
                  <c:v>1157.582445661779</c:v>
                </c:pt>
                <c:pt idx="722">
                  <c:v>1161.2204031473652</c:v>
                </c:pt>
                <c:pt idx="723">
                  <c:v>1164.8540250050801</c:v>
                </c:pt>
                <c:pt idx="724">
                  <c:v>1168.4832613688093</c:v>
                </c:pt>
                <c:pt idx="725">
                  <c:v>1172.1080620010057</c:v>
                </c:pt>
                <c:pt idx="726">
                  <c:v>1175.7283763213763</c:v>
                </c:pt>
                <c:pt idx="727">
                  <c:v>1179.3441534345477</c:v>
                </c:pt>
                <c:pt idx="728">
                  <c:v>1182.9553421567434</c:v>
                </c:pt>
                <c:pt idx="729">
                  <c:v>1186.5618910415094</c:v>
                </c:pt>
                <c:pt idx="730">
                  <c:v>1190.1637484045184</c:v>
                </c:pt>
                <c:pt idx="731">
                  <c:v>1193.7608623474889</c:v>
                </c:pt>
                <c:pt idx="732">
                  <c:v>1197.3531807812512</c:v>
                </c:pt>
                <c:pt idx="733">
                  <c:v>1200.9406514479931</c:v>
                </c:pt>
                <c:pt idx="734">
                  <c:v>1204.5232219427164</c:v>
                </c:pt>
                <c:pt idx="735">
                  <c:v>1208.1008397339365</c:v>
                </c:pt>
                <c:pt idx="736">
                  <c:v>1211.6734521836534</c:v>
                </c:pt>
                <c:pt idx="737">
                  <c:v>1215.2410065666245</c:v>
                </c:pt>
                <c:pt idx="738">
                  <c:v>1218.8034500889685</c:v>
                </c:pt>
                <c:pt idx="739">
                  <c:v>1222.3607299061234</c:v>
                </c:pt>
                <c:pt idx="740">
                  <c:v>1225.9127931401906</c:v>
                </c:pt>
                <c:pt idx="741">
                  <c:v>1229.4595868966853</c:v>
                </c:pt>
                <c:pt idx="742">
                  <c:v>1233.0010582807206</c:v>
                </c:pt>
                <c:pt idx="743">
                  <c:v>1236.5371544126465</c:v>
                </c:pt>
                <c:pt idx="744">
                  <c:v>1240.0678224431683</c:v>
                </c:pt>
                <c:pt idx="745">
                  <c:v>1243.5930095679628</c:v>
                </c:pt>
                <c:pt idx="746">
                  <c:v>1247.1126630418153</c:v>
                </c:pt>
                <c:pt idx="747">
                  <c:v>1250.6267301922951</c:v>
                </c:pt>
                <c:pt idx="748">
                  <c:v>1254.1351584329898</c:v>
                </c:pt>
                <c:pt idx="749">
                  <c:v>1257.6378952763132</c:v>
                </c:pt>
                <c:pt idx="750">
                  <c:v>1261.1348883459075</c:v>
                </c:pt>
                <c:pt idx="751">
                  <c:v>1264.6260853886524</c:v>
                </c:pt>
                <c:pt idx="752">
                  <c:v>1268.1114342862991</c:v>
                </c:pt>
                <c:pt idx="753">
                  <c:v>1271.5908830667422</c:v>
                </c:pt>
                <c:pt idx="754">
                  <c:v>1275.0643799149439</c:v>
                </c:pt>
                <c:pt idx="755">
                  <c:v>1278.5318731835232</c:v>
                </c:pt>
                <c:pt idx="756">
                  <c:v>1281.9933114030248</c:v>
                </c:pt>
                <c:pt idx="757">
                  <c:v>1285.4486432918761</c:v>
                </c:pt>
                <c:pt idx="758">
                  <c:v>1288.8978177660472</c:v>
                </c:pt>
                <c:pt idx="759">
                  <c:v>1292.3407839484223</c:v>
                </c:pt>
                <c:pt idx="760">
                  <c:v>1295.7774911778945</c:v>
                </c:pt>
                <c:pt idx="761">
                  <c:v>1299.207889018192</c:v>
                </c:pt>
                <c:pt idx="762">
                  <c:v>1302.6319272664468</c:v>
                </c:pt>
                <c:pt idx="763">
                  <c:v>1306.0495559615142</c:v>
                </c:pt>
                <c:pt idx="764">
                  <c:v>1309.4607253920499</c:v>
                </c:pt>
                <c:pt idx="765">
                  <c:v>1312.8653861043556</c:v>
                </c:pt>
                <c:pt idx="766">
                  <c:v>1316.2634889099988</c:v>
                </c:pt>
                <c:pt idx="767">
                  <c:v>1319.6549848932141</c:v>
                </c:pt>
                <c:pt idx="768">
                  <c:v>1323.039825418093</c:v>
                </c:pt>
                <c:pt idx="769">
                  <c:v>1326.4179621355697</c:v>
                </c:pt>
                <c:pt idx="770">
                  <c:v>1329.7893469902085</c:v>
                </c:pt>
                <c:pt idx="771">
                  <c:v>1333.1539322267975</c:v>
                </c:pt>
                <c:pt idx="772">
                  <c:v>1336.5116703967558</c:v>
                </c:pt>
                <c:pt idx="773">
                  <c:v>1339.8625143643608</c:v>
                </c:pt>
                <c:pt idx="774">
                  <c:v>1343.206417312796</c:v>
                </c:pt>
                <c:pt idx="775">
                  <c:v>1346.54333275003</c:v>
                </c:pt>
                <c:pt idx="776">
                  <c:v>1349.873214514527</c:v>
                </c:pt>
                <c:pt idx="777">
                  <c:v>1353.1960167807954</c:v>
                </c:pt>
                <c:pt idx="778">
                  <c:v>1356.5116940647772</c:v>
                </c:pt>
                <c:pt idx="779">
                  <c:v>1359.8202012290847</c:v>
                </c:pt>
                <c:pt idx="780">
                  <c:v>1363.1214934880852</c:v>
                </c:pt>
                <c:pt idx="781">
                  <c:v>1366.4155264128399</c:v>
                </c:pt>
                <c:pt idx="782">
                  <c:v>1369.7022559358982</c:v>
                </c:pt>
                <c:pt idx="783">
                  <c:v>1372.9816383559539</c:v>
                </c:pt>
                <c:pt idx="784">
                  <c:v>1376.2536303423626</c:v>
                </c:pt>
                <c:pt idx="785">
                  <c:v>1379.5181889395267</c:v>
                </c:pt>
                <c:pt idx="786">
                  <c:v>1382.7752715711486</c:v>
                </c:pt>
                <c:pt idx="787">
                  <c:v>1386.0248360443561</c:v>
                </c:pt>
                <c:pt idx="788">
                  <c:v>1389.2668405537033</c:v>
                </c:pt>
                <c:pt idx="789">
                  <c:v>1392.5012436850463</c:v>
                </c:pt>
                <c:pt idx="790">
                  <c:v>1395.7280044193005</c:v>
                </c:pt>
                <c:pt idx="791">
                  <c:v>1398.9470821360792</c:v>
                </c:pt>
                <c:pt idx="792">
                  <c:v>1402.1584366172153</c:v>
                </c:pt>
                <c:pt idx="793">
                  <c:v>1405.3620280501707</c:v>
                </c:pt>
                <c:pt idx="794">
                  <c:v>1408.5578170313329</c:v>
                </c:pt>
                <c:pt idx="795">
                  <c:v>1411.7457645692023</c:v>
                </c:pt>
                <c:pt idx="796">
                  <c:v>1414.9258320874715</c:v>
                </c:pt>
                <c:pt idx="797">
                  <c:v>1418.097981427999</c:v>
                </c:pt>
                <c:pt idx="798">
                  <c:v>1421.2621748536778</c:v>
                </c:pt>
                <c:pt idx="799">
                  <c:v>1424.4183750512025</c:v>
                </c:pt>
                <c:pt idx="800">
                  <c:v>1427.5665451337343</c:v>
                </c:pt>
                <c:pt idx="801">
                  <c:v>1430.7066486434678</c:v>
                </c:pt>
                <c:pt idx="802">
                  <c:v>1433.838649554099</c:v>
                </c:pt>
                <c:pt idx="803">
                  <c:v>1436.9625122731979</c:v>
                </c:pt>
                <c:pt idx="804">
                  <c:v>1440.078201644485</c:v>
                </c:pt>
                <c:pt idx="805">
                  <c:v>1443.1856829500157</c:v>
                </c:pt>
                <c:pt idx="806">
                  <c:v>1446.2849219122704</c:v>
                </c:pt>
                <c:pt idx="807">
                  <c:v>1449.3758846961562</c:v>
                </c:pt>
                <c:pt idx="808">
                  <c:v>1452.4585379109164</c:v>
                </c:pt>
                <c:pt idx="809">
                  <c:v>1455.5328486119538</c:v>
                </c:pt>
                <c:pt idx="810">
                  <c:v>1458.5987843025646</c:v>
                </c:pt>
                <c:pt idx="811">
                  <c:v>1461.6563129355875</c:v>
                </c:pt>
                <c:pt idx="812">
                  <c:v>1464.7054029149679</c:v>
                </c:pt>
                <c:pt idx="813">
                  <c:v>1467.7460230972365</c:v>
                </c:pt>
                <c:pt idx="814">
                  <c:v>1470.7781427929071</c:v>
                </c:pt>
                <c:pt idx="815">
                  <c:v>1473.8017317677916</c:v>
                </c:pt>
                <c:pt idx="816">
                  <c:v>1476.8167602442329</c:v>
                </c:pt>
                <c:pt idx="817">
                  <c:v>1479.8231989022611</c:v>
                </c:pt>
                <c:pt idx="818">
                  <c:v>1482.821018880667</c:v>
                </c:pt>
                <c:pt idx="819">
                  <c:v>1485.8101917780009</c:v>
                </c:pt>
                <c:pt idx="820">
                  <c:v>1488.7906896534926</c:v>
                </c:pt>
                <c:pt idx="821">
                  <c:v>1491.7624850278955</c:v>
                </c:pt>
                <c:pt idx="822">
                  <c:v>1494.7255508842563</c:v>
                </c:pt>
                <c:pt idx="823">
                  <c:v>1497.6798606686095</c:v>
                </c:pt>
                <c:pt idx="824">
                  <c:v>1500.6253882905987</c:v>
                </c:pt>
                <c:pt idx="825">
                  <c:v>1503.5621081240261</c:v>
                </c:pt>
                <c:pt idx="826">
                  <c:v>1506.4899950073286</c:v>
                </c:pt>
                <c:pt idx="827">
                  <c:v>1509.409024243985</c:v>
                </c:pt>
                <c:pt idx="828">
                  <c:v>1512.3191716028509</c:v>
                </c:pt>
                <c:pt idx="829">
                  <c:v>1515.2204133184266</c:v>
                </c:pt>
                <c:pt idx="830">
                  <c:v>1518.1127260910546</c:v>
                </c:pt>
                <c:pt idx="831">
                  <c:v>1520.9960870870505</c:v>
                </c:pt>
                <c:pt idx="832">
                  <c:v>1523.8704739387667</c:v>
                </c:pt>
                <c:pt idx="833">
                  <c:v>1526.7358647445901</c:v>
                </c:pt>
                <c:pt idx="834">
                  <c:v>1529.5922380688737</c:v>
                </c:pt>
                <c:pt idx="835">
                  <c:v>1532.439572941805</c:v>
                </c:pt>
                <c:pt idx="836">
                  <c:v>1535.2778488592087</c:v>
                </c:pt>
                <c:pt idx="837">
                  <c:v>1538.1070457822882</c:v>
                </c:pt>
                <c:pt idx="838">
                  <c:v>1540.9271441373037</c:v>
                </c:pt>
                <c:pt idx="839">
                  <c:v>1543.7381248151887</c:v>
                </c:pt>
                <c:pt idx="840">
                  <c:v>1546.5399691711059</c:v>
                </c:pt>
                <c:pt idx="841">
                  <c:v>1549.3326590239433</c:v>
                </c:pt>
                <c:pt idx="842">
                  <c:v>1552.1161766557495</c:v>
                </c:pt>
                <c:pt idx="843">
                  <c:v>1554.8905048111126</c:v>
                </c:pt>
                <c:pt idx="844">
                  <c:v>1557.655626696479</c:v>
                </c:pt>
                <c:pt idx="845">
                  <c:v>1560.4115259794162</c:v>
                </c:pt>
                <c:pt idx="846">
                  <c:v>1563.1581867878185</c:v>
                </c:pt>
                <c:pt idx="847">
                  <c:v>1565.8955937090579</c:v>
                </c:pt>
                <c:pt idx="848">
                  <c:v>1568.6237317890786</c:v>
                </c:pt>
                <c:pt idx="849">
                  <c:v>1571.3425865314377</c:v>
                </c:pt>
                <c:pt idx="850">
                  <c:v>1574.0521438962928</c:v>
                </c:pt>
                <c:pt idx="851">
                  <c:v>1576.7523902993357</c:v>
                </c:pt>
                <c:pt idx="852">
                  <c:v>1579.4433126106751</c:v>
                </c:pt>
                <c:pt idx="853">
                  <c:v>1582.1248981536662</c:v>
                </c:pt>
                <c:pt idx="854">
                  <c:v>1584.7971347036912</c:v>
                </c:pt>
                <c:pt idx="855">
                  <c:v>1587.4600104868885</c:v>
                </c:pt>
                <c:pt idx="856">
                  <c:v>1590.1135141788325</c:v>
                </c:pt>
                <c:pt idx="857">
                  <c:v>1592.7576349031663</c:v>
                </c:pt>
                <c:pt idx="858">
                  <c:v>1595.3923622301843</c:v>
                </c:pt>
                <c:pt idx="859">
                  <c:v>1598.0176861753685</c:v>
                </c:pt>
                <c:pt idx="860">
                  <c:v>1600.6335971978785</c:v>
                </c:pt>
                <c:pt idx="861">
                  <c:v>1603.2400861989959</c:v>
                </c:pt>
                <c:pt idx="862">
                  <c:v>1605.8371445205219</c:v>
                </c:pt>
                <c:pt idx="863">
                  <c:v>1608.4247639431321</c:v>
                </c:pt>
                <c:pt idx="864">
                  <c:v>1611.0029366846873</c:v>
                </c:pt>
                <c:pt idx="865">
                  <c:v>1613.5716553985001</c:v>
                </c:pt>
                <c:pt idx="866">
                  <c:v>1616.1309131715611</c:v>
                </c:pt>
                <c:pt idx="867">
                  <c:v>1618.6807035227216</c:v>
                </c:pt>
                <c:pt idx="868">
                  <c:v>1621.2210204008359</c:v>
                </c:pt>
                <c:pt idx="869">
                  <c:v>1623.7518581828642</c:v>
                </c:pt>
                <c:pt idx="870">
                  <c:v>1626.2732116719351</c:v>
                </c:pt>
                <c:pt idx="871">
                  <c:v>1628.7850760953688</c:v>
                </c:pt>
                <c:pt idx="872">
                  <c:v>1631.2874471026637</c:v>
                </c:pt>
                <c:pt idx="873">
                  <c:v>1633.7803207634438</c:v>
                </c:pt>
                <c:pt idx="874">
                  <c:v>1636.2636935653709</c:v>
                </c:pt>
                <c:pt idx="875">
                  <c:v>1638.7375624120193</c:v>
                </c:pt>
                <c:pt idx="876">
                  <c:v>1641.2019246207162</c:v>
                </c:pt>
                <c:pt idx="877">
                  <c:v>1643.6567779203472</c:v>
                </c:pt>
                <c:pt idx="878">
                  <c:v>1646.1021204491269</c:v>
                </c:pt>
                <c:pt idx="879">
                  <c:v>1648.537950752338</c:v>
                </c:pt>
                <c:pt idx="880">
                  <c:v>1650.9642677800359</c:v>
                </c:pt>
                <c:pt idx="881">
                  <c:v>1653.3810708847227</c:v>
                </c:pt>
                <c:pt idx="882">
                  <c:v>1655.7883598189892</c:v>
                </c:pt>
                <c:pt idx="883">
                  <c:v>1658.1861347331269</c:v>
                </c:pt>
                <c:pt idx="884">
                  <c:v>1660.5743961727096</c:v>
                </c:pt>
                <c:pt idx="885">
                  <c:v>1662.9531450761469</c:v>
                </c:pt>
                <c:pt idx="886">
                  <c:v>1665.3223827722077</c:v>
                </c:pt>
                <c:pt idx="887">
                  <c:v>1667.6821109775167</c:v>
                </c:pt>
                <c:pt idx="888">
                  <c:v>1670.0323317940242</c:v>
                </c:pt>
                <c:pt idx="889">
                  <c:v>1672.3730477064485</c:v>
                </c:pt>
                <c:pt idx="890">
                  <c:v>1674.7042615796934</c:v>
                </c:pt>
                <c:pt idx="891">
                  <c:v>1677.0259766562399</c:v>
                </c:pt>
                <c:pt idx="892">
                  <c:v>1679.3381965535139</c:v>
                </c:pt>
                <c:pt idx="893">
                  <c:v>1681.6409252612298</c:v>
                </c:pt>
                <c:pt idx="894">
                  <c:v>1683.9341671387112</c:v>
                </c:pt>
                <c:pt idx="895">
                  <c:v>1686.2179269121898</c:v>
                </c:pt>
                <c:pt idx="896">
                  <c:v>1688.4922096720804</c:v>
                </c:pt>
                <c:pt idx="897">
                  <c:v>1690.7570208702377</c:v>
                </c:pt>
                <c:pt idx="898">
                  <c:v>1693.0123663171905</c:v>
                </c:pt>
                <c:pt idx="899">
                  <c:v>1695.2582521793568</c:v>
                </c:pt>
                <c:pt idx="900">
                  <c:v>1697.4946849762396</c:v>
                </c:pt>
                <c:pt idx="901">
                  <c:v>1699.7216715776044</c:v>
                </c:pt>
                <c:pt idx="902">
                  <c:v>1701.9392192006389</c:v>
                </c:pt>
                <c:pt idx="903">
                  <c:v>1704.1473354070947</c:v>
                </c:pt>
                <c:pt idx="904">
                  <c:v>1706.3460281004129</c:v>
                </c:pt>
                <c:pt idx="905">
                  <c:v>1708.5353055228347</c:v>
                </c:pt>
                <c:pt idx="906">
                  <c:v>1710.7151762524945</c:v>
                </c:pt>
                <c:pt idx="907">
                  <c:v>1712.8856492005002</c:v>
                </c:pt>
                <c:pt idx="908">
                  <c:v>1715.0467336079982</c:v>
                </c:pt>
                <c:pt idx="909">
                  <c:v>1717.1984390432258</c:v>
                </c:pt>
                <c:pt idx="910">
                  <c:v>1719.34077539855</c:v>
                </c:pt>
                <c:pt idx="911">
                  <c:v>1721.4737528874946</c:v>
                </c:pt>
                <c:pt idx="912">
                  <c:v>1723.5973820417548</c:v>
                </c:pt>
                <c:pt idx="913">
                  <c:v>1725.7116737082022</c:v>
                </c:pt>
                <c:pt idx="914">
                  <c:v>1727.8166390458775</c:v>
                </c:pt>
                <c:pt idx="915">
                  <c:v>1729.9122895229748</c:v>
                </c:pt>
                <c:pt idx="916">
                  <c:v>1731.9986369138155</c:v>
                </c:pt>
                <c:pt idx="917">
                  <c:v>1734.075693295815</c:v>
                </c:pt>
                <c:pt idx="918">
                  <c:v>1736.1434710464391</c:v>
                </c:pt>
                <c:pt idx="919">
                  <c:v>1738.2019828401549</c:v>
                </c:pt>
                <c:pt idx="920">
                  <c:v>1740.2512416453735</c:v>
                </c:pt>
                <c:pt idx="921">
                  <c:v>1742.2912607213864</c:v>
                </c:pt>
                <c:pt idx="922">
                  <c:v>1744.3220536152967</c:v>
                </c:pt>
                <c:pt idx="923">
                  <c:v>1746.3436341589438</c:v>
                </c:pt>
                <c:pt idx="924">
                  <c:v>1748.3560164658245</c:v>
                </c:pt>
                <c:pt idx="925">
                  <c:v>1750.3592149280091</c:v>
                </c:pt>
                <c:pt idx="926">
                  <c:v>1752.353244213054</c:v>
                </c:pt>
                <c:pt idx="927">
                  <c:v>1754.3381192609113</c:v>
                </c:pt>
                <c:pt idx="928">
                  <c:v>1756.3138552808352</c:v>
                </c:pt>
                <c:pt idx="929">
                  <c:v>1758.2804677482873</c:v>
                </c:pt>
                <c:pt idx="930">
                  <c:v>1760.2379724018388</c:v>
                </c:pt>
                <c:pt idx="931">
                  <c:v>1762.1863852400729</c:v>
                </c:pt>
                <c:pt idx="932">
                  <c:v>1764.1257225184859</c:v>
                </c:pt>
                <c:pt idx="933">
                  <c:v>1766.0560007463882</c:v>
                </c:pt>
                <c:pt idx="934">
                  <c:v>1767.9772366838065</c:v>
                </c:pt>
                <c:pt idx="935">
                  <c:v>1769.889447338385</c:v>
                </c:pt>
                <c:pt idx="936">
                  <c:v>1771.7926499622899</c:v>
                </c:pt>
                <c:pt idx="937">
                  <c:v>1773.6868620491148</c:v>
                </c:pt>
                <c:pt idx="938">
                  <c:v>1775.572101330788</c:v>
                </c:pt>
                <c:pt idx="939">
                  <c:v>1777.4483857744835</c:v>
                </c:pt>
                <c:pt idx="940">
                  <c:v>1779.3157335795345</c:v>
                </c:pt>
                <c:pt idx="941">
                  <c:v>1781.17416317435</c:v>
                </c:pt>
                <c:pt idx="942">
                  <c:v>1783.0236932133373</c:v>
                </c:pt>
                <c:pt idx="943">
                  <c:v>1783.0236932133373</c:v>
                </c:pt>
                <c:pt idx="944">
                  <c:v>1783.0236932133373</c:v>
                </c:pt>
                <c:pt idx="945">
                  <c:v>1783.0236932133373</c:v>
                </c:pt>
                <c:pt idx="946">
                  <c:v>1783.0236932133373</c:v>
                </c:pt>
                <c:pt idx="947">
                  <c:v>1783.0236932133373</c:v>
                </c:pt>
                <c:pt idx="948">
                  <c:v>1783.0236932133373</c:v>
                </c:pt>
                <c:pt idx="949">
                  <c:v>1783.0236932133373</c:v>
                </c:pt>
                <c:pt idx="950">
                  <c:v>1783.0236932133373</c:v>
                </c:pt>
                <c:pt idx="951">
                  <c:v>1783.0236932133373</c:v>
                </c:pt>
                <c:pt idx="952">
                  <c:v>1783.0236932133373</c:v>
                </c:pt>
                <c:pt idx="953">
                  <c:v>1783.0236932133373</c:v>
                </c:pt>
                <c:pt idx="954">
                  <c:v>1783.0236932133373</c:v>
                </c:pt>
                <c:pt idx="955">
                  <c:v>1783.0236932133373</c:v>
                </c:pt>
                <c:pt idx="956">
                  <c:v>1783.0236932133373</c:v>
                </c:pt>
                <c:pt idx="957">
                  <c:v>1783.0236932133373</c:v>
                </c:pt>
                <c:pt idx="958">
                  <c:v>1783.0236932133373</c:v>
                </c:pt>
                <c:pt idx="959">
                  <c:v>1783.0236932133373</c:v>
                </c:pt>
                <c:pt idx="960">
                  <c:v>1783.0236932133373</c:v>
                </c:pt>
                <c:pt idx="961">
                  <c:v>1783.0236932133373</c:v>
                </c:pt>
                <c:pt idx="962">
                  <c:v>1783.0236932133373</c:v>
                </c:pt>
                <c:pt idx="963">
                  <c:v>1783.0236932133373</c:v>
                </c:pt>
                <c:pt idx="964">
                  <c:v>1783.0236932133373</c:v>
                </c:pt>
                <c:pt idx="965">
                  <c:v>1783.0236932133373</c:v>
                </c:pt>
                <c:pt idx="966">
                  <c:v>1783.0236932133373</c:v>
                </c:pt>
                <c:pt idx="967">
                  <c:v>1783.0236932133373</c:v>
                </c:pt>
                <c:pt idx="968">
                  <c:v>1783.0236932133373</c:v>
                </c:pt>
                <c:pt idx="969">
                  <c:v>1783.0236932133373</c:v>
                </c:pt>
                <c:pt idx="970">
                  <c:v>1783.0236932133373</c:v>
                </c:pt>
                <c:pt idx="971">
                  <c:v>1783.0236932133373</c:v>
                </c:pt>
                <c:pt idx="972">
                  <c:v>1783.0236932133373</c:v>
                </c:pt>
                <c:pt idx="973">
                  <c:v>1783.0236932133373</c:v>
                </c:pt>
                <c:pt idx="974">
                  <c:v>1783.0236932133373</c:v>
                </c:pt>
                <c:pt idx="975">
                  <c:v>1783.0236932133373</c:v>
                </c:pt>
                <c:pt idx="976">
                  <c:v>1783.0236932133373</c:v>
                </c:pt>
                <c:pt idx="977">
                  <c:v>1783.0236932133373</c:v>
                </c:pt>
                <c:pt idx="978">
                  <c:v>1783.0236932133373</c:v>
                </c:pt>
                <c:pt idx="979">
                  <c:v>1783.0236932133373</c:v>
                </c:pt>
                <c:pt idx="980">
                  <c:v>1783.0236932133373</c:v>
                </c:pt>
                <c:pt idx="981">
                  <c:v>1783.0236932133373</c:v>
                </c:pt>
                <c:pt idx="982">
                  <c:v>1783.0236932133373</c:v>
                </c:pt>
                <c:pt idx="983">
                  <c:v>1783.0236932133373</c:v>
                </c:pt>
                <c:pt idx="984">
                  <c:v>1783.0236932133373</c:v>
                </c:pt>
                <c:pt idx="985">
                  <c:v>1783.0236932133373</c:v>
                </c:pt>
                <c:pt idx="986">
                  <c:v>1783.0236932133373</c:v>
                </c:pt>
                <c:pt idx="987">
                  <c:v>1783.0236932133373</c:v>
                </c:pt>
                <c:pt idx="988">
                  <c:v>1783.0236932133373</c:v>
                </c:pt>
                <c:pt idx="989">
                  <c:v>1783.0236932133373</c:v>
                </c:pt>
                <c:pt idx="990">
                  <c:v>1783.0236932133373</c:v>
                </c:pt>
                <c:pt idx="991">
                  <c:v>1783.0236932133373</c:v>
                </c:pt>
                <c:pt idx="992">
                  <c:v>1783.0236932133373</c:v>
                </c:pt>
                <c:pt idx="993">
                  <c:v>1783.0236932133373</c:v>
                </c:pt>
                <c:pt idx="994">
                  <c:v>1783.0236932133373</c:v>
                </c:pt>
                <c:pt idx="995">
                  <c:v>1783.0236932133373</c:v>
                </c:pt>
                <c:pt idx="996">
                  <c:v>1783.0236932133373</c:v>
                </c:pt>
                <c:pt idx="997">
                  <c:v>1783.0236932133373</c:v>
                </c:pt>
                <c:pt idx="998">
                  <c:v>1783.0236932133373</c:v>
                </c:pt>
                <c:pt idx="999">
                  <c:v>1783.0236932133373</c:v>
                </c:pt>
                <c:pt idx="1000">
                  <c:v>1783.0236932133373</c:v>
                </c:pt>
              </c:numCache>
            </c:numRef>
          </c:xVal>
          <c:yVal>
            <c:numRef>
              <c:f>Calculs!$AE$4:$AE$1004</c:f>
              <c:numCache>
                <c:formatCode>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222.54836174726168</c:v>
                </c:pt>
              </c:numCache>
            </c:numRef>
          </c:xVal>
          <c:yVal>
            <c:numRef>
              <c:f>Trajecto!$C$155</c:f>
              <c:numCache>
                <c:formatCode>0</c:formatCode>
                <c:ptCount val="1"/>
                <c:pt idx="0">
                  <c:v>1323.7688827159311</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1522.4913898604955</c:v>
                </c:pt>
              </c:numCache>
            </c:numRef>
          </c:xVal>
          <c:yVal>
            <c:numRef>
              <c:f>Trajecto!$C$156</c:f>
              <c:numCache>
                <c:formatCode>0</c:formatCode>
                <c:ptCount val="1"/>
                <c:pt idx="0">
                  <c:v>1345.1963651983237</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{C1CE3C83-2453-4F22-AE45-B8FA83DC7D23}</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1001.4267831548117</c:v>
                </c:pt>
                <c:pt idx="1">
                  <c:v>1024.4267831548118</c:v>
                </c:pt>
                <c:pt idx="2">
                  <c:v>1024.4267831548118</c:v>
                </c:pt>
                <c:pt idx="3">
                  <c:v>1001.4267831548117</c:v>
                </c:pt>
                <c:pt idx="4">
                  <c:v>1024.4267831548118</c:v>
                </c:pt>
                <c:pt idx="5">
                  <c:v>1024.4267831548118</c:v>
                </c:pt>
                <c:pt idx="6">
                  <c:v>1009.4267831548117</c:v>
                </c:pt>
                <c:pt idx="7">
                  <c:v>1009.4267831548117</c:v>
                </c:pt>
                <c:pt idx="8">
                  <c:v>1024.4267831548118</c:v>
                </c:pt>
                <c:pt idx="9">
                  <c:v>1009.4267831548117</c:v>
                </c:pt>
                <c:pt idx="10">
                  <c:v>1009.0267831548117</c:v>
                </c:pt>
                <c:pt idx="11">
                  <c:v>1008.2267831548116</c:v>
                </c:pt>
                <c:pt idx="12">
                  <c:v>1007.4267831548117</c:v>
                </c:pt>
                <c:pt idx="13">
                  <c:v>1006.4267831548117</c:v>
                </c:pt>
                <c:pt idx="14">
                  <c:v>1005.2267831548116</c:v>
                </c:pt>
                <c:pt idx="15">
                  <c:v>1001.4267831548117</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1001.4267831548117</c:v>
                </c:pt>
                <c:pt idx="1">
                  <c:v>978.42678315481169</c:v>
                </c:pt>
                <c:pt idx="2">
                  <c:v>978.42678315481169</c:v>
                </c:pt>
                <c:pt idx="3">
                  <c:v>1001.4267831548117</c:v>
                </c:pt>
                <c:pt idx="4">
                  <c:v>978.42678315481169</c:v>
                </c:pt>
                <c:pt idx="5">
                  <c:v>978.42678315481169</c:v>
                </c:pt>
                <c:pt idx="6">
                  <c:v>993.42678315481169</c:v>
                </c:pt>
                <c:pt idx="7">
                  <c:v>993.42678315481169</c:v>
                </c:pt>
                <c:pt idx="8">
                  <c:v>978.42678315481169</c:v>
                </c:pt>
                <c:pt idx="9">
                  <c:v>993.42678315481169</c:v>
                </c:pt>
                <c:pt idx="10">
                  <c:v>993.82678315481166</c:v>
                </c:pt>
                <c:pt idx="11">
                  <c:v>994.62678315481173</c:v>
                </c:pt>
                <c:pt idx="12">
                  <c:v>995.42678315481169</c:v>
                </c:pt>
                <c:pt idx="13">
                  <c:v>996.42678315481169</c:v>
                </c:pt>
                <c:pt idx="14">
                  <c:v>997.62678315481173</c:v>
                </c:pt>
                <c:pt idx="15">
                  <c:v>1001.4267831548117</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{A6547C16-398A-4E88-927A-F98F4DBDAA11}</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1001.4267831548117</c:v>
                </c:pt>
                <c:pt idx="1">
                  <c:v>1001.4267831548117</c:v>
                </c:pt>
                <c:pt idx="2">
                  <c:v>1011.4267831548117</c:v>
                </c:pt>
                <c:pt idx="3">
                  <c:v>1001.4267831548117</c:v>
                </c:pt>
                <c:pt idx="4">
                  <c:v>1011.4267831548117</c:v>
                </c:pt>
                <c:pt idx="5">
                  <c:v>1014.4267831548117</c:v>
                </c:pt>
                <c:pt idx="6">
                  <c:v>1018.4267831548117</c:v>
                </c:pt>
                <c:pt idx="7">
                  <c:v>1021.4267831548117</c:v>
                </c:pt>
                <c:pt idx="8">
                  <c:v>1026.4267831548118</c:v>
                </c:pt>
                <c:pt idx="9">
                  <c:v>1031.4267831548118</c:v>
                </c:pt>
                <c:pt idx="10">
                  <c:v>1037.4267831548118</c:v>
                </c:pt>
                <c:pt idx="11">
                  <c:v>1049.4267831548118</c:v>
                </c:pt>
                <c:pt idx="12">
                  <c:v>1063.4267831548118</c:v>
                </c:pt>
                <c:pt idx="13">
                  <c:v>1038.4267831548118</c:v>
                </c:pt>
                <c:pt idx="14">
                  <c:v>1031.4267831548118</c:v>
                </c:pt>
                <c:pt idx="15">
                  <c:v>1016.4267831548117</c:v>
                </c:pt>
                <c:pt idx="16">
                  <c:v>1001.4267831548117</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1001.4267831548117</c:v>
                </c:pt>
                <c:pt idx="1">
                  <c:v>1001.4267831548117</c:v>
                </c:pt>
                <c:pt idx="2">
                  <c:v>991.42678315481169</c:v>
                </c:pt>
                <c:pt idx="3">
                  <c:v>1001.4267831548117</c:v>
                </c:pt>
                <c:pt idx="4">
                  <c:v>991.42678315481169</c:v>
                </c:pt>
                <c:pt idx="5">
                  <c:v>988.42678315481169</c:v>
                </c:pt>
                <c:pt idx="6">
                  <c:v>984.42678315481169</c:v>
                </c:pt>
                <c:pt idx="7">
                  <c:v>981.42678315481169</c:v>
                </c:pt>
                <c:pt idx="8">
                  <c:v>976.42678315481169</c:v>
                </c:pt>
                <c:pt idx="9">
                  <c:v>971.42678315481169</c:v>
                </c:pt>
                <c:pt idx="10">
                  <c:v>965.42678315481169</c:v>
                </c:pt>
                <c:pt idx="11">
                  <c:v>953.42678315481169</c:v>
                </c:pt>
                <c:pt idx="12">
                  <c:v>939.42678315481169</c:v>
                </c:pt>
                <c:pt idx="13">
                  <c:v>964.42678315481169</c:v>
                </c:pt>
                <c:pt idx="14">
                  <c:v>971.42678315481169</c:v>
                </c:pt>
                <c:pt idx="15">
                  <c:v>986.42678315481169</c:v>
                </c:pt>
                <c:pt idx="16">
                  <c:v>1001.4267831548117</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1001.4267831548117</c:v>
                </c:pt>
                <c:pt idx="1">
                  <c:v>1018.4267831548117</c:v>
                </c:pt>
                <c:pt idx="2">
                  <c:v>1012.4267831548117</c:v>
                </c:pt>
                <c:pt idx="3">
                  <c:v>1001.4267831548117</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1001.4267831548117</c:v>
                </c:pt>
                <c:pt idx="1">
                  <c:v>984.42678315481169</c:v>
                </c:pt>
                <c:pt idx="2">
                  <c:v>990.42678315481169</c:v>
                </c:pt>
                <c:pt idx="3">
                  <c:v>1001.4267831548117</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{6D968D35-2624-4E6A-A5A6-00625E8CC26D}</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890.19344698904672</c:v>
                </c:pt>
                <c:pt idx="1">
                  <c:v>890.19344698904672</c:v>
                </c:pt>
                <c:pt idx="2">
                  <c:v>890.19344698904672</c:v>
                </c:pt>
                <c:pt idx="3">
                  <c:v>956.38189112484326</c:v>
                </c:pt>
                <c:pt idx="4">
                  <c:v>890.19344698904672</c:v>
                </c:pt>
                <c:pt idx="5">
                  <c:v>824.00500285325018</c:v>
                </c:pt>
                <c:pt idx="6">
                  <c:v>890.19344698904672</c:v>
                </c:pt>
              </c:numCache>
            </c:numRef>
          </c:xVal>
          <c:yVal>
            <c:numRef>
              <c:f>Trajecto!$C$121:$C$127</c:f>
              <c:numCache>
                <c:formatCode>0</c:formatCode>
                <c:ptCount val="7"/>
                <c:pt idx="0">
                  <c:v>2647.5377654318622</c:v>
                </c:pt>
                <c:pt idx="1">
                  <c:v>1323.7688827159311</c:v>
                </c:pt>
                <c:pt idx="2">
                  <c:v>0</c:v>
                </c:pt>
                <c:pt idx="3">
                  <c:v>132.37688827159312</c:v>
                </c:pt>
                <c:pt idx="4">
                  <c:v>0</c:v>
                </c:pt>
                <c:pt idx="5">
                  <c:v>132.37688827159312</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2690.3927303966475</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47.000000000000334</c:v>
                </c:pt>
                <c:pt idx="921">
                  <c:v>#N/A</c:v>
                </c:pt>
                <c:pt idx="922">
                  <c:v>#N/A</c:v>
                </c:pt>
                <c:pt idx="923">
                  <c:v>#N/A</c:v>
                </c:pt>
                <c:pt idx="924">
                  <c:v>#N/A</c:v>
                </c:pt>
                <c:pt idx="925">
                  <c:v>#N/A</c:v>
                </c:pt>
                <c:pt idx="926">
                  <c:v>#N/A</c:v>
                </c:pt>
                <c:pt idx="927">
                  <c:v>#N/A</c:v>
                </c:pt>
                <c:pt idx="928">
                  <c:v>#N/A</c:v>
                </c:pt>
                <c:pt idx="929">
                  <c:v>#N/A</c:v>
                </c:pt>
                <c:pt idx="930">
                  <c:v>48.000000000000348</c:v>
                </c:pt>
                <c:pt idx="931">
                  <c:v>#N/A</c:v>
                </c:pt>
                <c:pt idx="932">
                  <c:v>#N/A</c:v>
                </c:pt>
                <c:pt idx="933">
                  <c:v>#N/A</c:v>
                </c:pt>
                <c:pt idx="934">
                  <c:v>#N/A</c:v>
                </c:pt>
                <c:pt idx="935">
                  <c:v>#N/A</c:v>
                </c:pt>
                <c:pt idx="936">
                  <c:v>#N/A</c:v>
                </c:pt>
                <c:pt idx="937">
                  <c:v>#N/A</c:v>
                </c:pt>
                <c:pt idx="938">
                  <c:v>#N/A</c:v>
                </c:pt>
                <c:pt idx="939">
                  <c:v>#N/A</c:v>
                </c:pt>
                <c:pt idx="940">
                  <c:v>49.000000000000362</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2647.5377654318622</c:v>
                </c:pt>
                <c:pt idx="651">
                  <c:v>2650.4158653779969</c:v>
                </c:pt>
                <c:pt idx="652">
                  <c:v>2653.1928284295295</c:v>
                </c:pt>
                <c:pt idx="653">
                  <c:v>2655.8688001867931</c:v>
                </c:pt>
                <c:pt idx="654">
                  <c:v>2658.4439223623162</c:v>
                </c:pt>
                <c:pt idx="655">
                  <c:v>2660.9183328698477</c:v>
                </c:pt>
                <c:pt idx="656">
                  <c:v>2663.2921659157519</c:v>
                </c:pt>
                <c:pt idx="657">
                  <c:v>2665.565552092969</c:v>
                </c:pt>
                <c:pt idx="658">
                  <c:v>2667.7386184777233</c:v>
                </c:pt>
                <c:pt idx="659">
                  <c:v>2669.811488729169</c:v>
                </c:pt>
                <c:pt idx="660">
                  <c:v>2671.784283192148</c:v>
                </c:pt>
                <c:pt idx="661">
                  <c:v>2673.6571190032278</c:v>
                </c:pt>
                <c:pt idx="662">
                  <c:v>2675.4301102001778</c:v>
                </c:pt>
                <c:pt idx="663">
                  <c:v>2677.1033678350223</c:v>
                </c:pt>
                <c:pt idx="664">
                  <c:v>2678.6770000907954</c:v>
                </c:pt>
                <c:pt idx="665">
                  <c:v>2680.1511124020954</c:v>
                </c:pt>
                <c:pt idx="666">
                  <c:v>2681.5258075795164</c:v>
                </c:pt>
                <c:pt idx="667">
                  <c:v>2682.8011859380031</c:v>
                </c:pt>
                <c:pt idx="668">
                  <c:v>2683.9773454291426</c:v>
                </c:pt>
                <c:pt idx="669">
                  <c:v>2685.0543817773705</c:v>
                </c:pt>
                <c:pt idx="670">
                  <c:v>2686.0323886200317</c:v>
                </c:pt>
                <c:pt idx="671">
                  <c:v>2686.9114576511947</c:v>
                </c:pt>
                <c:pt idx="672">
                  <c:v>2687.6916787690698</c:v>
                </c:pt>
                <c:pt idx="673">
                  <c:v>2688.3731402268463</c:v>
                </c:pt>
                <c:pt idx="674">
                  <c:v>2688.9559287867069</c:v>
                </c:pt>
                <c:pt idx="675">
                  <c:v>2689.4401298767407</c:v>
                </c:pt>
                <c:pt idx="676">
                  <c:v>2689.8258277504278</c:v>
                </c:pt>
                <c:pt idx="677">
                  <c:v>2690.1131056483273</c:v>
                </c:pt>
                <c:pt idx="678">
                  <c:v>2690.30204596156</c:v>
                </c:pt>
                <c:pt idx="679">
                  <c:v>2690.3927303966475</c:v>
                </c:pt>
                <c:pt idx="680">
                  <c:v>2690.3852401412328</c:v>
                </c:pt>
                <c:pt idx="681">
                  <c:v>2690.2796560301908</c:v>
                </c:pt>
                <c:pt idx="682">
                  <c:v>2690.0760587116147</c:v>
                </c:pt>
                <c:pt idx="683">
                  <c:v>2689.7745288121573</c:v>
                </c:pt>
                <c:pt idx="684">
                  <c:v>2689.3751471012065</c:v>
                </c:pt>
                <c:pt idx="685">
                  <c:v>2688.8779946533723</c:v>
                </c:pt>
                <c:pt idx="686">
                  <c:v>2688.2831530087851</c:v>
                </c:pt>
                <c:pt idx="687">
                  <c:v>2687.5907043307138</c:v>
                </c:pt>
                <c:pt idx="688">
                  <c:v>2686.8007315600489</c:v>
                </c:pt>
                <c:pt idx="689">
                  <c:v>2685.9133185662195</c:v>
                </c:pt>
                <c:pt idx="690">
                  <c:v>2684.9285502941534</c:v>
                </c:pt>
                <c:pt idx="691">
                  <c:v>2683.8465129069314</c:v>
                </c:pt>
                <c:pt idx="692">
                  <c:v>2682.6672939238238</c:v>
                </c:pt>
                <c:pt idx="693">
                  <c:v>2681.3909823534509</c:v>
                </c:pt>
                <c:pt idx="694">
                  <c:v>2680.0176688218467</c:v>
                </c:pt>
                <c:pt idx="695">
                  <c:v>2678.5474456952556</c:v>
                </c:pt>
                <c:pt idx="696">
                  <c:v>2676.9804071975368</c:v>
                </c:pt>
                <c:pt idx="697">
                  <c:v>2675.3166495220885</c:v>
                </c:pt>
                <c:pt idx="698">
                  <c:v>2673.5562709382489</c:v>
                </c:pt>
                <c:pt idx="699">
                  <c:v>2671.6993718921703</c:v>
                </c:pt>
                <c:pt idx="700">
                  <c:v>2669.7460551021886</c:v>
                </c:pt>
                <c:pt idx="701">
                  <c:v>2667.6964256487495</c:v>
                </c:pt>
                <c:pt idx="702">
                  <c:v>2665.5505910589764</c:v>
                </c:pt>
                <c:pt idx="703">
                  <c:v>2663.3086613859846</c:v>
                </c:pt>
                <c:pt idx="704">
                  <c:v>2660.9707492830739</c:v>
                </c:pt>
                <c:pt idx="705">
                  <c:v>2658.5369700729425</c:v>
                </c:pt>
                <c:pt idx="706">
                  <c:v>2656.0074418120753</c:v>
                </c:pt>
                <c:pt idx="707">
                  <c:v>2653.3822853504817</c:v>
                </c:pt>
                <c:pt idx="708">
                  <c:v>2650.6616243869494</c:v>
                </c:pt>
                <c:pt idx="709">
                  <c:v>2647.8455855199968</c:v>
                </c:pt>
                <c:pt idx="710">
                  <c:v>2644.9342982947069</c:v>
                </c:pt>
                <c:pt idx="711">
                  <c:v>2641.9278952456211</c:v>
                </c:pt>
                <c:pt idx="712">
                  <c:v>2638.8265119358775</c:v>
                </c:pt>
                <c:pt idx="713">
                  <c:v>2635.6302869927699</c:v>
                </c:pt>
                <c:pt idx="714">
                  <c:v>2632.339362139905</c:v>
                </c:pt>
                <c:pt idx="715">
                  <c:v>2628.9538822261261</c:v>
                </c:pt>
                <c:pt idx="716">
                  <c:v>2625.4739952513696</c:v>
                </c:pt>
                <c:pt idx="717">
                  <c:v>2621.8998523896139</c:v>
                </c:pt>
                <c:pt idx="718">
                  <c:v>2618.2316080090727</c:v>
                </c:pt>
                <c:pt idx="719">
                  <c:v>2614.4694196897822</c:v>
                </c:pt>
                <c:pt idx="720">
                  <c:v>2610.6134482387179</c:v>
                </c:pt>
                <c:pt idx="721">
                  <c:v>2606.6638577025778</c:v>
                </c:pt>
                <c:pt idx="722">
                  <c:v>2602.6208153783573</c:v>
                </c:pt>
                <c:pt idx="723">
                  <c:v>2598.4844918218328</c:v>
                </c:pt>
                <c:pt idx="724">
                  <c:v>2594.2550608540732</c:v>
                </c:pt>
                <c:pt idx="725">
                  <c:v>2589.9326995660804</c:v>
                </c:pt>
                <c:pt idx="726">
                  <c:v>2585.5175883216621</c:v>
                </c:pt>
                <c:pt idx="727">
                  <c:v>2581.0099107586307</c:v>
                </c:pt>
                <c:pt idx="728">
                  <c:v>2576.4098537884197</c:v>
                </c:pt>
                <c:pt idx="729">
                  <c:v>2571.7176075941989</c:v>
                </c:pt>
                <c:pt idx="730">
                  <c:v>2566.9333656275662</c:v>
                </c:pt>
                <c:pt idx="731">
                  <c:v>2562.0573246038944</c:v>
                </c:pt>
                <c:pt idx="732">
                  <c:v>2557.0896844963959</c:v>
                </c:pt>
                <c:pt idx="733">
                  <c:v>2552.0306485289752</c:v>
                </c:pt>
                <c:pt idx="734">
                  <c:v>2546.8804231679283</c:v>
                </c:pt>
                <c:pt idx="735">
                  <c:v>2541.6392181125434</c:v>
                </c:pt>
                <c:pt idx="736">
                  <c:v>2536.3072462846617</c:v>
                </c:pt>
                <c:pt idx="737">
                  <c:v>2530.884723817243</c:v>
                </c:pt>
                <c:pt idx="738">
                  <c:v>2525.3718700419854</c:v>
                </c:pt>
                <c:pt idx="739">
                  <c:v>2519.7689074760433</c:v>
                </c:pt>
                <c:pt idx="740">
                  <c:v>2514.0760618078839</c:v>
                </c:pt>
                <c:pt idx="741">
                  <c:v>2508.2935618823226</c:v>
                </c:pt>
                <c:pt idx="742">
                  <c:v>2502.4216396847705</c:v>
                </c:pt>
                <c:pt idx="743">
                  <c:v>2496.4605303247322</c:v>
                </c:pt>
                <c:pt idx="744">
                  <c:v>2490.4104720185824</c:v>
                </c:pt>
                <c:pt idx="745">
                  <c:v>2484.2717060716536</c:v>
                </c:pt>
                <c:pt idx="746">
                  <c:v>2478.0444768596626</c:v>
                </c:pt>
                <c:pt idx="747">
                  <c:v>2471.7290318095033</c:v>
                </c:pt>
                <c:pt idx="748">
                  <c:v>2465.3256213794302</c:v>
                </c:pt>
                <c:pt idx="749">
                  <c:v>2458.8344990386568</c:v>
                </c:pt>
                <c:pt idx="750">
                  <c:v>2452.2559212463916</c:v>
                </c:pt>
                <c:pt idx="751">
                  <c:v>2445.5901474303341</c:v>
                </c:pt>
                <c:pt idx="752">
                  <c:v>2438.8374399646473</c:v>
                </c:pt>
                <c:pt idx="753">
                  <c:v>2431.9980641474326</c:v>
                </c:pt>
                <c:pt idx="754">
                  <c:v>2425.0722881777183</c:v>
                </c:pt>
                <c:pt idx="755">
                  <c:v>2418.0603831319831</c:v>
                </c:pt>
                <c:pt idx="756">
                  <c:v>2410.9626229402315</c:v>
                </c:pt>
                <c:pt idx="757">
                  <c:v>2403.779284361633</c:v>
                </c:pt>
                <c:pt idx="758">
                  <c:v>2396.5106469597467</c:v>
                </c:pt>
                <c:pt idx="759">
                  <c:v>2389.1569930773376</c:v>
                </c:pt>
                <c:pt idx="760">
                  <c:v>2381.7186078108061</c:v>
                </c:pt>
                <c:pt idx="761">
                  <c:v>2374.1957789842386</c:v>
                </c:pt>
                <c:pt idx="762">
                  <c:v>2366.5887971230945</c:v>
                </c:pt>
                <c:pt idx="763">
                  <c:v>2358.8979554275415</c:v>
                </c:pt>
                <c:pt idx="764">
                  <c:v>2351.1235497454504</c:v>
                </c:pt>
                <c:pt idx="765">
                  <c:v>2343.2658785450603</c:v>
                </c:pt>
                <c:pt idx="766">
                  <c:v>2335.3252428873279</c:v>
                </c:pt>
                <c:pt idx="767">
                  <c:v>2327.3019463979676</c:v>
                </c:pt>
                <c:pt idx="768">
                  <c:v>2319.1962952391964</c:v>
                </c:pt>
                <c:pt idx="769">
                  <c:v>2311.0085980811905</c:v>
                </c:pt>
                <c:pt idx="770">
                  <c:v>2302.7391660732656</c:v>
                </c:pt>
                <c:pt idx="771">
                  <c:v>2294.38831281479</c:v>
                </c:pt>
                <c:pt idx="772">
                  <c:v>2285.9563543258369</c:v>
                </c:pt>
                <c:pt idx="773">
                  <c:v>2277.44360901759</c:v>
                </c:pt>
                <c:pt idx="774">
                  <c:v>2268.8503976625066</c:v>
                </c:pt>
                <c:pt idx="775">
                  <c:v>2260.1770433642478</c:v>
                </c:pt>
                <c:pt idx="776">
                  <c:v>2251.4238715273882</c:v>
                </c:pt>
                <c:pt idx="777">
                  <c:v>2242.5912098269046</c:v>
                </c:pt>
                <c:pt idx="778">
                  <c:v>2233.679388177462</c:v>
                </c:pt>
                <c:pt idx="779">
                  <c:v>2224.6887387024972</c:v>
                </c:pt>
                <c:pt idx="780">
                  <c:v>2215.6195957031105</c:v>
                </c:pt>
                <c:pt idx="781">
                  <c:v>2206.4722956267738</c:v>
                </c:pt>
                <c:pt idx="782">
                  <c:v>2197.2471770358616</c:v>
                </c:pt>
                <c:pt idx="783">
                  <c:v>2187.9445805760115</c:v>
                </c:pt>
                <c:pt idx="784">
                  <c:v>2178.5648489443238</c:v>
                </c:pt>
                <c:pt idx="785">
                  <c:v>2169.1083268574052</c:v>
                </c:pt>
                <c:pt idx="786">
                  <c:v>2159.5753610192642</c:v>
                </c:pt>
                <c:pt idx="787">
                  <c:v>2149.9663000890655</c:v>
                </c:pt>
                <c:pt idx="788">
                  <c:v>2140.2814946487515</c:v>
                </c:pt>
                <c:pt idx="789">
                  <c:v>2130.5212971705346</c:v>
                </c:pt>
                <c:pt idx="790">
                  <c:v>2120.6860619842696</c:v>
                </c:pt>
                <c:pt idx="791">
                  <c:v>2110.776145244713</c:v>
                </c:pt>
                <c:pt idx="792">
                  <c:v>2100.7919048986732</c:v>
                </c:pt>
                <c:pt idx="793">
                  <c:v>2090.7337006520615</c:v>
                </c:pt>
                <c:pt idx="794">
                  <c:v>2080.6018939368482</c:v>
                </c:pt>
                <c:pt idx="795">
                  <c:v>2070.3968478779293</c:v>
                </c:pt>
                <c:pt idx="796">
                  <c:v>2060.1189272599145</c:v>
                </c:pt>
                <c:pt idx="797">
                  <c:v>2049.7684984938373</c:v>
                </c:pt>
                <c:pt idx="798">
                  <c:v>2039.3459295837981</c:v>
                </c:pt>
                <c:pt idx="799">
                  <c:v>2028.851590093542</c:v>
                </c:pt>
                <c:pt idx="800">
                  <c:v>2018.2858511129821</c:v>
                </c:pt>
                <c:pt idx="801">
                  <c:v>2007.6490852246714</c:v>
                </c:pt>
                <c:pt idx="802">
                  <c:v>1996.9416664702296</c:v>
                </c:pt>
                <c:pt idx="803">
                  <c:v>1986.163970316732</c:v>
                </c:pt>
                <c:pt idx="804">
                  <c:v>1975.3163736230658</c:v>
                </c:pt>
                <c:pt idx="805">
                  <c:v>1964.3992546062589</c:v>
                </c:pt>
                <c:pt idx="806">
                  <c:v>1953.4129928077882</c:v>
                </c:pt>
                <c:pt idx="807">
                  <c:v>1942.3579690598738</c:v>
                </c:pt>
                <c:pt idx="808">
                  <c:v>1931.2345654517619</c:v>
                </c:pt>
                <c:pt idx="809">
                  <c:v>1920.0431652960065</c:v>
                </c:pt>
                <c:pt idx="810">
                  <c:v>1908.784153094751</c:v>
                </c:pt>
                <c:pt idx="811">
                  <c:v>1897.4579145060197</c:v>
                </c:pt>
                <c:pt idx="812">
                  <c:v>1886.0648363100206</c:v>
                </c:pt>
                <c:pt idx="813">
                  <c:v>1874.6053063754687</c:v>
                </c:pt>
                <c:pt idx="814">
                  <c:v>1863.0797136259332</c:v>
                </c:pt>
                <c:pt idx="815">
                  <c:v>1851.4884480062142</c:v>
                </c:pt>
                <c:pt idx="816">
                  <c:v>1839.8319004487557</c:v>
                </c:pt>
                <c:pt idx="817">
                  <c:v>1828.1104628400985</c:v>
                </c:pt>
                <c:pt idx="818">
                  <c:v>1816.3245279873793</c:v>
                </c:pt>
                <c:pt idx="819">
                  <c:v>1804.4744895848814</c:v>
                </c:pt>
                <c:pt idx="820">
                  <c:v>1792.5607421806421</c:v>
                </c:pt>
                <c:pt idx="821">
                  <c:v>1780.5836811431216</c:v>
                </c:pt>
                <c:pt idx="822">
                  <c:v>1768.5437026279385</c:v>
                </c:pt>
                <c:pt idx="823">
                  <c:v>1756.4412035446785</c:v>
                </c:pt>
                <c:pt idx="824">
                  <c:v>1744.2765815237792</c:v>
                </c:pt>
                <c:pt idx="825">
                  <c:v>1732.0502348834975</c:v>
                </c:pt>
                <c:pt idx="826">
                  <c:v>1719.7625625969638</c:v>
                </c:pt>
                <c:pt idx="827">
                  <c:v>1707.4139642593286</c:v>
                </c:pt>
                <c:pt idx="828">
                  <c:v>1695.0048400550061</c:v>
                </c:pt>
                <c:pt idx="829">
                  <c:v>1682.5355907250184</c:v>
                </c:pt>
                <c:pt idx="830">
                  <c:v>1670.0066175344484</c:v>
                </c:pt>
                <c:pt idx="831">
                  <c:v>1657.4183222400011</c:v>
                </c:pt>
                <c:pt idx="832">
                  <c:v>1644.7711070576829</c:v>
                </c:pt>
                <c:pt idx="833">
                  <c:v>1632.0653746306009</c:v>
                </c:pt>
                <c:pt idx="834">
                  <c:v>1619.3015279968865</c:v>
                </c:pt>
                <c:pt idx="835">
                  <c:v>1606.4799705577491</c:v>
                </c:pt>
                <c:pt idx="836">
                  <c:v>1593.6011060456638</c:v>
                </c:pt>
                <c:pt idx="837">
                  <c:v>1580.6653384926974</c:v>
                </c:pt>
                <c:pt idx="838">
                  <c:v>1567.6730721989773</c:v>
                </c:pt>
                <c:pt idx="839">
                  <c:v>1554.6247117013068</c:v>
                </c:pt>
                <c:pt idx="840">
                  <c:v>1541.5206617419321</c:v>
                </c:pt>
                <c:pt idx="841">
                  <c:v>1528.361327237465</c:v>
                </c:pt>
                <c:pt idx="842">
                  <c:v>1515.1471132479644</c:v>
                </c:pt>
                <c:pt idx="843">
                  <c:v>1501.8784249461814</c:v>
                </c:pt>
                <c:pt idx="844">
                  <c:v>1488.5556675869725</c:v>
                </c:pt>
                <c:pt idx="845">
                  <c:v>1475.1792464768841</c:v>
                </c:pt>
                <c:pt idx="846">
                  <c:v>1461.7495669439122</c:v>
                </c:pt>
                <c:pt idx="847">
                  <c:v>1448.2670343074403</c:v>
                </c:pt>
                <c:pt idx="848">
                  <c:v>1434.7320538483625</c:v>
                </c:pt>
                <c:pt idx="849">
                  <c:v>1421.1450307793905</c:v>
                </c:pt>
                <c:pt idx="850">
                  <c:v>1407.506370215553</c:v>
                </c:pt>
                <c:pt idx="851">
                  <c:v>1393.8164771448874</c:v>
                </c:pt>
                <c:pt idx="852">
                  <c:v>1380.0757563993288</c:v>
                </c:pt>
                <c:pt idx="853">
                  <c:v>1366.2846126258014</c:v>
                </c:pt>
                <c:pt idx="854">
                  <c:v>1352.4434502575109</c:v>
                </c:pt>
                <c:pt idx="855">
                  <c:v>1338.552673485447</c:v>
                </c:pt>
                <c:pt idx="856">
                  <c:v>1324.6126862300951</c:v>
                </c:pt>
                <c:pt idx="857">
                  <c:v>1310.6238921133615</c:v>
                </c:pt>
                <c:pt idx="858">
                  <c:v>1296.5866944307165</c:v>
                </c:pt>
                <c:pt idx="859">
                  <c:v>1282.5014961235559</c:v>
                </c:pt>
                <c:pt idx="860">
                  <c:v>1268.3686997517864</c:v>
                </c:pt>
                <c:pt idx="861">
                  <c:v>1254.1887074666365</c:v>
                </c:pt>
                <c:pt idx="862">
                  <c:v>1239.9619209836953</c:v>
                </c:pt>
                <c:pt idx="863">
                  <c:v>1225.6887415561832</c:v>
                </c:pt>
                <c:pt idx="864">
                  <c:v>1211.369569948456</c:v>
                </c:pt>
                <c:pt idx="865">
                  <c:v>1197.0048064097464</c:v>
                </c:pt>
                <c:pt idx="866">
                  <c:v>1182.5948506481438</c:v>
                </c:pt>
                <c:pt idx="867">
                  <c:v>1168.1401018048159</c:v>
                </c:pt>
                <c:pt idx="868">
                  <c:v>1153.6409584284747</c:v>
                </c:pt>
                <c:pt idx="869">
                  <c:v>1139.0978184500882</c:v>
                </c:pt>
                <c:pt idx="870">
                  <c:v>1124.5110791578413</c:v>
                </c:pt>
                <c:pt idx="871">
                  <c:v>1109.8811371723473</c:v>
                </c:pt>
                <c:pt idx="872">
                  <c:v>1095.208388422112</c:v>
                </c:pt>
                <c:pt idx="873">
                  <c:v>1080.4932281192537</c:v>
                </c:pt>
                <c:pt idx="874">
                  <c:v>1065.7360507354792</c:v>
                </c:pt>
                <c:pt idx="875">
                  <c:v>1050.9372499783196</c:v>
                </c:pt>
                <c:pt idx="876">
                  <c:v>1036.0972187676261</c:v>
                </c:pt>
                <c:pt idx="877">
                  <c:v>1021.2163492123287</c:v>
                </c:pt>
                <c:pt idx="878">
                  <c:v>1006.2950325874593</c:v>
                </c:pt>
                <c:pt idx="879">
                  <c:v>991.33365931144056</c:v>
                </c:pt>
                <c:pt idx="880">
                  <c:v>976.33261892364226</c:v>
                </c:pt>
                <c:pt idx="881">
                  <c:v>961.29230006220655</c:v>
                </c:pt>
                <c:pt idx="882">
                  <c:v>946.21309044214365</c:v>
                </c:pt>
                <c:pt idx="883">
                  <c:v>931.09537683369945</c:v>
                </c:pt>
                <c:pt idx="884">
                  <c:v>915.93954504099577</c:v>
                </c:pt>
                <c:pt idx="885">
                  <c:v>900.74597988094547</c:v>
                </c:pt>
                <c:pt idx="886">
                  <c:v>885.51506516244262</c:v>
                </c:pt>
                <c:pt idx="887">
                  <c:v>870.2471836658292</c:v>
                </c:pt>
                <c:pt idx="888">
                  <c:v>854.94271712263912</c:v>
                </c:pt>
                <c:pt idx="889">
                  <c:v>839.6020461956216</c:v>
                </c:pt>
                <c:pt idx="890">
                  <c:v>824.22555045904267</c:v>
                </c:pt>
                <c:pt idx="891">
                  <c:v>808.81360837926786</c:v>
                </c:pt>
                <c:pt idx="892">
                  <c:v>793.36659729562541</c:v>
                </c:pt>
                <c:pt idx="893">
                  <c:v>777.8848934015507</c:v>
                </c:pt>
                <c:pt idx="894">
                  <c:v>762.36887172601371</c:v>
                </c:pt>
                <c:pt idx="895">
                  <c:v>746.81890611522874</c:v>
                </c:pt>
                <c:pt idx="896">
                  <c:v>731.23536921464722</c:v>
                </c:pt>
                <c:pt idx="897">
                  <c:v>715.61863245123448</c:v>
                </c:pt>
                <c:pt idx="898">
                  <c:v>699.96906601603064</c:v>
                </c:pt>
                <c:pt idx="899">
                  <c:v>684.28703884699542</c:v>
                </c:pt>
                <c:pt idx="900">
                  <c:v>668.57291861213776</c:v>
                </c:pt>
                <c:pt idx="901">
                  <c:v>652.82707169292996</c:v>
                </c:pt>
                <c:pt idx="902">
                  <c:v>637.0498631680066</c:v>
                </c:pt>
                <c:pt idx="903">
                  <c:v>621.24165679714861</c:v>
                </c:pt>
                <c:pt idx="904">
                  <c:v>605.40281500555182</c:v>
                </c:pt>
                <c:pt idx="905">
                  <c:v>589.53369886837993</c:v>
                </c:pt>
                <c:pt idx="906">
                  <c:v>573.63466809560305</c:v>
                </c:pt>
                <c:pt idx="907">
                  <c:v>557.70608101711946</c:v>
                </c:pt>
                <c:pt idx="908">
                  <c:v>541.74829456816224</c:v>
                </c:pt>
                <c:pt idx="909">
                  <c:v>525.76166427498947</c:v>
                </c:pt>
                <c:pt idx="910">
                  <c:v>509.74654424085759</c:v>
                </c:pt>
                <c:pt idx="911">
                  <c:v>493.70328713227815</c:v>
                </c:pt>
                <c:pt idx="912">
                  <c:v>477.63224416555676</c:v>
                </c:pt>
                <c:pt idx="913">
                  <c:v>461.53376509361408</c:v>
                </c:pt>
                <c:pt idx="914">
                  <c:v>445.4081981930882</c:v>
                </c:pt>
                <c:pt idx="915">
                  <c:v>429.25589025171746</c:v>
                </c:pt>
                <c:pt idx="916">
                  <c:v>413.07718655600354</c:v>
                </c:pt>
                <c:pt idx="917">
                  <c:v>396.87243087915357</c:v>
                </c:pt>
                <c:pt idx="918">
                  <c:v>380.64196546930066</c:v>
                </c:pt>
                <c:pt idx="919">
                  <c:v>364.38613103800208</c:v>
                </c:pt>
                <c:pt idx="920">
                  <c:v>348.10526674901399</c:v>
                </c:pt>
                <c:pt idx="921">
                  <c:v>331.79971020734172</c:v>
                </c:pt>
                <c:pt idx="922">
                  <c:v>315.46979744856486</c:v>
                </c:pt>
                <c:pt idx="923">
                  <c:v>299.115862928436</c:v>
                </c:pt>
                <c:pt idx="924">
                  <c:v>282.73823951275159</c:v>
                </c:pt>
                <c:pt idx="925">
                  <c:v>266.33725846749462</c:v>
                </c:pt>
                <c:pt idx="926">
                  <c:v>249.91324944924708</c:v>
                </c:pt>
                <c:pt idx="927">
                  <c:v>233.46654049587147</c:v>
                </c:pt>
                <c:pt idx="928">
                  <c:v>216.99745801745991</c:v>
                </c:pt>
                <c:pt idx="929">
                  <c:v>200.50632678754948</c:v>
                </c:pt>
                <c:pt idx="930">
                  <c:v>183.99346993460256</c:v>
                </c:pt>
                <c:pt idx="931">
                  <c:v>167.45920893375052</c:v>
                </c:pt>
                <c:pt idx="932">
                  <c:v>150.90386359879969</c:v>
                </c:pt>
                <c:pt idx="933">
                  <c:v>134.32775207449771</c:v>
                </c:pt>
                <c:pt idx="934">
                  <c:v>117.73119082905899</c:v>
                </c:pt>
                <c:pt idx="935">
                  <c:v>101.11449464694763</c:v>
                </c:pt>
                <c:pt idx="936">
                  <c:v>84.477976621916227</c:v>
                </c:pt>
                <c:pt idx="937">
                  <c:v>67.82194815029888</c:v>
                </c:pt>
                <c:pt idx="938">
                  <c:v>51.146718924556794</c:v>
                </c:pt>
                <c:pt idx="939">
                  <c:v>34.452596927074723</c:v>
                </c:pt>
                <c:pt idx="940">
                  <c:v>17.739888424206502</c:v>
                </c:pt>
                <c:pt idx="941">
                  <c:v>1.0088979605679498</c:v>
                </c:pt>
                <c:pt idx="942">
                  <c:v>-15.740071646424692</c:v>
                </c:pt>
                <c:pt idx="943">
                  <c:v>-15.756829538879217</c:v>
                </c:pt>
                <c:pt idx="944">
                  <c:v>-15.773587448861541</c:v>
                </c:pt>
                <c:pt idx="945">
                  <c:v>-15.790345376371368</c:v>
                </c:pt>
                <c:pt idx="946">
                  <c:v>-15.8071033214084</c:v>
                </c:pt>
                <c:pt idx="947">
                  <c:v>-15.82386128397234</c:v>
                </c:pt>
                <c:pt idx="948">
                  <c:v>-15.840619264062887</c:v>
                </c:pt>
                <c:pt idx="949">
                  <c:v>-15.857377261679746</c:v>
                </c:pt>
                <c:pt idx="950">
                  <c:v>-15.874135276822619</c:v>
                </c:pt>
                <c:pt idx="951">
                  <c:v>-15.890893309491206</c:v>
                </c:pt>
                <c:pt idx="952">
                  <c:v>-15.907651359685211</c:v>
                </c:pt>
                <c:pt idx="953">
                  <c:v>-15.924409427404335</c:v>
                </c:pt>
                <c:pt idx="954">
                  <c:v>-15.941167512648281</c:v>
                </c:pt>
                <c:pt idx="955">
                  <c:v>-15.95792561541675</c:v>
                </c:pt>
                <c:pt idx="956">
                  <c:v>-15.974683735709444</c:v>
                </c:pt>
                <c:pt idx="957">
                  <c:v>-15.991441873526067</c:v>
                </c:pt>
                <c:pt idx="958">
                  <c:v>-16.00820002886632</c:v>
                </c:pt>
                <c:pt idx="959">
                  <c:v>-16.024958201729905</c:v>
                </c:pt>
                <c:pt idx="960">
                  <c:v>-16.041716392116523</c:v>
                </c:pt>
                <c:pt idx="961">
                  <c:v>-16.058474600025878</c:v>
                </c:pt>
                <c:pt idx="962">
                  <c:v>-16.075232825457672</c:v>
                </c:pt>
                <c:pt idx="963">
                  <c:v>-16.091991068411605</c:v>
                </c:pt>
                <c:pt idx="964">
                  <c:v>-16.108749328887381</c:v>
                </c:pt>
                <c:pt idx="965">
                  <c:v>-16.125507606884703</c:v>
                </c:pt>
                <c:pt idx="966">
                  <c:v>-16.14226590240327</c:v>
                </c:pt>
                <c:pt idx="967">
                  <c:v>-16.159024215442788</c:v>
                </c:pt>
                <c:pt idx="968">
                  <c:v>-16.175782546002957</c:v>
                </c:pt>
                <c:pt idx="969">
                  <c:v>-16.192540894083479</c:v>
                </c:pt>
                <c:pt idx="970">
                  <c:v>-16.209299259684055</c:v>
                </c:pt>
                <c:pt idx="971">
                  <c:v>-16.226057642804388</c:v>
                </c:pt>
                <c:pt idx="972">
                  <c:v>-16.242816043444183</c:v>
                </c:pt>
                <c:pt idx="973">
                  <c:v>-16.259574461603137</c:v>
                </c:pt>
                <c:pt idx="974">
                  <c:v>-16.276332897280955</c:v>
                </c:pt>
                <c:pt idx="975">
                  <c:v>-16.29309135047734</c:v>
                </c:pt>
                <c:pt idx="976">
                  <c:v>-16.309849821191992</c:v>
                </c:pt>
                <c:pt idx="977">
                  <c:v>-16.326608309424614</c:v>
                </c:pt>
                <c:pt idx="978">
                  <c:v>-16.34336681517491</c:v>
                </c:pt>
                <c:pt idx="979">
                  <c:v>-16.360125338442579</c:v>
                </c:pt>
                <c:pt idx="980">
                  <c:v>-16.376883879227325</c:v>
                </c:pt>
                <c:pt idx="981">
                  <c:v>-16.39364243752885</c:v>
                </c:pt>
                <c:pt idx="982">
                  <c:v>-16.410401013346856</c:v>
                </c:pt>
                <c:pt idx="983">
                  <c:v>-16.427159606681045</c:v>
                </c:pt>
                <c:pt idx="984">
                  <c:v>-16.443918217531117</c:v>
                </c:pt>
                <c:pt idx="985">
                  <c:v>-16.460676845896778</c:v>
                </c:pt>
                <c:pt idx="986">
                  <c:v>-16.477435491777726</c:v>
                </c:pt>
                <c:pt idx="987">
                  <c:v>-16.494194155173666</c:v>
                </c:pt>
                <c:pt idx="988">
                  <c:v>-16.5109528360843</c:v>
                </c:pt>
                <c:pt idx="989">
                  <c:v>-16.527711534509333</c:v>
                </c:pt>
                <c:pt idx="990">
                  <c:v>-16.544470250448462</c:v>
                </c:pt>
                <c:pt idx="991">
                  <c:v>-16.56122898390139</c:v>
                </c:pt>
                <c:pt idx="992">
                  <c:v>-16.577987734867822</c:v>
                </c:pt>
                <c:pt idx="993">
                  <c:v>-16.594746503347459</c:v>
                </c:pt>
                <c:pt idx="994">
                  <c:v>-16.611505289340002</c:v>
                </c:pt>
                <c:pt idx="995">
                  <c:v>-16.628264092845153</c:v>
                </c:pt>
                <c:pt idx="996">
                  <c:v>-16.645022913862615</c:v>
                </c:pt>
                <c:pt idx="997">
                  <c:v>-16.661781752392091</c:v>
                </c:pt>
                <c:pt idx="998">
                  <c:v>-16.678540608433284</c:v>
                </c:pt>
                <c:pt idx="999">
                  <c:v>-16.695299481985892</c:v>
                </c:pt>
                <c:pt idx="1000">
                  <c:v>-16.712058373049619</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Calculs!$K$4:$K$1004</c:f>
              <c:numCache>
                <c:formatCode>0.00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2647.5377654318622</c:v>
                </c:pt>
                <c:pt idx="651">
                  <c:v>2650.4158653779969</c:v>
                </c:pt>
                <c:pt idx="652">
                  <c:v>2653.1928284295295</c:v>
                </c:pt>
                <c:pt idx="653">
                  <c:v>2655.8688001867931</c:v>
                </c:pt>
                <c:pt idx="654">
                  <c:v>2658.4439223623162</c:v>
                </c:pt>
                <c:pt idx="655">
                  <c:v>2660.9183328698477</c:v>
                </c:pt>
                <c:pt idx="656">
                  <c:v>2663.2921659157519</c:v>
                </c:pt>
                <c:pt idx="657">
                  <c:v>2665.565552092969</c:v>
                </c:pt>
                <c:pt idx="658">
                  <c:v>2667.7386184777233</c:v>
                </c:pt>
                <c:pt idx="659">
                  <c:v>2669.811488729169</c:v>
                </c:pt>
                <c:pt idx="660">
                  <c:v>2671.784283192148</c:v>
                </c:pt>
                <c:pt idx="661">
                  <c:v>2673.6571190032278</c:v>
                </c:pt>
                <c:pt idx="662">
                  <c:v>2675.4301102001778</c:v>
                </c:pt>
                <c:pt idx="663">
                  <c:v>2677.1033678350223</c:v>
                </c:pt>
                <c:pt idx="664">
                  <c:v>2678.6770000907954</c:v>
                </c:pt>
                <c:pt idx="665">
                  <c:v>2680.1511124020954</c:v>
                </c:pt>
                <c:pt idx="666">
                  <c:v>2681.5258075795164</c:v>
                </c:pt>
                <c:pt idx="667">
                  <c:v>2682.8011859380031</c:v>
                </c:pt>
                <c:pt idx="668">
                  <c:v>2683.9773454291426</c:v>
                </c:pt>
                <c:pt idx="669">
                  <c:v>2685.0543817773705</c:v>
                </c:pt>
                <c:pt idx="670">
                  <c:v>2686.0323886200317</c:v>
                </c:pt>
                <c:pt idx="671">
                  <c:v>2686.9114576511947</c:v>
                </c:pt>
                <c:pt idx="672">
                  <c:v>2687.6916787690698</c:v>
                </c:pt>
                <c:pt idx="673">
                  <c:v>2688.3731402268463</c:v>
                </c:pt>
                <c:pt idx="674">
                  <c:v>2688.9559287867069</c:v>
                </c:pt>
                <c:pt idx="675">
                  <c:v>2689.4401298767407</c:v>
                </c:pt>
                <c:pt idx="676">
                  <c:v>2689.8258277504278</c:v>
                </c:pt>
                <c:pt idx="677">
                  <c:v>2690.1131056483273</c:v>
                </c:pt>
                <c:pt idx="678">
                  <c:v>2690.30204596156</c:v>
                </c:pt>
                <c:pt idx="679">
                  <c:v>2690.3927303966475</c:v>
                </c:pt>
                <c:pt idx="680">
                  <c:v>2690.3852401412328</c:v>
                </c:pt>
                <c:pt idx="681">
                  <c:v>2690.2796560301908</c:v>
                </c:pt>
                <c:pt idx="682">
                  <c:v>2690.0760587116147</c:v>
                </c:pt>
                <c:pt idx="683">
                  <c:v>2689.7745288121573</c:v>
                </c:pt>
                <c:pt idx="684">
                  <c:v>2689.3751471012065</c:v>
                </c:pt>
                <c:pt idx="685">
                  <c:v>2688.8779946533723</c:v>
                </c:pt>
                <c:pt idx="686">
                  <c:v>2688.2831530087851</c:v>
                </c:pt>
                <c:pt idx="687">
                  <c:v>2687.5907043307138</c:v>
                </c:pt>
                <c:pt idx="688">
                  <c:v>2686.8007315600489</c:v>
                </c:pt>
                <c:pt idx="689">
                  <c:v>2685.9133185662195</c:v>
                </c:pt>
                <c:pt idx="690">
                  <c:v>2684.9285502941534</c:v>
                </c:pt>
                <c:pt idx="691">
                  <c:v>2683.8465129069314</c:v>
                </c:pt>
                <c:pt idx="692">
                  <c:v>2682.6672939238238</c:v>
                </c:pt>
                <c:pt idx="693">
                  <c:v>2681.3909823534509</c:v>
                </c:pt>
                <c:pt idx="694">
                  <c:v>2680.0176688218467</c:v>
                </c:pt>
                <c:pt idx="695">
                  <c:v>2678.5474456952556</c:v>
                </c:pt>
                <c:pt idx="696">
                  <c:v>2676.9804071975368</c:v>
                </c:pt>
                <c:pt idx="697">
                  <c:v>2675.3166495220885</c:v>
                </c:pt>
                <c:pt idx="698">
                  <c:v>2673.5562709382489</c:v>
                </c:pt>
                <c:pt idx="699">
                  <c:v>2671.6993718921703</c:v>
                </c:pt>
                <c:pt idx="700">
                  <c:v>2669.7460551021886</c:v>
                </c:pt>
                <c:pt idx="701">
                  <c:v>2667.6964256487495</c:v>
                </c:pt>
                <c:pt idx="702">
                  <c:v>2665.5505910589764</c:v>
                </c:pt>
                <c:pt idx="703">
                  <c:v>2663.3086613859846</c:v>
                </c:pt>
                <c:pt idx="704">
                  <c:v>2660.9707492830739</c:v>
                </c:pt>
                <c:pt idx="705">
                  <c:v>2658.5369700729425</c:v>
                </c:pt>
                <c:pt idx="706">
                  <c:v>2656.0074418120753</c:v>
                </c:pt>
                <c:pt idx="707">
                  <c:v>2653.3822853504817</c:v>
                </c:pt>
                <c:pt idx="708">
                  <c:v>2650.6616243869494</c:v>
                </c:pt>
                <c:pt idx="709">
                  <c:v>2647.8455855199968</c:v>
                </c:pt>
                <c:pt idx="710">
                  <c:v>2644.9342982947069</c:v>
                </c:pt>
                <c:pt idx="711">
                  <c:v>2641.9278952456211</c:v>
                </c:pt>
                <c:pt idx="712">
                  <c:v>2638.8265119358775</c:v>
                </c:pt>
                <c:pt idx="713">
                  <c:v>2635.6302869927699</c:v>
                </c:pt>
                <c:pt idx="714">
                  <c:v>2632.339362139905</c:v>
                </c:pt>
                <c:pt idx="715">
                  <c:v>2628.9538822261261</c:v>
                </c:pt>
                <c:pt idx="716">
                  <c:v>2625.4739952513696</c:v>
                </c:pt>
                <c:pt idx="717">
                  <c:v>2621.8998523896139</c:v>
                </c:pt>
                <c:pt idx="718">
                  <c:v>2618.2316080090727</c:v>
                </c:pt>
                <c:pt idx="719">
                  <c:v>2614.4694196897822</c:v>
                </c:pt>
                <c:pt idx="720">
                  <c:v>2610.6134482387179</c:v>
                </c:pt>
                <c:pt idx="721">
                  <c:v>2606.6638577025778</c:v>
                </c:pt>
                <c:pt idx="722">
                  <c:v>2602.6208153783573</c:v>
                </c:pt>
                <c:pt idx="723">
                  <c:v>2598.4844918218328</c:v>
                </c:pt>
                <c:pt idx="724">
                  <c:v>2594.2550608540732</c:v>
                </c:pt>
                <c:pt idx="725">
                  <c:v>2589.9326995660804</c:v>
                </c:pt>
                <c:pt idx="726">
                  <c:v>2585.5175883216621</c:v>
                </c:pt>
                <c:pt idx="727">
                  <c:v>2581.0099107586307</c:v>
                </c:pt>
                <c:pt idx="728">
                  <c:v>2576.4098537884197</c:v>
                </c:pt>
                <c:pt idx="729">
                  <c:v>2571.7176075941989</c:v>
                </c:pt>
                <c:pt idx="730">
                  <c:v>2566.9333656275662</c:v>
                </c:pt>
                <c:pt idx="731">
                  <c:v>2562.0573246038944</c:v>
                </c:pt>
                <c:pt idx="732">
                  <c:v>2557.0896844963959</c:v>
                </c:pt>
                <c:pt idx="733">
                  <c:v>2552.0306485289752</c:v>
                </c:pt>
                <c:pt idx="734">
                  <c:v>2546.8804231679283</c:v>
                </c:pt>
                <c:pt idx="735">
                  <c:v>2541.6392181125434</c:v>
                </c:pt>
                <c:pt idx="736">
                  <c:v>2536.3072462846617</c:v>
                </c:pt>
                <c:pt idx="737">
                  <c:v>2530.884723817243</c:v>
                </c:pt>
                <c:pt idx="738">
                  <c:v>2525.3718700419854</c:v>
                </c:pt>
                <c:pt idx="739">
                  <c:v>2519.7689074760433</c:v>
                </c:pt>
                <c:pt idx="740">
                  <c:v>2514.0760618078839</c:v>
                </c:pt>
                <c:pt idx="741">
                  <c:v>2508.2935618823226</c:v>
                </c:pt>
                <c:pt idx="742">
                  <c:v>2502.4216396847705</c:v>
                </c:pt>
                <c:pt idx="743">
                  <c:v>2496.4605303247322</c:v>
                </c:pt>
                <c:pt idx="744">
                  <c:v>2490.4104720185824</c:v>
                </c:pt>
                <c:pt idx="745">
                  <c:v>2484.2717060716536</c:v>
                </c:pt>
                <c:pt idx="746">
                  <c:v>2478.0444768596626</c:v>
                </c:pt>
                <c:pt idx="747">
                  <c:v>2471.7290318095033</c:v>
                </c:pt>
                <c:pt idx="748">
                  <c:v>2465.3256213794302</c:v>
                </c:pt>
                <c:pt idx="749">
                  <c:v>2458.8344990386568</c:v>
                </c:pt>
                <c:pt idx="750">
                  <c:v>2452.2559212463916</c:v>
                </c:pt>
                <c:pt idx="751">
                  <c:v>2445.5901474303341</c:v>
                </c:pt>
                <c:pt idx="752">
                  <c:v>2438.8374399646473</c:v>
                </c:pt>
                <c:pt idx="753">
                  <c:v>2431.9980641474326</c:v>
                </c:pt>
                <c:pt idx="754">
                  <c:v>2425.0722881777183</c:v>
                </c:pt>
                <c:pt idx="755">
                  <c:v>2418.0603831319831</c:v>
                </c:pt>
                <c:pt idx="756">
                  <c:v>2410.9626229402315</c:v>
                </c:pt>
                <c:pt idx="757">
                  <c:v>2403.779284361633</c:v>
                </c:pt>
                <c:pt idx="758">
                  <c:v>2396.5106469597467</c:v>
                </c:pt>
                <c:pt idx="759">
                  <c:v>2389.1569930773376</c:v>
                </c:pt>
                <c:pt idx="760">
                  <c:v>2381.7186078108061</c:v>
                </c:pt>
                <c:pt idx="761">
                  <c:v>2374.1957789842386</c:v>
                </c:pt>
                <c:pt idx="762">
                  <c:v>2366.5887971230945</c:v>
                </c:pt>
                <c:pt idx="763">
                  <c:v>2358.8979554275415</c:v>
                </c:pt>
                <c:pt idx="764">
                  <c:v>2351.1235497454504</c:v>
                </c:pt>
                <c:pt idx="765">
                  <c:v>2343.2658785450603</c:v>
                </c:pt>
                <c:pt idx="766">
                  <c:v>2335.3252428873279</c:v>
                </c:pt>
                <c:pt idx="767">
                  <c:v>2327.3019463979676</c:v>
                </c:pt>
                <c:pt idx="768">
                  <c:v>2319.1962952391964</c:v>
                </c:pt>
                <c:pt idx="769">
                  <c:v>2311.0085980811905</c:v>
                </c:pt>
                <c:pt idx="770">
                  <c:v>2302.7391660732656</c:v>
                </c:pt>
                <c:pt idx="771">
                  <c:v>2294.38831281479</c:v>
                </c:pt>
                <c:pt idx="772">
                  <c:v>2285.9563543258369</c:v>
                </c:pt>
                <c:pt idx="773">
                  <c:v>2277.44360901759</c:v>
                </c:pt>
                <c:pt idx="774">
                  <c:v>2268.8503976625066</c:v>
                </c:pt>
                <c:pt idx="775">
                  <c:v>2260.1770433642478</c:v>
                </c:pt>
                <c:pt idx="776">
                  <c:v>2251.4238715273882</c:v>
                </c:pt>
                <c:pt idx="777">
                  <c:v>2242.5912098269046</c:v>
                </c:pt>
                <c:pt idx="778">
                  <c:v>2233.679388177462</c:v>
                </c:pt>
                <c:pt idx="779">
                  <c:v>2224.6887387024972</c:v>
                </c:pt>
                <c:pt idx="780">
                  <c:v>2215.6195957031105</c:v>
                </c:pt>
                <c:pt idx="781">
                  <c:v>2206.4722956267738</c:v>
                </c:pt>
                <c:pt idx="782">
                  <c:v>2197.2471770358616</c:v>
                </c:pt>
                <c:pt idx="783">
                  <c:v>2187.9445805760115</c:v>
                </c:pt>
                <c:pt idx="784">
                  <c:v>2178.5648489443238</c:v>
                </c:pt>
                <c:pt idx="785">
                  <c:v>2169.1083268574052</c:v>
                </c:pt>
                <c:pt idx="786">
                  <c:v>2159.5753610192642</c:v>
                </c:pt>
                <c:pt idx="787">
                  <c:v>2149.9663000890655</c:v>
                </c:pt>
                <c:pt idx="788">
                  <c:v>2140.2814946487515</c:v>
                </c:pt>
                <c:pt idx="789">
                  <c:v>2130.5212971705346</c:v>
                </c:pt>
                <c:pt idx="790">
                  <c:v>2120.6860619842696</c:v>
                </c:pt>
                <c:pt idx="791">
                  <c:v>2110.776145244713</c:v>
                </c:pt>
                <c:pt idx="792">
                  <c:v>2100.7919048986732</c:v>
                </c:pt>
                <c:pt idx="793">
                  <c:v>2090.7337006520615</c:v>
                </c:pt>
                <c:pt idx="794">
                  <c:v>2080.6018939368482</c:v>
                </c:pt>
                <c:pt idx="795">
                  <c:v>2070.3968478779293</c:v>
                </c:pt>
                <c:pt idx="796">
                  <c:v>2060.1189272599145</c:v>
                </c:pt>
                <c:pt idx="797">
                  <c:v>2049.7684984938373</c:v>
                </c:pt>
                <c:pt idx="798">
                  <c:v>2039.3459295837981</c:v>
                </c:pt>
                <c:pt idx="799">
                  <c:v>2028.851590093542</c:v>
                </c:pt>
                <c:pt idx="800">
                  <c:v>2018.2858511129821</c:v>
                </c:pt>
                <c:pt idx="801">
                  <c:v>2007.6490852246714</c:v>
                </c:pt>
                <c:pt idx="802">
                  <c:v>1996.9416664702296</c:v>
                </c:pt>
                <c:pt idx="803">
                  <c:v>1986.163970316732</c:v>
                </c:pt>
                <c:pt idx="804">
                  <c:v>1975.3163736230658</c:v>
                </c:pt>
                <c:pt idx="805">
                  <c:v>1964.3992546062589</c:v>
                </c:pt>
                <c:pt idx="806">
                  <c:v>1953.4129928077882</c:v>
                </c:pt>
                <c:pt idx="807">
                  <c:v>1942.3579690598738</c:v>
                </c:pt>
                <c:pt idx="808">
                  <c:v>1931.2345654517619</c:v>
                </c:pt>
                <c:pt idx="809">
                  <c:v>1920.0431652960065</c:v>
                </c:pt>
                <c:pt idx="810">
                  <c:v>1908.784153094751</c:v>
                </c:pt>
                <c:pt idx="811">
                  <c:v>1897.4579145060197</c:v>
                </c:pt>
                <c:pt idx="812">
                  <c:v>1886.0648363100206</c:v>
                </c:pt>
                <c:pt idx="813">
                  <c:v>1874.6053063754687</c:v>
                </c:pt>
                <c:pt idx="814">
                  <c:v>1863.0797136259332</c:v>
                </c:pt>
                <c:pt idx="815">
                  <c:v>1851.4884480062142</c:v>
                </c:pt>
                <c:pt idx="816">
                  <c:v>1839.8319004487557</c:v>
                </c:pt>
                <c:pt idx="817">
                  <c:v>1828.1104628400985</c:v>
                </c:pt>
                <c:pt idx="818">
                  <c:v>1816.3245279873793</c:v>
                </c:pt>
                <c:pt idx="819">
                  <c:v>1804.4744895848814</c:v>
                </c:pt>
                <c:pt idx="820">
                  <c:v>1792.5607421806421</c:v>
                </c:pt>
                <c:pt idx="821">
                  <c:v>1780.5836811431216</c:v>
                </c:pt>
                <c:pt idx="822">
                  <c:v>1768.5437026279385</c:v>
                </c:pt>
                <c:pt idx="823">
                  <c:v>1756.4412035446785</c:v>
                </c:pt>
                <c:pt idx="824">
                  <c:v>1744.2765815237792</c:v>
                </c:pt>
                <c:pt idx="825">
                  <c:v>1732.0502348834975</c:v>
                </c:pt>
                <c:pt idx="826">
                  <c:v>1719.7625625969638</c:v>
                </c:pt>
                <c:pt idx="827">
                  <c:v>1707.4139642593286</c:v>
                </c:pt>
                <c:pt idx="828">
                  <c:v>1695.0048400550061</c:v>
                </c:pt>
                <c:pt idx="829">
                  <c:v>1682.5355907250184</c:v>
                </c:pt>
                <c:pt idx="830">
                  <c:v>1670.0066175344484</c:v>
                </c:pt>
                <c:pt idx="831">
                  <c:v>1657.4183222400011</c:v>
                </c:pt>
                <c:pt idx="832">
                  <c:v>1644.7711070576829</c:v>
                </c:pt>
                <c:pt idx="833">
                  <c:v>1632.0653746306009</c:v>
                </c:pt>
                <c:pt idx="834">
                  <c:v>1619.3015279968865</c:v>
                </c:pt>
                <c:pt idx="835">
                  <c:v>1606.4799705577491</c:v>
                </c:pt>
                <c:pt idx="836">
                  <c:v>1593.6011060456638</c:v>
                </c:pt>
                <c:pt idx="837">
                  <c:v>1580.6653384926974</c:v>
                </c:pt>
                <c:pt idx="838">
                  <c:v>1567.6730721989773</c:v>
                </c:pt>
                <c:pt idx="839">
                  <c:v>1554.6247117013068</c:v>
                </c:pt>
                <c:pt idx="840">
                  <c:v>1541.5206617419321</c:v>
                </c:pt>
                <c:pt idx="841">
                  <c:v>1528.361327237465</c:v>
                </c:pt>
                <c:pt idx="842">
                  <c:v>1515.1471132479644</c:v>
                </c:pt>
                <c:pt idx="843">
                  <c:v>1501.8784249461814</c:v>
                </c:pt>
                <c:pt idx="844">
                  <c:v>1488.5556675869725</c:v>
                </c:pt>
                <c:pt idx="845">
                  <c:v>1475.1792464768841</c:v>
                </c:pt>
                <c:pt idx="846">
                  <c:v>1461.7495669439122</c:v>
                </c:pt>
                <c:pt idx="847">
                  <c:v>1448.2670343074403</c:v>
                </c:pt>
                <c:pt idx="848">
                  <c:v>1434.7320538483625</c:v>
                </c:pt>
                <c:pt idx="849">
                  <c:v>1421.1450307793905</c:v>
                </c:pt>
                <c:pt idx="850">
                  <c:v>1407.506370215553</c:v>
                </c:pt>
                <c:pt idx="851">
                  <c:v>1393.8164771448874</c:v>
                </c:pt>
                <c:pt idx="852">
                  <c:v>1380.0757563993288</c:v>
                </c:pt>
                <c:pt idx="853">
                  <c:v>1366.2846126258014</c:v>
                </c:pt>
                <c:pt idx="854">
                  <c:v>1352.4434502575109</c:v>
                </c:pt>
                <c:pt idx="855">
                  <c:v>1338.552673485447</c:v>
                </c:pt>
                <c:pt idx="856">
                  <c:v>1324.6126862300951</c:v>
                </c:pt>
                <c:pt idx="857">
                  <c:v>1310.6238921133615</c:v>
                </c:pt>
                <c:pt idx="858">
                  <c:v>1296.5866944307165</c:v>
                </c:pt>
                <c:pt idx="859">
                  <c:v>1282.5014961235559</c:v>
                </c:pt>
                <c:pt idx="860">
                  <c:v>1268.3686997517864</c:v>
                </c:pt>
                <c:pt idx="861">
                  <c:v>1254.1887074666365</c:v>
                </c:pt>
                <c:pt idx="862">
                  <c:v>1239.9619209836953</c:v>
                </c:pt>
                <c:pt idx="863">
                  <c:v>1225.6887415561832</c:v>
                </c:pt>
                <c:pt idx="864">
                  <c:v>1211.369569948456</c:v>
                </c:pt>
                <c:pt idx="865">
                  <c:v>1197.0048064097464</c:v>
                </c:pt>
                <c:pt idx="866">
                  <c:v>1182.5948506481438</c:v>
                </c:pt>
                <c:pt idx="867">
                  <c:v>1168.1401018048159</c:v>
                </c:pt>
                <c:pt idx="868">
                  <c:v>1153.6409584284747</c:v>
                </c:pt>
                <c:pt idx="869">
                  <c:v>1139.0978184500882</c:v>
                </c:pt>
                <c:pt idx="870">
                  <c:v>1124.5110791578413</c:v>
                </c:pt>
                <c:pt idx="871">
                  <c:v>1109.8811371723473</c:v>
                </c:pt>
                <c:pt idx="872">
                  <c:v>1095.208388422112</c:v>
                </c:pt>
                <c:pt idx="873">
                  <c:v>1080.4932281192537</c:v>
                </c:pt>
                <c:pt idx="874">
                  <c:v>1065.7360507354792</c:v>
                </c:pt>
                <c:pt idx="875">
                  <c:v>1050.9372499783196</c:v>
                </c:pt>
                <c:pt idx="876">
                  <c:v>1036.0972187676261</c:v>
                </c:pt>
                <c:pt idx="877">
                  <c:v>1021.2163492123287</c:v>
                </c:pt>
                <c:pt idx="878">
                  <c:v>1006.2950325874593</c:v>
                </c:pt>
                <c:pt idx="879">
                  <c:v>991.33365931144056</c:v>
                </c:pt>
                <c:pt idx="880">
                  <c:v>976.33261892364226</c:v>
                </c:pt>
                <c:pt idx="881">
                  <c:v>961.29230006220655</c:v>
                </c:pt>
                <c:pt idx="882">
                  <c:v>946.21309044214365</c:v>
                </c:pt>
                <c:pt idx="883">
                  <c:v>931.09537683369945</c:v>
                </c:pt>
                <c:pt idx="884">
                  <c:v>915.93954504099577</c:v>
                </c:pt>
                <c:pt idx="885">
                  <c:v>900.74597988094547</c:v>
                </c:pt>
                <c:pt idx="886">
                  <c:v>885.51506516244262</c:v>
                </c:pt>
                <c:pt idx="887">
                  <c:v>870.2471836658292</c:v>
                </c:pt>
                <c:pt idx="888">
                  <c:v>854.94271712263912</c:v>
                </c:pt>
                <c:pt idx="889">
                  <c:v>839.6020461956216</c:v>
                </c:pt>
                <c:pt idx="890">
                  <c:v>824.22555045904267</c:v>
                </c:pt>
                <c:pt idx="891">
                  <c:v>808.81360837926786</c:v>
                </c:pt>
                <c:pt idx="892">
                  <c:v>793.36659729562541</c:v>
                </c:pt>
                <c:pt idx="893">
                  <c:v>777.8848934015507</c:v>
                </c:pt>
                <c:pt idx="894">
                  <c:v>762.36887172601371</c:v>
                </c:pt>
                <c:pt idx="895">
                  <c:v>746.81890611522874</c:v>
                </c:pt>
                <c:pt idx="896">
                  <c:v>731.23536921464722</c:v>
                </c:pt>
                <c:pt idx="897">
                  <c:v>715.61863245123448</c:v>
                </c:pt>
                <c:pt idx="898">
                  <c:v>699.96906601603064</c:v>
                </c:pt>
                <c:pt idx="899">
                  <c:v>684.28703884699542</c:v>
                </c:pt>
                <c:pt idx="900">
                  <c:v>668.57291861213776</c:v>
                </c:pt>
                <c:pt idx="901">
                  <c:v>652.82707169292996</c:v>
                </c:pt>
                <c:pt idx="902">
                  <c:v>637.0498631680066</c:v>
                </c:pt>
                <c:pt idx="903">
                  <c:v>621.24165679714861</c:v>
                </c:pt>
                <c:pt idx="904">
                  <c:v>605.40281500555182</c:v>
                </c:pt>
                <c:pt idx="905">
                  <c:v>589.53369886837993</c:v>
                </c:pt>
                <c:pt idx="906">
                  <c:v>573.63466809560305</c:v>
                </c:pt>
                <c:pt idx="907">
                  <c:v>557.70608101711946</c:v>
                </c:pt>
                <c:pt idx="908">
                  <c:v>541.74829456816224</c:v>
                </c:pt>
                <c:pt idx="909">
                  <c:v>525.76166427498947</c:v>
                </c:pt>
                <c:pt idx="910">
                  <c:v>509.74654424085759</c:v>
                </c:pt>
                <c:pt idx="911">
                  <c:v>493.70328713227815</c:v>
                </c:pt>
                <c:pt idx="912">
                  <c:v>477.63224416555676</c:v>
                </c:pt>
                <c:pt idx="913">
                  <c:v>461.53376509361408</c:v>
                </c:pt>
                <c:pt idx="914">
                  <c:v>445.4081981930882</c:v>
                </c:pt>
                <c:pt idx="915">
                  <c:v>429.25589025171746</c:v>
                </c:pt>
                <c:pt idx="916">
                  <c:v>413.07718655600354</c:v>
                </c:pt>
                <c:pt idx="917">
                  <c:v>396.87243087915357</c:v>
                </c:pt>
                <c:pt idx="918">
                  <c:v>380.64196546930066</c:v>
                </c:pt>
                <c:pt idx="919">
                  <c:v>364.38613103800208</c:v>
                </c:pt>
                <c:pt idx="920">
                  <c:v>348.10526674901399</c:v>
                </c:pt>
                <c:pt idx="921">
                  <c:v>331.79971020734172</c:v>
                </c:pt>
                <c:pt idx="922">
                  <c:v>315.46979744856486</c:v>
                </c:pt>
                <c:pt idx="923">
                  <c:v>299.115862928436</c:v>
                </c:pt>
                <c:pt idx="924">
                  <c:v>282.73823951275159</c:v>
                </c:pt>
                <c:pt idx="925">
                  <c:v>266.33725846749462</c:v>
                </c:pt>
                <c:pt idx="926">
                  <c:v>249.91324944924708</c:v>
                </c:pt>
                <c:pt idx="927">
                  <c:v>233.46654049587147</c:v>
                </c:pt>
                <c:pt idx="928">
                  <c:v>216.99745801745991</c:v>
                </c:pt>
                <c:pt idx="929">
                  <c:v>200.50632678754948</c:v>
                </c:pt>
                <c:pt idx="930">
                  <c:v>183.99346993460256</c:v>
                </c:pt>
                <c:pt idx="931">
                  <c:v>167.45920893375052</c:v>
                </c:pt>
                <c:pt idx="932">
                  <c:v>150.90386359879969</c:v>
                </c:pt>
                <c:pt idx="933">
                  <c:v>134.32775207449771</c:v>
                </c:pt>
                <c:pt idx="934">
                  <c:v>117.73119082905899</c:v>
                </c:pt>
                <c:pt idx="935">
                  <c:v>101.11449464694763</c:v>
                </c:pt>
                <c:pt idx="936">
                  <c:v>84.477976621916227</c:v>
                </c:pt>
                <c:pt idx="937">
                  <c:v>67.82194815029888</c:v>
                </c:pt>
                <c:pt idx="938">
                  <c:v>51.146718924556794</c:v>
                </c:pt>
                <c:pt idx="939">
                  <c:v>34.452596927074723</c:v>
                </c:pt>
                <c:pt idx="940">
                  <c:v>17.739888424206502</c:v>
                </c:pt>
                <c:pt idx="941">
                  <c:v>1.0088979605679498</c:v>
                </c:pt>
                <c:pt idx="942">
                  <c:v>-15.740071646424692</c:v>
                </c:pt>
                <c:pt idx="943">
                  <c:v>-15.756829538879217</c:v>
                </c:pt>
                <c:pt idx="944">
                  <c:v>-15.773587448861541</c:v>
                </c:pt>
                <c:pt idx="945">
                  <c:v>-15.790345376371368</c:v>
                </c:pt>
                <c:pt idx="946">
                  <c:v>-15.8071033214084</c:v>
                </c:pt>
                <c:pt idx="947">
                  <c:v>-15.82386128397234</c:v>
                </c:pt>
                <c:pt idx="948">
                  <c:v>-15.840619264062887</c:v>
                </c:pt>
                <c:pt idx="949">
                  <c:v>-15.857377261679746</c:v>
                </c:pt>
                <c:pt idx="950">
                  <c:v>-15.874135276822619</c:v>
                </c:pt>
                <c:pt idx="951">
                  <c:v>-15.890893309491206</c:v>
                </c:pt>
                <c:pt idx="952">
                  <c:v>-15.907651359685211</c:v>
                </c:pt>
                <c:pt idx="953">
                  <c:v>-15.924409427404335</c:v>
                </c:pt>
                <c:pt idx="954">
                  <c:v>-15.941167512648281</c:v>
                </c:pt>
                <c:pt idx="955">
                  <c:v>-15.95792561541675</c:v>
                </c:pt>
                <c:pt idx="956">
                  <c:v>-15.974683735709444</c:v>
                </c:pt>
                <c:pt idx="957">
                  <c:v>-15.991441873526067</c:v>
                </c:pt>
                <c:pt idx="958">
                  <c:v>-16.00820002886632</c:v>
                </c:pt>
                <c:pt idx="959">
                  <c:v>-16.024958201729905</c:v>
                </c:pt>
                <c:pt idx="960">
                  <c:v>-16.041716392116523</c:v>
                </c:pt>
                <c:pt idx="961">
                  <c:v>-16.058474600025878</c:v>
                </c:pt>
                <c:pt idx="962">
                  <c:v>-16.075232825457672</c:v>
                </c:pt>
                <c:pt idx="963">
                  <c:v>-16.091991068411605</c:v>
                </c:pt>
                <c:pt idx="964">
                  <c:v>-16.108749328887381</c:v>
                </c:pt>
                <c:pt idx="965">
                  <c:v>-16.125507606884703</c:v>
                </c:pt>
                <c:pt idx="966">
                  <c:v>-16.14226590240327</c:v>
                </c:pt>
                <c:pt idx="967">
                  <c:v>-16.159024215442788</c:v>
                </c:pt>
                <c:pt idx="968">
                  <c:v>-16.175782546002957</c:v>
                </c:pt>
                <c:pt idx="969">
                  <c:v>-16.192540894083479</c:v>
                </c:pt>
                <c:pt idx="970">
                  <c:v>-16.209299259684055</c:v>
                </c:pt>
                <c:pt idx="971">
                  <c:v>-16.226057642804388</c:v>
                </c:pt>
                <c:pt idx="972">
                  <c:v>-16.242816043444183</c:v>
                </c:pt>
                <c:pt idx="973">
                  <c:v>-16.259574461603137</c:v>
                </c:pt>
                <c:pt idx="974">
                  <c:v>-16.276332897280955</c:v>
                </c:pt>
                <c:pt idx="975">
                  <c:v>-16.29309135047734</c:v>
                </c:pt>
                <c:pt idx="976">
                  <c:v>-16.309849821191992</c:v>
                </c:pt>
                <c:pt idx="977">
                  <c:v>-16.326608309424614</c:v>
                </c:pt>
                <c:pt idx="978">
                  <c:v>-16.34336681517491</c:v>
                </c:pt>
                <c:pt idx="979">
                  <c:v>-16.360125338442579</c:v>
                </c:pt>
                <c:pt idx="980">
                  <c:v>-16.376883879227325</c:v>
                </c:pt>
                <c:pt idx="981">
                  <c:v>-16.39364243752885</c:v>
                </c:pt>
                <c:pt idx="982">
                  <c:v>-16.410401013346856</c:v>
                </c:pt>
                <c:pt idx="983">
                  <c:v>-16.427159606681045</c:v>
                </c:pt>
                <c:pt idx="984">
                  <c:v>-16.443918217531117</c:v>
                </c:pt>
                <c:pt idx="985">
                  <c:v>-16.460676845896778</c:v>
                </c:pt>
                <c:pt idx="986">
                  <c:v>-16.477435491777726</c:v>
                </c:pt>
                <c:pt idx="987">
                  <c:v>-16.494194155173666</c:v>
                </c:pt>
                <c:pt idx="988">
                  <c:v>-16.5109528360843</c:v>
                </c:pt>
                <c:pt idx="989">
                  <c:v>-16.527711534509333</c:v>
                </c:pt>
                <c:pt idx="990">
                  <c:v>-16.544470250448462</c:v>
                </c:pt>
                <c:pt idx="991">
                  <c:v>-16.56122898390139</c:v>
                </c:pt>
                <c:pt idx="992">
                  <c:v>-16.577987734867822</c:v>
                </c:pt>
                <c:pt idx="993">
                  <c:v>-16.594746503347459</c:v>
                </c:pt>
                <c:pt idx="994">
                  <c:v>-16.611505289340002</c:v>
                </c:pt>
                <c:pt idx="995">
                  <c:v>-16.628264092845153</c:v>
                </c:pt>
                <c:pt idx="996">
                  <c:v>-16.645022913862615</c:v>
                </c:pt>
                <c:pt idx="997">
                  <c:v>-16.661781752392091</c:v>
                </c:pt>
                <c:pt idx="998">
                  <c:v>-16.678540608433284</c:v>
                </c:pt>
                <c:pt idx="999">
                  <c:v>-16.695299481985892</c:v>
                </c:pt>
                <c:pt idx="1000">
                  <c:v>-16.712058373049619</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20</c:v>
                </c:pt>
                <c:pt idx="1">
                  <c:v>104.79803972775193</c:v>
                </c:pt>
                <c:pt idx="2">
                  <c:v>189.59607945550385</c:v>
                </c:pt>
                <c:pt idx="3">
                  <c:v>187.65507752910636</c:v>
                </c:pt>
                <c:pt idx="4">
                  <c:v>189.59607945550385</c:v>
                </c:pt>
                <c:pt idx="5">
                  <c:v>182.73507752910635</c:v>
                </c:pt>
                <c:pt idx="6">
                  <c:v>189.59607945550385</c:v>
                </c:pt>
              </c:numCache>
            </c:numRef>
          </c:xVal>
          <c:yVal>
            <c:numRef>
              <c:f>Trajecto!$C$129:$C$135</c:f>
              <c:numCache>
                <c:formatCode>0</c:formatCode>
                <c:ptCount val="7"/>
                <c:pt idx="0">
                  <c:v>2647.5377654318622</c:v>
                </c:pt>
                <c:pt idx="1">
                  <c:v>1323.7688827159311</c:v>
                </c:pt>
                <c:pt idx="2">
                  <c:v>0</c:v>
                </c:pt>
                <c:pt idx="3">
                  <c:v>101.04082364566122</c:v>
                </c:pt>
                <c:pt idx="4">
                  <c:v>0</c:v>
                </c:pt>
                <c:pt idx="5">
                  <c:v>38.590040785352734</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Calculs!$AE$4:$AE$1004</c:f>
              <c:numCache>
                <c:formatCode>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c:v>
                </c:pt>
              </c:numCache>
            </c:numRef>
          </c:xVal>
          <c:yVal>
            <c:numRef>
              <c:f>Trajecto!$C$155</c:f>
              <c:numCache>
                <c:formatCode>0</c:formatCode>
                <c:ptCount val="1"/>
                <c:pt idx="0">
                  <c:v>1323.7688827159311</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36.050000000000182</c:v>
                </c:pt>
              </c:numCache>
            </c:numRef>
          </c:xVal>
          <c:yVal>
            <c:numRef>
              <c:f>Trajecto!$C$156</c:f>
              <c:numCache>
                <c:formatCode>0</c:formatCode>
                <c:ptCount val="1"/>
                <c:pt idx="0">
                  <c:v>1345.1963651983237</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Calculs!$T$4:$T$1004</c:f>
              <c:numCache>
                <c:formatCode>0.00</c:formatCode>
                <c:ptCount val="1001"/>
                <c:pt idx="0">
                  <c:v>113.90391000000001</c:v>
                </c:pt>
                <c:pt idx="1">
                  <c:v>113.89335932965609</c:v>
                </c:pt>
                <c:pt idx="2">
                  <c:v>113.87117250883352</c:v>
                </c:pt>
                <c:pt idx="3">
                  <c:v>113.84416108918268</c:v>
                </c:pt>
                <c:pt idx="4">
                  <c:v>113.81232507070354</c:v>
                </c:pt>
                <c:pt idx="5">
                  <c:v>113.77566445339613</c:v>
                </c:pt>
                <c:pt idx="6">
                  <c:v>113.73417923726045</c:v>
                </c:pt>
                <c:pt idx="7">
                  <c:v>113.68786942229647</c:v>
                </c:pt>
                <c:pt idx="8">
                  <c:v>113.63673500850422</c:v>
                </c:pt>
                <c:pt idx="9">
                  <c:v>113.5807759958837</c:v>
                </c:pt>
                <c:pt idx="10">
                  <c:v>113.5199923844349</c:v>
                </c:pt>
                <c:pt idx="11">
                  <c:v>113.4571527491192</c:v>
                </c:pt>
                <c:pt idx="12">
                  <c:v>113.395025664898</c:v>
                </c:pt>
                <c:pt idx="13">
                  <c:v>113.33363219239477</c:v>
                </c:pt>
                <c:pt idx="14">
                  <c:v>113.27299339223299</c:v>
                </c:pt>
                <c:pt idx="15">
                  <c:v>113.21310926441267</c:v>
                </c:pt>
                <c:pt idx="16">
                  <c:v>113.1539798089338</c:v>
                </c:pt>
                <c:pt idx="17">
                  <c:v>113.09560502579637</c:v>
                </c:pt>
                <c:pt idx="18">
                  <c:v>113.03798491500041</c:v>
                </c:pt>
                <c:pt idx="19">
                  <c:v>112.98111947654589</c:v>
                </c:pt>
                <c:pt idx="20">
                  <c:v>112.92500871043283</c:v>
                </c:pt>
                <c:pt idx="21">
                  <c:v>112.86965261666121</c:v>
                </c:pt>
                <c:pt idx="22">
                  <c:v>112.81505119523106</c:v>
                </c:pt>
                <c:pt idx="23">
                  <c:v>112.76120444614236</c:v>
                </c:pt>
                <c:pt idx="24">
                  <c:v>112.70811236939511</c:v>
                </c:pt>
                <c:pt idx="25">
                  <c:v>112.65577496498931</c:v>
                </c:pt>
                <c:pt idx="26">
                  <c:v>112.60419223292496</c:v>
                </c:pt>
                <c:pt idx="27">
                  <c:v>112.55299502727382</c:v>
                </c:pt>
                <c:pt idx="28">
                  <c:v>112.50181420210761</c:v>
                </c:pt>
                <c:pt idx="29">
                  <c:v>112.45064975742632</c:v>
                </c:pt>
                <c:pt idx="30">
                  <c:v>112.39950169322996</c:v>
                </c:pt>
                <c:pt idx="31">
                  <c:v>112.34837000951855</c:v>
                </c:pt>
                <c:pt idx="32">
                  <c:v>112.29725470629207</c:v>
                </c:pt>
                <c:pt idx="33">
                  <c:v>112.24615578355049</c:v>
                </c:pt>
                <c:pt idx="34">
                  <c:v>112.19507324129385</c:v>
                </c:pt>
                <c:pt idx="35">
                  <c:v>112.14400707952215</c:v>
                </c:pt>
                <c:pt idx="36">
                  <c:v>112.09295729823539</c:v>
                </c:pt>
                <c:pt idx="37">
                  <c:v>112.04192389743355</c:v>
                </c:pt>
                <c:pt idx="38">
                  <c:v>111.99090687711663</c:v>
                </c:pt>
                <c:pt idx="39">
                  <c:v>111.93990623728466</c:v>
                </c:pt>
                <c:pt idx="40">
                  <c:v>111.88892197793761</c:v>
                </c:pt>
                <c:pt idx="41">
                  <c:v>111.83795409907549</c:v>
                </c:pt>
                <c:pt idx="42">
                  <c:v>111.7870026006983</c:v>
                </c:pt>
                <c:pt idx="43">
                  <c:v>111.73606748280605</c:v>
                </c:pt>
                <c:pt idx="44">
                  <c:v>111.68514874539872</c:v>
                </c:pt>
                <c:pt idx="45">
                  <c:v>111.63424638847634</c:v>
                </c:pt>
                <c:pt idx="46">
                  <c:v>111.58336041203887</c:v>
                </c:pt>
                <c:pt idx="47">
                  <c:v>111.53249081608634</c:v>
                </c:pt>
                <c:pt idx="48">
                  <c:v>111.48163760061874</c:v>
                </c:pt>
                <c:pt idx="49">
                  <c:v>111.43080076563608</c:v>
                </c:pt>
                <c:pt idx="50">
                  <c:v>111.37998031113834</c:v>
                </c:pt>
                <c:pt idx="51">
                  <c:v>111.32917623712552</c:v>
                </c:pt>
                <c:pt idx="52">
                  <c:v>111.27838854359764</c:v>
                </c:pt>
                <c:pt idx="53">
                  <c:v>111.2276172305547</c:v>
                </c:pt>
                <c:pt idx="54">
                  <c:v>111.17686229799668</c:v>
                </c:pt>
                <c:pt idx="55">
                  <c:v>111.12612374592359</c:v>
                </c:pt>
                <c:pt idx="56">
                  <c:v>111.07540157433544</c:v>
                </c:pt>
                <c:pt idx="57">
                  <c:v>111.02469578323222</c:v>
                </c:pt>
                <c:pt idx="58">
                  <c:v>110.97400637261394</c:v>
                </c:pt>
                <c:pt idx="59">
                  <c:v>110.92333334248057</c:v>
                </c:pt>
                <c:pt idx="60">
                  <c:v>110.87267669283213</c:v>
                </c:pt>
                <c:pt idx="61">
                  <c:v>110.82203642366864</c:v>
                </c:pt>
                <c:pt idx="62">
                  <c:v>110.77141253499008</c:v>
                </c:pt>
                <c:pt idx="63">
                  <c:v>110.72080502679643</c:v>
                </c:pt>
                <c:pt idx="64">
                  <c:v>110.67021389908773</c:v>
                </c:pt>
                <c:pt idx="65">
                  <c:v>110.61963915186395</c:v>
                </c:pt>
                <c:pt idx="66">
                  <c:v>110.56908078512511</c:v>
                </c:pt>
                <c:pt idx="67">
                  <c:v>110.51853879887119</c:v>
                </c:pt>
                <c:pt idx="68">
                  <c:v>110.46801319310219</c:v>
                </c:pt>
                <c:pt idx="69">
                  <c:v>110.41750396781815</c:v>
                </c:pt>
                <c:pt idx="70">
                  <c:v>110.36701112301903</c:v>
                </c:pt>
                <c:pt idx="71">
                  <c:v>110.31653465870482</c:v>
                </c:pt>
                <c:pt idx="72">
                  <c:v>110.26607871310334</c:v>
                </c:pt>
                <c:pt idx="73">
                  <c:v>110.21564742444231</c:v>
                </c:pt>
                <c:pt idx="74">
                  <c:v>110.16524079272178</c:v>
                </c:pt>
                <c:pt idx="75">
                  <c:v>110.11485881794169</c:v>
                </c:pt>
                <c:pt idx="76">
                  <c:v>110.06450150010211</c:v>
                </c:pt>
                <c:pt idx="77">
                  <c:v>110.01416883920299</c:v>
                </c:pt>
                <c:pt idx="78">
                  <c:v>109.96386083524436</c:v>
                </c:pt>
                <c:pt idx="79">
                  <c:v>109.91357748822618</c:v>
                </c:pt>
                <c:pt idx="80">
                  <c:v>109.8633187981485</c:v>
                </c:pt>
                <c:pt idx="81">
                  <c:v>109.81308476501128</c:v>
                </c:pt>
                <c:pt idx="82">
                  <c:v>109.76287538881454</c:v>
                </c:pt>
                <c:pt idx="83">
                  <c:v>109.71269066955827</c:v>
                </c:pt>
                <c:pt idx="84">
                  <c:v>109.66253060724247</c:v>
                </c:pt>
                <c:pt idx="85">
                  <c:v>109.61239520186716</c:v>
                </c:pt>
                <c:pt idx="86">
                  <c:v>109.56228445343231</c:v>
                </c:pt>
                <c:pt idx="87">
                  <c:v>109.51219836193795</c:v>
                </c:pt>
                <c:pt idx="88">
                  <c:v>109.46213692738405</c:v>
                </c:pt>
                <c:pt idx="89">
                  <c:v>109.41210014977062</c:v>
                </c:pt>
                <c:pt idx="90">
                  <c:v>109.36208802909768</c:v>
                </c:pt>
                <c:pt idx="91">
                  <c:v>109.31210056536521</c:v>
                </c:pt>
                <c:pt idx="92">
                  <c:v>109.26213775857322</c:v>
                </c:pt>
                <c:pt idx="93">
                  <c:v>109.21219960872169</c:v>
                </c:pt>
                <c:pt idx="94">
                  <c:v>109.16228611581066</c:v>
                </c:pt>
                <c:pt idx="95">
                  <c:v>109.11239727984008</c:v>
                </c:pt>
                <c:pt idx="96">
                  <c:v>109.06253310080999</c:v>
                </c:pt>
                <c:pt idx="97">
                  <c:v>109.01269357872037</c:v>
                </c:pt>
                <c:pt idx="98">
                  <c:v>108.96287871357121</c:v>
                </c:pt>
                <c:pt idx="99">
                  <c:v>108.91308850536255</c:v>
                </c:pt>
                <c:pt idx="100">
                  <c:v>108.86332295409434</c:v>
                </c:pt>
                <c:pt idx="101">
                  <c:v>108.81358205976663</c:v>
                </c:pt>
                <c:pt idx="102">
                  <c:v>108.76386582237937</c:v>
                </c:pt>
                <c:pt idx="103">
                  <c:v>108.71417424193261</c:v>
                </c:pt>
                <c:pt idx="104">
                  <c:v>108.66450731842632</c:v>
                </c:pt>
                <c:pt idx="105">
                  <c:v>108.61486505186048</c:v>
                </c:pt>
                <c:pt idx="106">
                  <c:v>108.56524744223513</c:v>
                </c:pt>
                <c:pt idx="107">
                  <c:v>108.51565448955026</c:v>
                </c:pt>
                <c:pt idx="108">
                  <c:v>108.46608619380586</c:v>
                </c:pt>
                <c:pt idx="109">
                  <c:v>108.41654255500194</c:v>
                </c:pt>
                <c:pt idx="110">
                  <c:v>108.3670235731385</c:v>
                </c:pt>
                <c:pt idx="111">
                  <c:v>108.31752924821551</c:v>
                </c:pt>
                <c:pt idx="112">
                  <c:v>108.26805958023303</c:v>
                </c:pt>
                <c:pt idx="113">
                  <c:v>108.218614569191</c:v>
                </c:pt>
                <c:pt idx="114">
                  <c:v>108.16919421508943</c:v>
                </c:pt>
                <c:pt idx="115">
                  <c:v>108.11979851792837</c:v>
                </c:pt>
                <c:pt idx="116">
                  <c:v>108.07042747770777</c:v>
                </c:pt>
                <c:pt idx="117">
                  <c:v>108.02108109442764</c:v>
                </c:pt>
                <c:pt idx="118">
                  <c:v>107.97175936808799</c:v>
                </c:pt>
                <c:pt idx="119">
                  <c:v>107.92246229868881</c:v>
                </c:pt>
                <c:pt idx="120">
                  <c:v>107.87318988623012</c:v>
                </c:pt>
                <c:pt idx="121">
                  <c:v>107.82394213071188</c:v>
                </c:pt>
                <c:pt idx="122">
                  <c:v>107.77471903213413</c:v>
                </c:pt>
                <c:pt idx="123">
                  <c:v>107.72552059049684</c:v>
                </c:pt>
                <c:pt idx="124">
                  <c:v>107.67634680580005</c:v>
                </c:pt>
                <c:pt idx="125">
                  <c:v>107.62719767804371</c:v>
                </c:pt>
                <c:pt idx="126">
                  <c:v>107.57807320722787</c:v>
                </c:pt>
                <c:pt idx="127">
                  <c:v>107.52897339335249</c:v>
                </c:pt>
                <c:pt idx="128">
                  <c:v>107.4798982364176</c:v>
                </c:pt>
                <c:pt idx="129">
                  <c:v>107.43086636068743</c:v>
                </c:pt>
                <c:pt idx="130">
                  <c:v>107.38189639042631</c:v>
                </c:pt>
                <c:pt idx="131">
                  <c:v>107.33298832563419</c:v>
                </c:pt>
                <c:pt idx="132">
                  <c:v>107.28414216631111</c:v>
                </c:pt>
                <c:pt idx="133">
                  <c:v>107.23535791245706</c:v>
                </c:pt>
                <c:pt idx="134">
                  <c:v>107.18663556407203</c:v>
                </c:pt>
                <c:pt idx="135">
                  <c:v>107.13797512115602</c:v>
                </c:pt>
                <c:pt idx="136">
                  <c:v>107.08937658370904</c:v>
                </c:pt>
                <c:pt idx="137">
                  <c:v>107.04083995173109</c:v>
                </c:pt>
                <c:pt idx="138">
                  <c:v>106.99236522522214</c:v>
                </c:pt>
                <c:pt idx="139">
                  <c:v>106.94395240418223</c:v>
                </c:pt>
                <c:pt idx="140">
                  <c:v>106.89560148861133</c:v>
                </c:pt>
                <c:pt idx="141">
                  <c:v>106.84731247850947</c:v>
                </c:pt>
                <c:pt idx="142">
                  <c:v>106.79908537387662</c:v>
                </c:pt>
                <c:pt idx="143">
                  <c:v>106.7509201747128</c:v>
                </c:pt>
                <c:pt idx="144">
                  <c:v>106.70281688101801</c:v>
                </c:pt>
                <c:pt idx="145">
                  <c:v>106.65477549279224</c:v>
                </c:pt>
                <c:pt idx="146">
                  <c:v>106.6067960100355</c:v>
                </c:pt>
                <c:pt idx="147">
                  <c:v>106.55887843274779</c:v>
                </c:pt>
                <c:pt idx="148">
                  <c:v>106.51102276092909</c:v>
                </c:pt>
                <c:pt idx="149">
                  <c:v>106.46322899457942</c:v>
                </c:pt>
                <c:pt idx="150">
                  <c:v>106.41549713369878</c:v>
                </c:pt>
                <c:pt idx="151">
                  <c:v>106.36782717828714</c:v>
                </c:pt>
                <c:pt idx="152">
                  <c:v>106.32021912834453</c:v>
                </c:pt>
                <c:pt idx="153">
                  <c:v>106.27267298387096</c:v>
                </c:pt>
                <c:pt idx="154">
                  <c:v>106.2251887448664</c:v>
                </c:pt>
                <c:pt idx="155">
                  <c:v>106.17776641133088</c:v>
                </c:pt>
                <c:pt idx="156">
                  <c:v>106.13040598326437</c:v>
                </c:pt>
                <c:pt idx="157">
                  <c:v>106.08310746066689</c:v>
                </c:pt>
                <c:pt idx="158">
                  <c:v>106.03587084353843</c:v>
                </c:pt>
                <c:pt idx="159">
                  <c:v>105.98869613187901</c:v>
                </c:pt>
                <c:pt idx="160">
                  <c:v>105.94158332568861</c:v>
                </c:pt>
                <c:pt idx="161">
                  <c:v>105.89453242496724</c:v>
                </c:pt>
                <c:pt idx="162">
                  <c:v>105.84754342971488</c:v>
                </c:pt>
                <c:pt idx="163">
                  <c:v>105.80061633993154</c:v>
                </c:pt>
                <c:pt idx="164">
                  <c:v>105.75375115561722</c:v>
                </c:pt>
                <c:pt idx="165">
                  <c:v>105.70694787677193</c:v>
                </c:pt>
                <c:pt idx="166">
                  <c:v>105.66020650339567</c:v>
                </c:pt>
                <c:pt idx="167">
                  <c:v>105.61352703548843</c:v>
                </c:pt>
                <c:pt idx="168">
                  <c:v>105.56690947305022</c:v>
                </c:pt>
                <c:pt idx="169">
                  <c:v>105.52035381608103</c:v>
                </c:pt>
                <c:pt idx="170">
                  <c:v>105.47386006458086</c:v>
                </c:pt>
                <c:pt idx="171">
                  <c:v>105.42742821854972</c:v>
                </c:pt>
                <c:pt idx="172">
                  <c:v>105.38105827798761</c:v>
                </c:pt>
                <c:pt idx="173">
                  <c:v>105.33475024289451</c:v>
                </c:pt>
                <c:pt idx="174">
                  <c:v>105.28850411327046</c:v>
                </c:pt>
                <c:pt idx="175">
                  <c:v>105.24231988911541</c:v>
                </c:pt>
                <c:pt idx="176">
                  <c:v>105.19619757042938</c:v>
                </c:pt>
                <c:pt idx="177">
                  <c:v>105.15013715721237</c:v>
                </c:pt>
                <c:pt idx="178">
                  <c:v>105.10413864946439</c:v>
                </c:pt>
                <c:pt idx="179">
                  <c:v>105.05820204718545</c:v>
                </c:pt>
                <c:pt idx="180">
                  <c:v>105.01232735037551</c:v>
                </c:pt>
                <c:pt idx="181">
                  <c:v>104.96651455903462</c:v>
                </c:pt>
                <c:pt idx="182">
                  <c:v>104.92076367316274</c:v>
                </c:pt>
                <c:pt idx="183">
                  <c:v>104.8750746927599</c:v>
                </c:pt>
                <c:pt idx="184">
                  <c:v>104.82944761782606</c:v>
                </c:pt>
                <c:pt idx="185">
                  <c:v>104.78388244836127</c:v>
                </c:pt>
                <c:pt idx="186">
                  <c:v>104.7383791843655</c:v>
                </c:pt>
                <c:pt idx="187">
                  <c:v>104.69293782583873</c:v>
                </c:pt>
                <c:pt idx="188">
                  <c:v>104.64755837278099</c:v>
                </c:pt>
                <c:pt idx="189">
                  <c:v>104.60224082519228</c:v>
                </c:pt>
                <c:pt idx="190">
                  <c:v>104.5569851830726</c:v>
                </c:pt>
                <c:pt idx="191">
                  <c:v>104.51179144642192</c:v>
                </c:pt>
                <c:pt idx="192">
                  <c:v>104.46665961524029</c:v>
                </c:pt>
                <c:pt idx="193">
                  <c:v>104.42158968952768</c:v>
                </c:pt>
                <c:pt idx="194">
                  <c:v>104.37658166928409</c:v>
                </c:pt>
                <c:pt idx="195">
                  <c:v>104.33163555450953</c:v>
                </c:pt>
                <c:pt idx="196">
                  <c:v>104.286751345204</c:v>
                </c:pt>
                <c:pt idx="197">
                  <c:v>104.24192904136748</c:v>
                </c:pt>
                <c:pt idx="198">
                  <c:v>104.197168643</c:v>
                </c:pt>
                <c:pt idx="199">
                  <c:v>104.15247015010155</c:v>
                </c:pt>
                <c:pt idx="200">
                  <c:v>104.1078335626721</c:v>
                </c:pt>
                <c:pt idx="201">
                  <c:v>104.06325888071167</c:v>
                </c:pt>
                <c:pt idx="202">
                  <c:v>104.01874610422027</c:v>
                </c:pt>
                <c:pt idx="203">
                  <c:v>103.97429523319789</c:v>
                </c:pt>
                <c:pt idx="204">
                  <c:v>103.92990626764455</c:v>
                </c:pt>
                <c:pt idx="205">
                  <c:v>103.88557920756023</c:v>
                </c:pt>
                <c:pt idx="206">
                  <c:v>103.84131845475706</c:v>
                </c:pt>
                <c:pt idx="207">
                  <c:v>103.79712841104718</c:v>
                </c:pt>
                <c:pt idx="208">
                  <c:v>103.75300907643059</c:v>
                </c:pt>
                <c:pt idx="209">
                  <c:v>103.70896045090727</c:v>
                </c:pt>
                <c:pt idx="210">
                  <c:v>103.66498253447725</c:v>
                </c:pt>
                <c:pt idx="211">
                  <c:v>103.62107532714049</c:v>
                </c:pt>
                <c:pt idx="212">
                  <c:v>103.57723882889704</c:v>
                </c:pt>
                <c:pt idx="213">
                  <c:v>103.53347303974687</c:v>
                </c:pt>
                <c:pt idx="214">
                  <c:v>103.48977795968997</c:v>
                </c:pt>
                <c:pt idx="215">
                  <c:v>103.44615358872638</c:v>
                </c:pt>
                <c:pt idx="216">
                  <c:v>103.40259992685604</c:v>
                </c:pt>
                <c:pt idx="217">
                  <c:v>103.359116974079</c:v>
                </c:pt>
                <c:pt idx="218">
                  <c:v>103.31570473039524</c:v>
                </c:pt>
                <c:pt idx="219">
                  <c:v>103.27236319580479</c:v>
                </c:pt>
                <c:pt idx="220">
                  <c:v>103.2290923703076</c:v>
                </c:pt>
                <c:pt idx="221">
                  <c:v>103.1858922539037</c:v>
                </c:pt>
                <c:pt idx="222">
                  <c:v>103.14276284659309</c:v>
                </c:pt>
                <c:pt idx="223">
                  <c:v>103.09970414837575</c:v>
                </c:pt>
                <c:pt idx="224">
                  <c:v>103.05671615925169</c:v>
                </c:pt>
                <c:pt idx="225">
                  <c:v>103.01379887922094</c:v>
                </c:pt>
                <c:pt idx="226">
                  <c:v>102.97095230828347</c:v>
                </c:pt>
                <c:pt idx="227">
                  <c:v>102.92817644643928</c:v>
                </c:pt>
                <c:pt idx="228">
                  <c:v>102.88547129368837</c:v>
                </c:pt>
                <c:pt idx="229">
                  <c:v>102.84283685003075</c:v>
                </c:pt>
                <c:pt idx="230">
                  <c:v>102.80027311546641</c:v>
                </c:pt>
                <c:pt idx="231">
                  <c:v>102.75778008999534</c:v>
                </c:pt>
                <c:pt idx="232">
                  <c:v>102.71535777361758</c:v>
                </c:pt>
                <c:pt idx="233">
                  <c:v>102.6730061663331</c:v>
                </c:pt>
                <c:pt idx="234">
                  <c:v>102.6307252681419</c:v>
                </c:pt>
                <c:pt idx="235">
                  <c:v>102.58851507904399</c:v>
                </c:pt>
                <c:pt idx="236">
                  <c:v>102.54637559903935</c:v>
                </c:pt>
                <c:pt idx="237">
                  <c:v>102.50430682812799</c:v>
                </c:pt>
                <c:pt idx="238">
                  <c:v>102.46230876630993</c:v>
                </c:pt>
                <c:pt idx="239">
                  <c:v>102.42038141358516</c:v>
                </c:pt>
                <c:pt idx="240">
                  <c:v>102.37852476995367</c:v>
                </c:pt>
                <c:pt idx="241">
                  <c:v>102.33673883541546</c:v>
                </c:pt>
                <c:pt idx="242">
                  <c:v>102.29503862541506</c:v>
                </c:pt>
                <c:pt idx="243">
                  <c:v>102.25343915539698</c:v>
                </c:pt>
                <c:pt idx="244">
                  <c:v>102.21194042536121</c:v>
                </c:pt>
                <c:pt idx="245">
                  <c:v>102.17054243530778</c:v>
                </c:pt>
                <c:pt idx="246">
                  <c:v>102.12924518523666</c:v>
                </c:pt>
                <c:pt idx="247">
                  <c:v>102.08804867514787</c:v>
                </c:pt>
                <c:pt idx="248">
                  <c:v>102.04695290504141</c:v>
                </c:pt>
                <c:pt idx="249">
                  <c:v>102.00595787491726</c:v>
                </c:pt>
                <c:pt idx="250">
                  <c:v>101.96506358477545</c:v>
                </c:pt>
                <c:pt idx="251">
                  <c:v>101.92427003461597</c:v>
                </c:pt>
                <c:pt idx="252">
                  <c:v>101.88357722443882</c:v>
                </c:pt>
                <c:pt idx="253">
                  <c:v>101.84298515424399</c:v>
                </c:pt>
                <c:pt idx="254">
                  <c:v>101.80249382403147</c:v>
                </c:pt>
                <c:pt idx="255">
                  <c:v>101.76210323380128</c:v>
                </c:pt>
                <c:pt idx="256">
                  <c:v>101.72181338355342</c:v>
                </c:pt>
                <c:pt idx="257">
                  <c:v>101.68162427328788</c:v>
                </c:pt>
                <c:pt idx="258">
                  <c:v>101.64153590300467</c:v>
                </c:pt>
                <c:pt idx="259">
                  <c:v>101.60154827270378</c:v>
                </c:pt>
                <c:pt idx="260">
                  <c:v>101.56166138238521</c:v>
                </c:pt>
                <c:pt idx="261">
                  <c:v>101.52187523204896</c:v>
                </c:pt>
                <c:pt idx="262">
                  <c:v>101.48218982169503</c:v>
                </c:pt>
                <c:pt idx="263">
                  <c:v>101.44260515132343</c:v>
                </c:pt>
                <c:pt idx="264">
                  <c:v>101.40312122093415</c:v>
                </c:pt>
                <c:pt idx="265">
                  <c:v>101.3637380305272</c:v>
                </c:pt>
                <c:pt idx="266">
                  <c:v>101.32445558010257</c:v>
                </c:pt>
                <c:pt idx="267">
                  <c:v>101.28527386966029</c:v>
                </c:pt>
                <c:pt idx="268">
                  <c:v>101.24619289920031</c:v>
                </c:pt>
                <c:pt idx="269">
                  <c:v>101.20721266872268</c:v>
                </c:pt>
                <c:pt idx="270">
                  <c:v>101.16833317822734</c:v>
                </c:pt>
                <c:pt idx="271">
                  <c:v>101.12955442771435</c:v>
                </c:pt>
                <c:pt idx="272">
                  <c:v>101.09087641718368</c:v>
                </c:pt>
                <c:pt idx="273">
                  <c:v>101.05229914663533</c:v>
                </c:pt>
                <c:pt idx="274">
                  <c:v>101.01382261606931</c:v>
                </c:pt>
                <c:pt idx="275">
                  <c:v>100.97544682548559</c:v>
                </c:pt>
                <c:pt idx="276">
                  <c:v>100.93717177488422</c:v>
                </c:pt>
                <c:pt idx="277">
                  <c:v>100.89899746426516</c:v>
                </c:pt>
                <c:pt idx="278">
                  <c:v>100.86092389362842</c:v>
                </c:pt>
                <c:pt idx="279">
                  <c:v>100.82295106297401</c:v>
                </c:pt>
                <c:pt idx="280">
                  <c:v>100.78507897230193</c:v>
                </c:pt>
                <c:pt idx="281">
                  <c:v>100.74730762161217</c:v>
                </c:pt>
                <c:pt idx="282">
                  <c:v>100.70963701090471</c:v>
                </c:pt>
                <c:pt idx="283">
                  <c:v>100.67206714017961</c:v>
                </c:pt>
                <c:pt idx="284">
                  <c:v>100.63458063442245</c:v>
                </c:pt>
                <c:pt idx="285">
                  <c:v>100.59716011861886</c:v>
                </c:pt>
                <c:pt idx="286">
                  <c:v>100.55980559276885</c:v>
                </c:pt>
                <c:pt idx="287">
                  <c:v>100.52251705687243</c:v>
                </c:pt>
                <c:pt idx="288">
                  <c:v>100.48529451092959</c:v>
                </c:pt>
                <c:pt idx="289">
                  <c:v>100.44813795494032</c:v>
                </c:pt>
                <c:pt idx="290">
                  <c:v>100.41104738890462</c:v>
                </c:pt>
                <c:pt idx="291">
                  <c:v>100.3740228128225</c:v>
                </c:pt>
                <c:pt idx="292">
                  <c:v>100.33706422669398</c:v>
                </c:pt>
                <c:pt idx="293">
                  <c:v>100.30017163051903</c:v>
                </c:pt>
                <c:pt idx="294">
                  <c:v>100.26334502429765</c:v>
                </c:pt>
                <c:pt idx="295">
                  <c:v>100.22658440802985</c:v>
                </c:pt>
                <c:pt idx="296">
                  <c:v>100.18988978171562</c:v>
                </c:pt>
                <c:pt idx="297">
                  <c:v>100.15326114535499</c:v>
                </c:pt>
                <c:pt idx="298">
                  <c:v>100.11669849894793</c:v>
                </c:pt>
                <c:pt idx="299">
                  <c:v>100.08020184249445</c:v>
                </c:pt>
                <c:pt idx="300">
                  <c:v>100.04377117599454</c:v>
                </c:pt>
                <c:pt idx="301">
                  <c:v>100.00740649944819</c:v>
                </c:pt>
                <c:pt idx="302">
                  <c:v>99.97110781285545</c:v>
                </c:pt>
                <c:pt idx="303">
                  <c:v>99.934875116216276</c:v>
                </c:pt>
                <c:pt idx="304">
                  <c:v>99.898708409530684</c:v>
                </c:pt>
                <c:pt idx="305">
                  <c:v>99.862607692798662</c:v>
                </c:pt>
                <c:pt idx="306">
                  <c:v>99.826572966020223</c:v>
                </c:pt>
                <c:pt idx="307">
                  <c:v>99.790604229195367</c:v>
                </c:pt>
                <c:pt idx="308">
                  <c:v>99.754701482324094</c:v>
                </c:pt>
                <c:pt idx="309">
                  <c:v>99.718864725406391</c:v>
                </c:pt>
                <c:pt idx="310">
                  <c:v>99.683093958442271</c:v>
                </c:pt>
                <c:pt idx="311">
                  <c:v>99.647389181431706</c:v>
                </c:pt>
                <c:pt idx="312">
                  <c:v>99.611750394374752</c:v>
                </c:pt>
                <c:pt idx="313">
                  <c:v>99.576177597271368</c:v>
                </c:pt>
                <c:pt idx="314">
                  <c:v>99.540670790121553</c:v>
                </c:pt>
                <c:pt idx="315">
                  <c:v>99.505229972925321</c:v>
                </c:pt>
                <c:pt idx="316">
                  <c:v>99.469855145682658</c:v>
                </c:pt>
                <c:pt idx="317">
                  <c:v>99.434546308393593</c:v>
                </c:pt>
                <c:pt idx="318">
                  <c:v>99.399303461058096</c:v>
                </c:pt>
                <c:pt idx="319">
                  <c:v>99.364126603676169</c:v>
                </c:pt>
                <c:pt idx="320">
                  <c:v>99.329015736247825</c:v>
                </c:pt>
                <c:pt idx="321">
                  <c:v>99.293970858773065</c:v>
                </c:pt>
                <c:pt idx="322">
                  <c:v>99.258991971251888</c:v>
                </c:pt>
                <c:pt idx="323">
                  <c:v>99.22407907368428</c:v>
                </c:pt>
                <c:pt idx="324">
                  <c:v>99.189232166070255</c:v>
                </c:pt>
                <c:pt idx="325">
                  <c:v>99.154451248409799</c:v>
                </c:pt>
                <c:pt idx="326">
                  <c:v>99.119735267671743</c:v>
                </c:pt>
                <c:pt idx="327">
                  <c:v>99.08508317082493</c:v>
                </c:pt>
                <c:pt idx="328">
                  <c:v>99.050494957869347</c:v>
                </c:pt>
                <c:pt idx="329">
                  <c:v>99.015970628805007</c:v>
                </c:pt>
                <c:pt idx="330">
                  <c:v>98.981510183631883</c:v>
                </c:pt>
                <c:pt idx="331">
                  <c:v>98.947113622349988</c:v>
                </c:pt>
                <c:pt idx="332">
                  <c:v>98.912780944959323</c:v>
                </c:pt>
                <c:pt idx="333">
                  <c:v>98.878512151459901</c:v>
                </c:pt>
                <c:pt idx="334">
                  <c:v>98.844307241851695</c:v>
                </c:pt>
                <c:pt idx="335">
                  <c:v>98.810166216134718</c:v>
                </c:pt>
                <c:pt idx="336">
                  <c:v>98.77608907430897</c:v>
                </c:pt>
                <c:pt idx="337">
                  <c:v>98.742075816374438</c:v>
                </c:pt>
                <c:pt idx="338">
                  <c:v>98.70812644233115</c:v>
                </c:pt>
                <c:pt idx="339">
                  <c:v>98.67424095217909</c:v>
                </c:pt>
                <c:pt idx="340">
                  <c:v>98.640419345918275</c:v>
                </c:pt>
                <c:pt idx="341">
                  <c:v>98.606661623548689</c:v>
                </c:pt>
                <c:pt idx="342">
                  <c:v>98.572967785070318</c:v>
                </c:pt>
                <c:pt idx="343">
                  <c:v>98.539337830483191</c:v>
                </c:pt>
                <c:pt idx="344">
                  <c:v>98.505771759787294</c:v>
                </c:pt>
                <c:pt idx="345">
                  <c:v>98.472269572982611</c:v>
                </c:pt>
                <c:pt idx="346">
                  <c:v>98.438831270069173</c:v>
                </c:pt>
                <c:pt idx="347">
                  <c:v>98.405456851046949</c:v>
                </c:pt>
                <c:pt idx="348">
                  <c:v>98.37214631591597</c:v>
                </c:pt>
                <c:pt idx="349">
                  <c:v>98.338899664676205</c:v>
                </c:pt>
                <c:pt idx="350">
                  <c:v>98.30571689732767</c:v>
                </c:pt>
                <c:pt idx="351">
                  <c:v>98.272598013870393</c:v>
                </c:pt>
                <c:pt idx="352">
                  <c:v>98.239543014304331</c:v>
                </c:pt>
                <c:pt idx="353">
                  <c:v>98.206551898629499</c:v>
                </c:pt>
                <c:pt idx="354">
                  <c:v>98.17362466684591</c:v>
                </c:pt>
                <c:pt idx="355">
                  <c:v>98.140761318953537</c:v>
                </c:pt>
                <c:pt idx="356">
                  <c:v>98.107961854952393</c:v>
                </c:pt>
                <c:pt idx="357">
                  <c:v>98.075226274842478</c:v>
                </c:pt>
                <c:pt idx="358">
                  <c:v>98.042554578623793</c:v>
                </c:pt>
                <c:pt idx="359">
                  <c:v>98.009946766296338</c:v>
                </c:pt>
                <c:pt idx="360">
                  <c:v>97.977402837860112</c:v>
                </c:pt>
                <c:pt idx="361">
                  <c:v>97.944922793315101</c:v>
                </c:pt>
                <c:pt idx="362">
                  <c:v>97.912506632661334</c:v>
                </c:pt>
                <c:pt idx="363">
                  <c:v>97.88015435589881</c:v>
                </c:pt>
                <c:pt idx="364">
                  <c:v>97.847865963027516</c:v>
                </c:pt>
                <c:pt idx="365">
                  <c:v>97.815641454047437</c:v>
                </c:pt>
                <c:pt idx="366">
                  <c:v>97.783454456377854</c:v>
                </c:pt>
                <c:pt idx="367">
                  <c:v>97.751278597438031</c:v>
                </c:pt>
                <c:pt idx="368">
                  <c:v>97.719113877227954</c:v>
                </c:pt>
                <c:pt idx="369">
                  <c:v>97.686960295747625</c:v>
                </c:pt>
                <c:pt idx="370">
                  <c:v>97.65481785299707</c:v>
                </c:pt>
                <c:pt idx="371">
                  <c:v>97.622686548976247</c:v>
                </c:pt>
                <c:pt idx="372">
                  <c:v>97.590566383685186</c:v>
                </c:pt>
                <c:pt idx="373">
                  <c:v>97.558457357123871</c:v>
                </c:pt>
                <c:pt idx="374">
                  <c:v>97.526359469292316</c:v>
                </c:pt>
                <c:pt idx="375">
                  <c:v>97.494272720190509</c:v>
                </c:pt>
                <c:pt idx="376">
                  <c:v>97.462197109818447</c:v>
                </c:pt>
                <c:pt idx="377">
                  <c:v>97.430132638176147</c:v>
                </c:pt>
                <c:pt idx="378">
                  <c:v>97.398079305263607</c:v>
                </c:pt>
                <c:pt idx="379">
                  <c:v>97.3660371110808</c:v>
                </c:pt>
                <c:pt idx="380">
                  <c:v>97.334006055627768</c:v>
                </c:pt>
                <c:pt idx="381">
                  <c:v>97.302014477143416</c:v>
                </c:pt>
                <c:pt idx="382">
                  <c:v>97.270090713866665</c:v>
                </c:pt>
                <c:pt idx="383">
                  <c:v>97.238234765797529</c:v>
                </c:pt>
                <c:pt idx="384">
                  <c:v>97.206446632936022</c:v>
                </c:pt>
                <c:pt idx="385">
                  <c:v>97.174726315282101</c:v>
                </c:pt>
                <c:pt idx="386">
                  <c:v>97.143073812835823</c:v>
                </c:pt>
                <c:pt idx="387">
                  <c:v>97.111489125597146</c:v>
                </c:pt>
                <c:pt idx="388">
                  <c:v>97.079972253566083</c:v>
                </c:pt>
                <c:pt idx="389">
                  <c:v>97.048523196742636</c:v>
                </c:pt>
                <c:pt idx="390">
                  <c:v>97.017141955126789</c:v>
                </c:pt>
                <c:pt idx="391">
                  <c:v>96.985828528718571</c:v>
                </c:pt>
                <c:pt idx="392">
                  <c:v>96.954582917517953</c:v>
                </c:pt>
                <c:pt idx="393">
                  <c:v>96.923405121524965</c:v>
                </c:pt>
                <c:pt idx="394">
                  <c:v>96.892295140739577</c:v>
                </c:pt>
                <c:pt idx="395">
                  <c:v>96.861252975161804</c:v>
                </c:pt>
                <c:pt idx="396">
                  <c:v>96.83027862479166</c:v>
                </c:pt>
                <c:pt idx="397">
                  <c:v>96.799372089629102</c:v>
                </c:pt>
                <c:pt idx="398">
                  <c:v>96.768533369674174</c:v>
                </c:pt>
                <c:pt idx="399">
                  <c:v>96.73776246492686</c:v>
                </c:pt>
                <c:pt idx="400">
                  <c:v>96.707059375387161</c:v>
                </c:pt>
                <c:pt idx="401">
                  <c:v>96.676446214709713</c:v>
                </c:pt>
                <c:pt idx="402">
                  <c:v>96.645945096549212</c:v>
                </c:pt>
                <c:pt idx="403">
                  <c:v>96.615556020905629</c:v>
                </c:pt>
                <c:pt idx="404">
                  <c:v>96.585278987778977</c:v>
                </c:pt>
                <c:pt idx="405">
                  <c:v>96.555113997169258</c:v>
                </c:pt>
                <c:pt idx="406">
                  <c:v>96.525061049076456</c:v>
                </c:pt>
                <c:pt idx="407">
                  <c:v>96.495120143500586</c:v>
                </c:pt>
                <c:pt idx="408">
                  <c:v>96.465291280441633</c:v>
                </c:pt>
                <c:pt idx="409">
                  <c:v>96.435574459899613</c:v>
                </c:pt>
                <c:pt idx="410">
                  <c:v>96.40596968187451</c:v>
                </c:pt>
                <c:pt idx="411">
                  <c:v>96.376598653369385</c:v>
                </c:pt>
                <c:pt idx="412">
                  <c:v>96.347583081387256</c:v>
                </c:pt>
                <c:pt idx="413">
                  <c:v>96.318922965928124</c:v>
                </c:pt>
                <c:pt idx="414">
                  <c:v>96.290618306991988</c:v>
                </c:pt>
                <c:pt idx="415">
                  <c:v>96.262669104578848</c:v>
                </c:pt>
                <c:pt idx="416">
                  <c:v>96.23507535868869</c:v>
                </c:pt>
                <c:pt idx="417">
                  <c:v>96.207837069321542</c:v>
                </c:pt>
                <c:pt idx="418">
                  <c:v>96.18095423647739</c:v>
                </c:pt>
                <c:pt idx="419">
                  <c:v>96.154426860156235</c:v>
                </c:pt>
                <c:pt idx="420">
                  <c:v>96.128323943150846</c:v>
                </c:pt>
                <c:pt idx="421">
                  <c:v>96.102714488254009</c:v>
                </c:pt>
                <c:pt idx="422">
                  <c:v>96.077598495465708</c:v>
                </c:pt>
                <c:pt idx="423">
                  <c:v>96.052975964785944</c:v>
                </c:pt>
                <c:pt idx="424">
                  <c:v>96.028846896214716</c:v>
                </c:pt>
                <c:pt idx="425">
                  <c:v>96.00521128975204</c:v>
                </c:pt>
                <c:pt idx="426">
                  <c:v>95.982069145397887</c:v>
                </c:pt>
                <c:pt idx="427">
                  <c:v>95.959420463152284</c:v>
                </c:pt>
                <c:pt idx="428">
                  <c:v>95.937265243015219</c:v>
                </c:pt>
                <c:pt idx="429">
                  <c:v>95.915603484986704</c:v>
                </c:pt>
                <c:pt idx="430">
                  <c:v>95.894435189066712</c:v>
                </c:pt>
                <c:pt idx="431">
                  <c:v>95.873760355255271</c:v>
                </c:pt>
                <c:pt idx="432">
                  <c:v>95.853689756581701</c:v>
                </c:pt>
                <c:pt idx="433">
                  <c:v>95.834334166075365</c:v>
                </c:pt>
                <c:pt idx="434">
                  <c:v>95.815693583736262</c:v>
                </c:pt>
                <c:pt idx="435">
                  <c:v>95.797768009564393</c:v>
                </c:pt>
                <c:pt idx="436">
                  <c:v>95.780557443559744</c:v>
                </c:pt>
                <c:pt idx="437">
                  <c:v>95.764061885722313</c:v>
                </c:pt>
                <c:pt idx="438">
                  <c:v>95.748281336052116</c:v>
                </c:pt>
                <c:pt idx="439">
                  <c:v>95.733215794549167</c:v>
                </c:pt>
                <c:pt idx="440">
                  <c:v>95.718865261213423</c:v>
                </c:pt>
                <c:pt idx="441">
                  <c:v>95.705229736044913</c:v>
                </c:pt>
                <c:pt idx="442">
                  <c:v>95.692242096283806</c:v>
                </c:pt>
                <c:pt idx="443">
                  <c:v>95.679835219170243</c:v>
                </c:pt>
                <c:pt idx="444">
                  <c:v>95.668009104704211</c:v>
                </c:pt>
                <c:pt idx="445">
                  <c:v>95.656763752885738</c:v>
                </c:pt>
                <c:pt idx="446">
                  <c:v>95.646099163714794</c:v>
                </c:pt>
                <c:pt idx="447">
                  <c:v>95.636015337191409</c:v>
                </c:pt>
                <c:pt idx="448">
                  <c:v>95.626512273315555</c:v>
                </c:pt>
                <c:pt idx="449">
                  <c:v>95.617589972087259</c:v>
                </c:pt>
                <c:pt idx="450">
                  <c:v>95.609248433506508</c:v>
                </c:pt>
                <c:pt idx="451">
                  <c:v>95.601487657573287</c:v>
                </c:pt>
                <c:pt idx="452">
                  <c:v>95.594307644287639</c:v>
                </c:pt>
                <c:pt idx="453">
                  <c:v>95.587612428206256</c:v>
                </c:pt>
                <c:pt idx="454">
                  <c:v>95.581306043885945</c:v>
                </c:pt>
                <c:pt idx="455">
                  <c:v>95.575388491326663</c:v>
                </c:pt>
                <c:pt idx="456">
                  <c:v>95.569859770528424</c:v>
                </c:pt>
                <c:pt idx="457">
                  <c:v>95.564719881491257</c:v>
                </c:pt>
                <c:pt idx="458">
                  <c:v>95.559968824215105</c:v>
                </c:pt>
                <c:pt idx="459">
                  <c:v>95.55560659870001</c:v>
                </c:pt>
                <c:pt idx="460">
                  <c:v>95.551633204945958</c:v>
                </c:pt>
                <c:pt idx="461">
                  <c:v>95.547962338272953</c:v>
                </c:pt>
                <c:pt idx="462">
                  <c:v>95.544507694001055</c:v>
                </c:pt>
                <c:pt idx="463">
                  <c:v>95.541269272130236</c:v>
                </c:pt>
                <c:pt idx="464">
                  <c:v>95.538247072660496</c:v>
                </c:pt>
                <c:pt idx="465">
                  <c:v>95.53544109559185</c:v>
                </c:pt>
                <c:pt idx="466">
                  <c:v>95.532923824570119</c:v>
                </c:pt>
                <c:pt idx="467">
                  <c:v>95.5307677432411</c:v>
                </c:pt>
                <c:pt idx="468">
                  <c:v>95.529779999999775</c:v>
                </c:pt>
                <c:pt idx="469">
                  <c:v>95.529779999999775</c:v>
                </c:pt>
                <c:pt idx="470">
                  <c:v>95.529779999999775</c:v>
                </c:pt>
                <c:pt idx="471">
                  <c:v>95.529779999999775</c:v>
                </c:pt>
                <c:pt idx="472">
                  <c:v>95.529779999999775</c:v>
                </c:pt>
                <c:pt idx="473">
                  <c:v>95.529779999999775</c:v>
                </c:pt>
                <c:pt idx="474">
                  <c:v>95.529779999999775</c:v>
                </c:pt>
                <c:pt idx="475">
                  <c:v>95.529779999999775</c:v>
                </c:pt>
                <c:pt idx="476">
                  <c:v>95.529779999999775</c:v>
                </c:pt>
                <c:pt idx="477">
                  <c:v>95.529779999999775</c:v>
                </c:pt>
                <c:pt idx="478">
                  <c:v>95.529779999999775</c:v>
                </c:pt>
                <c:pt idx="479">
                  <c:v>95.529779999999775</c:v>
                </c:pt>
                <c:pt idx="480">
                  <c:v>95.529779999999775</c:v>
                </c:pt>
                <c:pt idx="481">
                  <c:v>95.529779999999775</c:v>
                </c:pt>
                <c:pt idx="482">
                  <c:v>95.529779999999775</c:v>
                </c:pt>
                <c:pt idx="483">
                  <c:v>95.529779999999775</c:v>
                </c:pt>
                <c:pt idx="484">
                  <c:v>95.529779999999775</c:v>
                </c:pt>
                <c:pt idx="485">
                  <c:v>95.529779999999775</c:v>
                </c:pt>
                <c:pt idx="486">
                  <c:v>95.529779999999775</c:v>
                </c:pt>
                <c:pt idx="487">
                  <c:v>95.529779999999775</c:v>
                </c:pt>
                <c:pt idx="488">
                  <c:v>95.529779999999775</c:v>
                </c:pt>
                <c:pt idx="489">
                  <c:v>95.529779999999775</c:v>
                </c:pt>
                <c:pt idx="490">
                  <c:v>95.529779999999775</c:v>
                </c:pt>
                <c:pt idx="491">
                  <c:v>95.529779999999775</c:v>
                </c:pt>
                <c:pt idx="492">
                  <c:v>95.529779999999775</c:v>
                </c:pt>
                <c:pt idx="493">
                  <c:v>95.529779999999775</c:v>
                </c:pt>
                <c:pt idx="494">
                  <c:v>95.529779999999775</c:v>
                </c:pt>
                <c:pt idx="495">
                  <c:v>95.529779999999775</c:v>
                </c:pt>
                <c:pt idx="496">
                  <c:v>95.529779999999775</c:v>
                </c:pt>
                <c:pt idx="497">
                  <c:v>95.529779999999775</c:v>
                </c:pt>
                <c:pt idx="498">
                  <c:v>95.529779999999775</c:v>
                </c:pt>
                <c:pt idx="499">
                  <c:v>95.529779999999775</c:v>
                </c:pt>
                <c:pt idx="500">
                  <c:v>95.529779999999775</c:v>
                </c:pt>
                <c:pt idx="501">
                  <c:v>95.529779999999775</c:v>
                </c:pt>
                <c:pt idx="502">
                  <c:v>95.529779999999775</c:v>
                </c:pt>
                <c:pt idx="503">
                  <c:v>95.529779999999775</c:v>
                </c:pt>
                <c:pt idx="504">
                  <c:v>95.529779999999775</c:v>
                </c:pt>
                <c:pt idx="505">
                  <c:v>95.529779999999775</c:v>
                </c:pt>
                <c:pt idx="506">
                  <c:v>95.529779999999775</c:v>
                </c:pt>
                <c:pt idx="507">
                  <c:v>95.529779999999775</c:v>
                </c:pt>
                <c:pt idx="508">
                  <c:v>95.529779999999775</c:v>
                </c:pt>
                <c:pt idx="509">
                  <c:v>95.529779999999775</c:v>
                </c:pt>
                <c:pt idx="510">
                  <c:v>95.529779999999775</c:v>
                </c:pt>
                <c:pt idx="511">
                  <c:v>95.529779999999775</c:v>
                </c:pt>
                <c:pt idx="512">
                  <c:v>95.529779999999775</c:v>
                </c:pt>
                <c:pt idx="513">
                  <c:v>95.529779999999775</c:v>
                </c:pt>
                <c:pt idx="514">
                  <c:v>95.529779999999775</c:v>
                </c:pt>
                <c:pt idx="515">
                  <c:v>95.529779999999775</c:v>
                </c:pt>
                <c:pt idx="516">
                  <c:v>95.529779999999775</c:v>
                </c:pt>
                <c:pt idx="517">
                  <c:v>95.529779999999775</c:v>
                </c:pt>
                <c:pt idx="518">
                  <c:v>95.529779999999775</c:v>
                </c:pt>
                <c:pt idx="519">
                  <c:v>95.529779999999775</c:v>
                </c:pt>
                <c:pt idx="520">
                  <c:v>95.529779999999775</c:v>
                </c:pt>
                <c:pt idx="521">
                  <c:v>95.529779999999775</c:v>
                </c:pt>
                <c:pt idx="522">
                  <c:v>95.529779999999775</c:v>
                </c:pt>
                <c:pt idx="523">
                  <c:v>95.529779999999775</c:v>
                </c:pt>
                <c:pt idx="524">
                  <c:v>95.529779999999775</c:v>
                </c:pt>
                <c:pt idx="525">
                  <c:v>95.529779999999775</c:v>
                </c:pt>
                <c:pt idx="526">
                  <c:v>95.529779999999775</c:v>
                </c:pt>
                <c:pt idx="527">
                  <c:v>95.529779999999775</c:v>
                </c:pt>
                <c:pt idx="528">
                  <c:v>95.529779999999775</c:v>
                </c:pt>
                <c:pt idx="529">
                  <c:v>95.529779999999775</c:v>
                </c:pt>
                <c:pt idx="530">
                  <c:v>95.529779999999775</c:v>
                </c:pt>
                <c:pt idx="531">
                  <c:v>95.529779999999775</c:v>
                </c:pt>
                <c:pt idx="532">
                  <c:v>95.529779999999775</c:v>
                </c:pt>
                <c:pt idx="533">
                  <c:v>95.529779999999775</c:v>
                </c:pt>
                <c:pt idx="534">
                  <c:v>95.529779999999775</c:v>
                </c:pt>
                <c:pt idx="535">
                  <c:v>95.529779999999775</c:v>
                </c:pt>
                <c:pt idx="536">
                  <c:v>95.529779999999775</c:v>
                </c:pt>
                <c:pt idx="537">
                  <c:v>95.529779999999775</c:v>
                </c:pt>
                <c:pt idx="538">
                  <c:v>95.529779999999775</c:v>
                </c:pt>
                <c:pt idx="539">
                  <c:v>95.529779999999775</c:v>
                </c:pt>
                <c:pt idx="540">
                  <c:v>95.529779999999775</c:v>
                </c:pt>
                <c:pt idx="541">
                  <c:v>95.529779999999775</c:v>
                </c:pt>
                <c:pt idx="542">
                  <c:v>95.529779999999775</c:v>
                </c:pt>
                <c:pt idx="543">
                  <c:v>95.529779999999775</c:v>
                </c:pt>
                <c:pt idx="544">
                  <c:v>95.529779999999775</c:v>
                </c:pt>
                <c:pt idx="545">
                  <c:v>95.529779999999775</c:v>
                </c:pt>
                <c:pt idx="546">
                  <c:v>95.529779999999775</c:v>
                </c:pt>
                <c:pt idx="547">
                  <c:v>95.529779999999775</c:v>
                </c:pt>
                <c:pt idx="548">
                  <c:v>95.529779999999775</c:v>
                </c:pt>
                <c:pt idx="549">
                  <c:v>95.529779999999775</c:v>
                </c:pt>
                <c:pt idx="550">
                  <c:v>95.529779999999775</c:v>
                </c:pt>
                <c:pt idx="551">
                  <c:v>95.529779999999775</c:v>
                </c:pt>
                <c:pt idx="552">
                  <c:v>95.529779999999775</c:v>
                </c:pt>
                <c:pt idx="553">
                  <c:v>95.529779999999775</c:v>
                </c:pt>
                <c:pt idx="554">
                  <c:v>95.529779999999775</c:v>
                </c:pt>
                <c:pt idx="555">
                  <c:v>95.529779999999775</c:v>
                </c:pt>
                <c:pt idx="556">
                  <c:v>95.529779999999775</c:v>
                </c:pt>
                <c:pt idx="557">
                  <c:v>95.529779999999775</c:v>
                </c:pt>
                <c:pt idx="558">
                  <c:v>95.529779999999775</c:v>
                </c:pt>
                <c:pt idx="559">
                  <c:v>95.529779999999775</c:v>
                </c:pt>
                <c:pt idx="560">
                  <c:v>95.529779999999775</c:v>
                </c:pt>
                <c:pt idx="561">
                  <c:v>95.529779999999775</c:v>
                </c:pt>
                <c:pt idx="562">
                  <c:v>95.529779999999775</c:v>
                </c:pt>
                <c:pt idx="563">
                  <c:v>95.529779999999775</c:v>
                </c:pt>
                <c:pt idx="564">
                  <c:v>95.529779999999775</c:v>
                </c:pt>
                <c:pt idx="565">
                  <c:v>95.529779999999775</c:v>
                </c:pt>
                <c:pt idx="566">
                  <c:v>95.529779999999775</c:v>
                </c:pt>
                <c:pt idx="567">
                  <c:v>95.529779999999775</c:v>
                </c:pt>
                <c:pt idx="568">
                  <c:v>95.529779999999775</c:v>
                </c:pt>
                <c:pt idx="569">
                  <c:v>95.529779999999775</c:v>
                </c:pt>
                <c:pt idx="570">
                  <c:v>95.529779999999775</c:v>
                </c:pt>
                <c:pt idx="571">
                  <c:v>95.529779999999775</c:v>
                </c:pt>
                <c:pt idx="572">
                  <c:v>95.529779999999775</c:v>
                </c:pt>
                <c:pt idx="573">
                  <c:v>95.529779999999775</c:v>
                </c:pt>
                <c:pt idx="574">
                  <c:v>95.529779999999775</c:v>
                </c:pt>
                <c:pt idx="575">
                  <c:v>95.529779999999775</c:v>
                </c:pt>
                <c:pt idx="576">
                  <c:v>95.529779999999775</c:v>
                </c:pt>
                <c:pt idx="577">
                  <c:v>95.529779999999775</c:v>
                </c:pt>
                <c:pt idx="578">
                  <c:v>95.529779999999775</c:v>
                </c:pt>
                <c:pt idx="579">
                  <c:v>95.529779999999775</c:v>
                </c:pt>
                <c:pt idx="580">
                  <c:v>95.529779999999775</c:v>
                </c:pt>
                <c:pt idx="581">
                  <c:v>95.529779999999775</c:v>
                </c:pt>
                <c:pt idx="582">
                  <c:v>95.529779999999775</c:v>
                </c:pt>
                <c:pt idx="583">
                  <c:v>95.529779999999775</c:v>
                </c:pt>
                <c:pt idx="584">
                  <c:v>95.529779999999775</c:v>
                </c:pt>
                <c:pt idx="585">
                  <c:v>95.529779999999775</c:v>
                </c:pt>
                <c:pt idx="586">
                  <c:v>95.529779999999775</c:v>
                </c:pt>
                <c:pt idx="587">
                  <c:v>95.529779999999775</c:v>
                </c:pt>
                <c:pt idx="588">
                  <c:v>95.529779999999775</c:v>
                </c:pt>
                <c:pt idx="589">
                  <c:v>95.529779999999775</c:v>
                </c:pt>
                <c:pt idx="590">
                  <c:v>95.529779999999775</c:v>
                </c:pt>
                <c:pt idx="591">
                  <c:v>95.529779999999775</c:v>
                </c:pt>
                <c:pt idx="592">
                  <c:v>95.529779999999775</c:v>
                </c:pt>
                <c:pt idx="593">
                  <c:v>95.529779999999775</c:v>
                </c:pt>
                <c:pt idx="594">
                  <c:v>95.529779999999775</c:v>
                </c:pt>
                <c:pt idx="595">
                  <c:v>95.529779999999775</c:v>
                </c:pt>
                <c:pt idx="596">
                  <c:v>95.529779999999775</c:v>
                </c:pt>
                <c:pt idx="597">
                  <c:v>95.529779999999775</c:v>
                </c:pt>
                <c:pt idx="598">
                  <c:v>95.529779999999775</c:v>
                </c:pt>
                <c:pt idx="599">
                  <c:v>95.529779999999775</c:v>
                </c:pt>
                <c:pt idx="600">
                  <c:v>95.529779999999775</c:v>
                </c:pt>
                <c:pt idx="601">
                  <c:v>95.529779999999775</c:v>
                </c:pt>
                <c:pt idx="602">
                  <c:v>95.529779999999775</c:v>
                </c:pt>
                <c:pt idx="603">
                  <c:v>95.529779999999775</c:v>
                </c:pt>
                <c:pt idx="604">
                  <c:v>95.529779999999775</c:v>
                </c:pt>
                <c:pt idx="605">
                  <c:v>95.529779999999775</c:v>
                </c:pt>
                <c:pt idx="606">
                  <c:v>95.529779999999775</c:v>
                </c:pt>
                <c:pt idx="607">
                  <c:v>95.529779999999775</c:v>
                </c:pt>
                <c:pt idx="608">
                  <c:v>95.529779999999775</c:v>
                </c:pt>
                <c:pt idx="609">
                  <c:v>95.529779999999775</c:v>
                </c:pt>
                <c:pt idx="610">
                  <c:v>95.529779999999775</c:v>
                </c:pt>
                <c:pt idx="611">
                  <c:v>95.529779999999775</c:v>
                </c:pt>
                <c:pt idx="612">
                  <c:v>95.529779999999775</c:v>
                </c:pt>
                <c:pt idx="613">
                  <c:v>95.529779999999775</c:v>
                </c:pt>
                <c:pt idx="614">
                  <c:v>95.529779999999775</c:v>
                </c:pt>
                <c:pt idx="615">
                  <c:v>95.529779999999775</c:v>
                </c:pt>
                <c:pt idx="616">
                  <c:v>95.529779999999775</c:v>
                </c:pt>
                <c:pt idx="617">
                  <c:v>95.529779999999775</c:v>
                </c:pt>
                <c:pt idx="618">
                  <c:v>95.529779999999775</c:v>
                </c:pt>
                <c:pt idx="619">
                  <c:v>95.529779999999775</c:v>
                </c:pt>
                <c:pt idx="620">
                  <c:v>95.529779999999775</c:v>
                </c:pt>
                <c:pt idx="621">
                  <c:v>95.529779999999775</c:v>
                </c:pt>
                <c:pt idx="622">
                  <c:v>95.529779999999775</c:v>
                </c:pt>
                <c:pt idx="623">
                  <c:v>95.529779999999775</c:v>
                </c:pt>
                <c:pt idx="624">
                  <c:v>95.529779999999775</c:v>
                </c:pt>
                <c:pt idx="625">
                  <c:v>95.529779999999775</c:v>
                </c:pt>
                <c:pt idx="626">
                  <c:v>95.529779999999775</c:v>
                </c:pt>
                <c:pt idx="627">
                  <c:v>95.529779999999775</c:v>
                </c:pt>
                <c:pt idx="628">
                  <c:v>95.529779999999775</c:v>
                </c:pt>
                <c:pt idx="629">
                  <c:v>95.529779999999775</c:v>
                </c:pt>
                <c:pt idx="630">
                  <c:v>95.529779999999775</c:v>
                </c:pt>
                <c:pt idx="631">
                  <c:v>95.529779999999775</c:v>
                </c:pt>
                <c:pt idx="632">
                  <c:v>95.529779999999775</c:v>
                </c:pt>
                <c:pt idx="633">
                  <c:v>95.529779999999775</c:v>
                </c:pt>
                <c:pt idx="634">
                  <c:v>95.529779999999775</c:v>
                </c:pt>
                <c:pt idx="635">
                  <c:v>95.529779999999775</c:v>
                </c:pt>
                <c:pt idx="636">
                  <c:v>95.529779999999775</c:v>
                </c:pt>
                <c:pt idx="637">
                  <c:v>95.529779999999775</c:v>
                </c:pt>
                <c:pt idx="638">
                  <c:v>95.529779999999775</c:v>
                </c:pt>
                <c:pt idx="639">
                  <c:v>95.529779999999775</c:v>
                </c:pt>
                <c:pt idx="640">
                  <c:v>95.529779999999775</c:v>
                </c:pt>
                <c:pt idx="641">
                  <c:v>95.529779999999775</c:v>
                </c:pt>
                <c:pt idx="642">
                  <c:v>95.529779999999775</c:v>
                </c:pt>
                <c:pt idx="643">
                  <c:v>95.529779999999775</c:v>
                </c:pt>
                <c:pt idx="644">
                  <c:v>95.529779999999775</c:v>
                </c:pt>
                <c:pt idx="645">
                  <c:v>95.529779999999775</c:v>
                </c:pt>
                <c:pt idx="646">
                  <c:v>95.529779999999775</c:v>
                </c:pt>
                <c:pt idx="647">
                  <c:v>95.529779999999775</c:v>
                </c:pt>
                <c:pt idx="648">
                  <c:v>95.529779999999775</c:v>
                </c:pt>
                <c:pt idx="649">
                  <c:v>95.529779999999775</c:v>
                </c:pt>
                <c:pt idx="650">
                  <c:v>95.529779999999775</c:v>
                </c:pt>
                <c:pt idx="651">
                  <c:v>95.529779999999775</c:v>
                </c:pt>
                <c:pt idx="652">
                  <c:v>95.529779999999775</c:v>
                </c:pt>
                <c:pt idx="653">
                  <c:v>95.529779999999775</c:v>
                </c:pt>
                <c:pt idx="654">
                  <c:v>95.529779999999775</c:v>
                </c:pt>
                <c:pt idx="655">
                  <c:v>95.529779999999775</c:v>
                </c:pt>
                <c:pt idx="656">
                  <c:v>95.529779999999775</c:v>
                </c:pt>
                <c:pt idx="657">
                  <c:v>95.529779999999775</c:v>
                </c:pt>
                <c:pt idx="658">
                  <c:v>95.529779999999775</c:v>
                </c:pt>
                <c:pt idx="659">
                  <c:v>95.529779999999775</c:v>
                </c:pt>
                <c:pt idx="660">
                  <c:v>95.529779999999775</c:v>
                </c:pt>
                <c:pt idx="661">
                  <c:v>95.529779999999775</c:v>
                </c:pt>
                <c:pt idx="662">
                  <c:v>95.529779999999775</c:v>
                </c:pt>
                <c:pt idx="663">
                  <c:v>95.529779999999775</c:v>
                </c:pt>
                <c:pt idx="664">
                  <c:v>95.529779999999775</c:v>
                </c:pt>
                <c:pt idx="665">
                  <c:v>95.529779999999775</c:v>
                </c:pt>
                <c:pt idx="666">
                  <c:v>95.529779999999775</c:v>
                </c:pt>
                <c:pt idx="667">
                  <c:v>95.529779999999775</c:v>
                </c:pt>
                <c:pt idx="668">
                  <c:v>95.529779999999775</c:v>
                </c:pt>
                <c:pt idx="669">
                  <c:v>95.529779999999775</c:v>
                </c:pt>
                <c:pt idx="670">
                  <c:v>95.529779999999775</c:v>
                </c:pt>
                <c:pt idx="671">
                  <c:v>95.529779999999775</c:v>
                </c:pt>
                <c:pt idx="672">
                  <c:v>95.529779999999775</c:v>
                </c:pt>
                <c:pt idx="673">
                  <c:v>95.529779999999775</c:v>
                </c:pt>
                <c:pt idx="674">
                  <c:v>95.529779999999775</c:v>
                </c:pt>
                <c:pt idx="675">
                  <c:v>95.529779999999775</c:v>
                </c:pt>
                <c:pt idx="676">
                  <c:v>95.529779999999775</c:v>
                </c:pt>
                <c:pt idx="677">
                  <c:v>95.529779999999775</c:v>
                </c:pt>
                <c:pt idx="678">
                  <c:v>95.529779999999775</c:v>
                </c:pt>
                <c:pt idx="679">
                  <c:v>95.529779999999775</c:v>
                </c:pt>
                <c:pt idx="680">
                  <c:v>95.529779999999775</c:v>
                </c:pt>
                <c:pt idx="681">
                  <c:v>95.529779999999775</c:v>
                </c:pt>
                <c:pt idx="682">
                  <c:v>95.529779999999775</c:v>
                </c:pt>
                <c:pt idx="683">
                  <c:v>95.529779999999775</c:v>
                </c:pt>
                <c:pt idx="684">
                  <c:v>95.529779999999775</c:v>
                </c:pt>
                <c:pt idx="685">
                  <c:v>95.529779999999775</c:v>
                </c:pt>
                <c:pt idx="686">
                  <c:v>95.529779999999775</c:v>
                </c:pt>
                <c:pt idx="687">
                  <c:v>95.529779999999775</c:v>
                </c:pt>
                <c:pt idx="688">
                  <c:v>95.529779999999775</c:v>
                </c:pt>
                <c:pt idx="689">
                  <c:v>95.529779999999775</c:v>
                </c:pt>
                <c:pt idx="690">
                  <c:v>95.529779999999775</c:v>
                </c:pt>
                <c:pt idx="691">
                  <c:v>95.529779999999775</c:v>
                </c:pt>
                <c:pt idx="692">
                  <c:v>95.529779999999775</c:v>
                </c:pt>
                <c:pt idx="693">
                  <c:v>95.529779999999775</c:v>
                </c:pt>
                <c:pt idx="694">
                  <c:v>95.529779999999775</c:v>
                </c:pt>
                <c:pt idx="695">
                  <c:v>95.529779999999775</c:v>
                </c:pt>
                <c:pt idx="696">
                  <c:v>95.529779999999775</c:v>
                </c:pt>
                <c:pt idx="697">
                  <c:v>95.529779999999775</c:v>
                </c:pt>
                <c:pt idx="698">
                  <c:v>95.529779999999775</c:v>
                </c:pt>
                <c:pt idx="699">
                  <c:v>95.529779999999775</c:v>
                </c:pt>
                <c:pt idx="700">
                  <c:v>95.529779999999775</c:v>
                </c:pt>
                <c:pt idx="701">
                  <c:v>95.529779999999775</c:v>
                </c:pt>
                <c:pt idx="702">
                  <c:v>95.529779999999775</c:v>
                </c:pt>
                <c:pt idx="703">
                  <c:v>95.529779999999775</c:v>
                </c:pt>
                <c:pt idx="704">
                  <c:v>95.529779999999775</c:v>
                </c:pt>
                <c:pt idx="705">
                  <c:v>95.529779999999775</c:v>
                </c:pt>
                <c:pt idx="706">
                  <c:v>95.529779999999775</c:v>
                </c:pt>
                <c:pt idx="707">
                  <c:v>95.529779999999775</c:v>
                </c:pt>
                <c:pt idx="708">
                  <c:v>95.529779999999775</c:v>
                </c:pt>
                <c:pt idx="709">
                  <c:v>95.529779999999775</c:v>
                </c:pt>
                <c:pt idx="710">
                  <c:v>95.529779999999775</c:v>
                </c:pt>
                <c:pt idx="711">
                  <c:v>95.529779999999775</c:v>
                </c:pt>
                <c:pt idx="712">
                  <c:v>95.529779999999775</c:v>
                </c:pt>
                <c:pt idx="713">
                  <c:v>95.529779999999775</c:v>
                </c:pt>
                <c:pt idx="714">
                  <c:v>95.529779999999775</c:v>
                </c:pt>
                <c:pt idx="715">
                  <c:v>95.529779999999775</c:v>
                </c:pt>
                <c:pt idx="716">
                  <c:v>95.529779999999775</c:v>
                </c:pt>
                <c:pt idx="717">
                  <c:v>95.529779999999775</c:v>
                </c:pt>
                <c:pt idx="718">
                  <c:v>95.529779999999775</c:v>
                </c:pt>
                <c:pt idx="719">
                  <c:v>95.529779999999775</c:v>
                </c:pt>
                <c:pt idx="720">
                  <c:v>95.529779999999775</c:v>
                </c:pt>
                <c:pt idx="721">
                  <c:v>95.529779999999775</c:v>
                </c:pt>
                <c:pt idx="722">
                  <c:v>95.529779999999775</c:v>
                </c:pt>
                <c:pt idx="723">
                  <c:v>95.529779999999775</c:v>
                </c:pt>
                <c:pt idx="724">
                  <c:v>95.529779999999775</c:v>
                </c:pt>
                <c:pt idx="725">
                  <c:v>95.529779999999775</c:v>
                </c:pt>
                <c:pt idx="726">
                  <c:v>95.529779999999775</c:v>
                </c:pt>
                <c:pt idx="727">
                  <c:v>95.529779999999775</c:v>
                </c:pt>
                <c:pt idx="728">
                  <c:v>95.529779999999775</c:v>
                </c:pt>
                <c:pt idx="729">
                  <c:v>95.529779999999775</c:v>
                </c:pt>
                <c:pt idx="730">
                  <c:v>95.529779999999775</c:v>
                </c:pt>
                <c:pt idx="731">
                  <c:v>95.529779999999775</c:v>
                </c:pt>
                <c:pt idx="732">
                  <c:v>95.529779999999775</c:v>
                </c:pt>
                <c:pt idx="733">
                  <c:v>95.529779999999775</c:v>
                </c:pt>
                <c:pt idx="734">
                  <c:v>95.529779999999775</c:v>
                </c:pt>
                <c:pt idx="735">
                  <c:v>95.529779999999775</c:v>
                </c:pt>
                <c:pt idx="736">
                  <c:v>95.529779999999775</c:v>
                </c:pt>
                <c:pt idx="737">
                  <c:v>95.529779999999775</c:v>
                </c:pt>
                <c:pt idx="738">
                  <c:v>95.529779999999775</c:v>
                </c:pt>
                <c:pt idx="739">
                  <c:v>95.529779999999775</c:v>
                </c:pt>
                <c:pt idx="740">
                  <c:v>95.529779999999775</c:v>
                </c:pt>
                <c:pt idx="741">
                  <c:v>95.529779999999775</c:v>
                </c:pt>
                <c:pt idx="742">
                  <c:v>95.529779999999775</c:v>
                </c:pt>
                <c:pt idx="743">
                  <c:v>95.529779999999775</c:v>
                </c:pt>
                <c:pt idx="744">
                  <c:v>95.529779999999775</c:v>
                </c:pt>
                <c:pt idx="745">
                  <c:v>95.529779999999775</c:v>
                </c:pt>
                <c:pt idx="746">
                  <c:v>95.529779999999775</c:v>
                </c:pt>
                <c:pt idx="747">
                  <c:v>95.529779999999775</c:v>
                </c:pt>
                <c:pt idx="748">
                  <c:v>95.529779999999775</c:v>
                </c:pt>
                <c:pt idx="749">
                  <c:v>95.529779999999775</c:v>
                </c:pt>
                <c:pt idx="750">
                  <c:v>95.529779999999775</c:v>
                </c:pt>
                <c:pt idx="751">
                  <c:v>95.529779999999775</c:v>
                </c:pt>
                <c:pt idx="752">
                  <c:v>95.529779999999775</c:v>
                </c:pt>
                <c:pt idx="753">
                  <c:v>95.529779999999775</c:v>
                </c:pt>
                <c:pt idx="754">
                  <c:v>95.529779999999775</c:v>
                </c:pt>
                <c:pt idx="755">
                  <c:v>95.529779999999775</c:v>
                </c:pt>
                <c:pt idx="756">
                  <c:v>95.529779999999775</c:v>
                </c:pt>
                <c:pt idx="757">
                  <c:v>95.529779999999775</c:v>
                </c:pt>
                <c:pt idx="758">
                  <c:v>95.529779999999775</c:v>
                </c:pt>
                <c:pt idx="759">
                  <c:v>95.529779999999775</c:v>
                </c:pt>
                <c:pt idx="760">
                  <c:v>95.529779999999775</c:v>
                </c:pt>
                <c:pt idx="761">
                  <c:v>95.529779999999775</c:v>
                </c:pt>
                <c:pt idx="762">
                  <c:v>95.529779999999775</c:v>
                </c:pt>
                <c:pt idx="763">
                  <c:v>95.529779999999775</c:v>
                </c:pt>
                <c:pt idx="764">
                  <c:v>95.529779999999775</c:v>
                </c:pt>
                <c:pt idx="765">
                  <c:v>95.529779999999775</c:v>
                </c:pt>
                <c:pt idx="766">
                  <c:v>95.529779999999775</c:v>
                </c:pt>
                <c:pt idx="767">
                  <c:v>95.529779999999775</c:v>
                </c:pt>
                <c:pt idx="768">
                  <c:v>95.529779999999775</c:v>
                </c:pt>
                <c:pt idx="769">
                  <c:v>95.529779999999775</c:v>
                </c:pt>
                <c:pt idx="770">
                  <c:v>95.529779999999775</c:v>
                </c:pt>
                <c:pt idx="771">
                  <c:v>95.529779999999775</c:v>
                </c:pt>
                <c:pt idx="772">
                  <c:v>95.529779999999775</c:v>
                </c:pt>
                <c:pt idx="773">
                  <c:v>95.529779999999775</c:v>
                </c:pt>
                <c:pt idx="774">
                  <c:v>95.529779999999775</c:v>
                </c:pt>
                <c:pt idx="775">
                  <c:v>95.529779999999775</c:v>
                </c:pt>
                <c:pt idx="776">
                  <c:v>95.529779999999775</c:v>
                </c:pt>
                <c:pt idx="777">
                  <c:v>95.529779999999775</c:v>
                </c:pt>
                <c:pt idx="778">
                  <c:v>95.529779999999775</c:v>
                </c:pt>
                <c:pt idx="779">
                  <c:v>95.529779999999775</c:v>
                </c:pt>
                <c:pt idx="780">
                  <c:v>95.529779999999775</c:v>
                </c:pt>
                <c:pt idx="781">
                  <c:v>95.529779999999775</c:v>
                </c:pt>
                <c:pt idx="782">
                  <c:v>95.529779999999775</c:v>
                </c:pt>
                <c:pt idx="783">
                  <c:v>95.529779999999775</c:v>
                </c:pt>
                <c:pt idx="784">
                  <c:v>95.529779999999775</c:v>
                </c:pt>
                <c:pt idx="785">
                  <c:v>95.529779999999775</c:v>
                </c:pt>
                <c:pt idx="786">
                  <c:v>95.529779999999775</c:v>
                </c:pt>
                <c:pt idx="787">
                  <c:v>95.529779999999775</c:v>
                </c:pt>
                <c:pt idx="788">
                  <c:v>95.529779999999775</c:v>
                </c:pt>
                <c:pt idx="789">
                  <c:v>95.529779999999775</c:v>
                </c:pt>
                <c:pt idx="790">
                  <c:v>95.529779999999775</c:v>
                </c:pt>
                <c:pt idx="791">
                  <c:v>95.529779999999775</c:v>
                </c:pt>
                <c:pt idx="792">
                  <c:v>95.529779999999775</c:v>
                </c:pt>
                <c:pt idx="793">
                  <c:v>95.529779999999775</c:v>
                </c:pt>
                <c:pt idx="794">
                  <c:v>95.529779999999775</c:v>
                </c:pt>
                <c:pt idx="795">
                  <c:v>95.529779999999775</c:v>
                </c:pt>
                <c:pt idx="796">
                  <c:v>95.529779999999775</c:v>
                </c:pt>
                <c:pt idx="797">
                  <c:v>95.529779999999775</c:v>
                </c:pt>
                <c:pt idx="798">
                  <c:v>95.529779999999775</c:v>
                </c:pt>
                <c:pt idx="799">
                  <c:v>95.529779999999775</c:v>
                </c:pt>
                <c:pt idx="800">
                  <c:v>95.529779999999775</c:v>
                </c:pt>
                <c:pt idx="801">
                  <c:v>95.529779999999775</c:v>
                </c:pt>
                <c:pt idx="802">
                  <c:v>95.529779999999775</c:v>
                </c:pt>
                <c:pt idx="803">
                  <c:v>95.529779999999775</c:v>
                </c:pt>
                <c:pt idx="804">
                  <c:v>95.529779999999775</c:v>
                </c:pt>
                <c:pt idx="805">
                  <c:v>95.529779999999775</c:v>
                </c:pt>
                <c:pt idx="806">
                  <c:v>95.529779999999775</c:v>
                </c:pt>
                <c:pt idx="807">
                  <c:v>95.529779999999775</c:v>
                </c:pt>
                <c:pt idx="808">
                  <c:v>95.529779999999775</c:v>
                </c:pt>
                <c:pt idx="809">
                  <c:v>95.529779999999775</c:v>
                </c:pt>
                <c:pt idx="810">
                  <c:v>95.529779999999775</c:v>
                </c:pt>
                <c:pt idx="811">
                  <c:v>95.529779999999775</c:v>
                </c:pt>
                <c:pt idx="812">
                  <c:v>95.529779999999775</c:v>
                </c:pt>
                <c:pt idx="813">
                  <c:v>95.529779999999775</c:v>
                </c:pt>
                <c:pt idx="814">
                  <c:v>95.529779999999775</c:v>
                </c:pt>
                <c:pt idx="815">
                  <c:v>95.529779999999775</c:v>
                </c:pt>
                <c:pt idx="816">
                  <c:v>95.529779999999775</c:v>
                </c:pt>
                <c:pt idx="817">
                  <c:v>95.529779999999775</c:v>
                </c:pt>
                <c:pt idx="818">
                  <c:v>95.529779999999775</c:v>
                </c:pt>
                <c:pt idx="819">
                  <c:v>95.529779999999775</c:v>
                </c:pt>
                <c:pt idx="820">
                  <c:v>95.529779999999775</c:v>
                </c:pt>
                <c:pt idx="821">
                  <c:v>95.529779999999775</c:v>
                </c:pt>
                <c:pt idx="822">
                  <c:v>95.529779999999775</c:v>
                </c:pt>
                <c:pt idx="823">
                  <c:v>95.529779999999775</c:v>
                </c:pt>
                <c:pt idx="824">
                  <c:v>95.529779999999775</c:v>
                </c:pt>
                <c:pt idx="825">
                  <c:v>95.529779999999775</c:v>
                </c:pt>
                <c:pt idx="826">
                  <c:v>95.529779999999775</c:v>
                </c:pt>
                <c:pt idx="827">
                  <c:v>95.529779999999775</c:v>
                </c:pt>
                <c:pt idx="828">
                  <c:v>95.529779999999775</c:v>
                </c:pt>
                <c:pt idx="829">
                  <c:v>95.529779999999775</c:v>
                </c:pt>
                <c:pt idx="830">
                  <c:v>95.529779999999775</c:v>
                </c:pt>
                <c:pt idx="831">
                  <c:v>95.529779999999775</c:v>
                </c:pt>
                <c:pt idx="832">
                  <c:v>95.529779999999775</c:v>
                </c:pt>
                <c:pt idx="833">
                  <c:v>95.529779999999775</c:v>
                </c:pt>
                <c:pt idx="834">
                  <c:v>95.529779999999775</c:v>
                </c:pt>
                <c:pt idx="835">
                  <c:v>95.529779999999775</c:v>
                </c:pt>
                <c:pt idx="836">
                  <c:v>95.529779999999775</c:v>
                </c:pt>
                <c:pt idx="837">
                  <c:v>95.529779999999775</c:v>
                </c:pt>
                <c:pt idx="838">
                  <c:v>95.529779999999775</c:v>
                </c:pt>
                <c:pt idx="839">
                  <c:v>95.529779999999775</c:v>
                </c:pt>
                <c:pt idx="840">
                  <c:v>95.529779999999775</c:v>
                </c:pt>
                <c:pt idx="841">
                  <c:v>95.529779999999775</c:v>
                </c:pt>
                <c:pt idx="842">
                  <c:v>95.529779999999775</c:v>
                </c:pt>
                <c:pt idx="843">
                  <c:v>95.529779999999775</c:v>
                </c:pt>
                <c:pt idx="844">
                  <c:v>95.529779999999775</c:v>
                </c:pt>
                <c:pt idx="845">
                  <c:v>95.529779999999775</c:v>
                </c:pt>
                <c:pt idx="846">
                  <c:v>95.529779999999775</c:v>
                </c:pt>
                <c:pt idx="847">
                  <c:v>95.529779999999775</c:v>
                </c:pt>
                <c:pt idx="848">
                  <c:v>95.529779999999775</c:v>
                </c:pt>
                <c:pt idx="849">
                  <c:v>95.529779999999775</c:v>
                </c:pt>
                <c:pt idx="850">
                  <c:v>95.529779999999775</c:v>
                </c:pt>
                <c:pt idx="851">
                  <c:v>95.529779999999775</c:v>
                </c:pt>
                <c:pt idx="852">
                  <c:v>95.529779999999775</c:v>
                </c:pt>
                <c:pt idx="853">
                  <c:v>95.529779999999775</c:v>
                </c:pt>
                <c:pt idx="854">
                  <c:v>95.529779999999775</c:v>
                </c:pt>
                <c:pt idx="855">
                  <c:v>95.529779999999775</c:v>
                </c:pt>
                <c:pt idx="856">
                  <c:v>95.529779999999775</c:v>
                </c:pt>
                <c:pt idx="857">
                  <c:v>95.529779999999775</c:v>
                </c:pt>
                <c:pt idx="858">
                  <c:v>95.529779999999775</c:v>
                </c:pt>
                <c:pt idx="859">
                  <c:v>95.529779999999775</c:v>
                </c:pt>
                <c:pt idx="860">
                  <c:v>95.529779999999775</c:v>
                </c:pt>
                <c:pt idx="861">
                  <c:v>95.529779999999775</c:v>
                </c:pt>
                <c:pt idx="862">
                  <c:v>95.529779999999775</c:v>
                </c:pt>
                <c:pt idx="863">
                  <c:v>95.529779999999775</c:v>
                </c:pt>
                <c:pt idx="864">
                  <c:v>95.529779999999775</c:v>
                </c:pt>
                <c:pt idx="865">
                  <c:v>95.529779999999775</c:v>
                </c:pt>
                <c:pt idx="866">
                  <c:v>95.529779999999775</c:v>
                </c:pt>
                <c:pt idx="867">
                  <c:v>95.529779999999775</c:v>
                </c:pt>
                <c:pt idx="868">
                  <c:v>95.529779999999775</c:v>
                </c:pt>
                <c:pt idx="869">
                  <c:v>95.529779999999775</c:v>
                </c:pt>
                <c:pt idx="870">
                  <c:v>95.529779999999775</c:v>
                </c:pt>
                <c:pt idx="871">
                  <c:v>95.529779999999775</c:v>
                </c:pt>
                <c:pt idx="872">
                  <c:v>95.529779999999775</c:v>
                </c:pt>
                <c:pt idx="873">
                  <c:v>95.529779999999775</c:v>
                </c:pt>
                <c:pt idx="874">
                  <c:v>95.529779999999775</c:v>
                </c:pt>
                <c:pt idx="875">
                  <c:v>95.529779999999775</c:v>
                </c:pt>
                <c:pt idx="876">
                  <c:v>95.529779999999775</c:v>
                </c:pt>
                <c:pt idx="877">
                  <c:v>95.529779999999775</c:v>
                </c:pt>
                <c:pt idx="878">
                  <c:v>95.529779999999775</c:v>
                </c:pt>
                <c:pt idx="879">
                  <c:v>95.529779999999775</c:v>
                </c:pt>
                <c:pt idx="880">
                  <c:v>95.529779999999775</c:v>
                </c:pt>
                <c:pt idx="881">
                  <c:v>95.529779999999775</c:v>
                </c:pt>
                <c:pt idx="882">
                  <c:v>95.529779999999775</c:v>
                </c:pt>
                <c:pt idx="883">
                  <c:v>95.529779999999775</c:v>
                </c:pt>
                <c:pt idx="884">
                  <c:v>95.529779999999775</c:v>
                </c:pt>
                <c:pt idx="885">
                  <c:v>95.529779999999775</c:v>
                </c:pt>
                <c:pt idx="886">
                  <c:v>95.529779999999775</c:v>
                </c:pt>
                <c:pt idx="887">
                  <c:v>95.529779999999775</c:v>
                </c:pt>
                <c:pt idx="888">
                  <c:v>95.529779999999775</c:v>
                </c:pt>
                <c:pt idx="889">
                  <c:v>95.529779999999775</c:v>
                </c:pt>
                <c:pt idx="890">
                  <c:v>95.529779999999775</c:v>
                </c:pt>
                <c:pt idx="891">
                  <c:v>95.529779999999775</c:v>
                </c:pt>
                <c:pt idx="892">
                  <c:v>95.529779999999775</c:v>
                </c:pt>
                <c:pt idx="893">
                  <c:v>95.529779999999775</c:v>
                </c:pt>
                <c:pt idx="894">
                  <c:v>95.529779999999775</c:v>
                </c:pt>
                <c:pt idx="895">
                  <c:v>95.529779999999775</c:v>
                </c:pt>
                <c:pt idx="896">
                  <c:v>95.529779999999775</c:v>
                </c:pt>
                <c:pt idx="897">
                  <c:v>95.529779999999775</c:v>
                </c:pt>
                <c:pt idx="898">
                  <c:v>95.529779999999775</c:v>
                </c:pt>
                <c:pt idx="899">
                  <c:v>95.529779999999775</c:v>
                </c:pt>
                <c:pt idx="900">
                  <c:v>95.529779999999775</c:v>
                </c:pt>
                <c:pt idx="901">
                  <c:v>95.529779999999775</c:v>
                </c:pt>
                <c:pt idx="902">
                  <c:v>95.529779999999775</c:v>
                </c:pt>
                <c:pt idx="903">
                  <c:v>95.529779999999775</c:v>
                </c:pt>
                <c:pt idx="904">
                  <c:v>95.529779999999775</c:v>
                </c:pt>
                <c:pt idx="905">
                  <c:v>95.529779999999775</c:v>
                </c:pt>
                <c:pt idx="906">
                  <c:v>95.529779999999775</c:v>
                </c:pt>
                <c:pt idx="907">
                  <c:v>95.529779999999775</c:v>
                </c:pt>
                <c:pt idx="908">
                  <c:v>95.529779999999775</c:v>
                </c:pt>
                <c:pt idx="909">
                  <c:v>95.529779999999775</c:v>
                </c:pt>
                <c:pt idx="910">
                  <c:v>95.529779999999775</c:v>
                </c:pt>
                <c:pt idx="911">
                  <c:v>95.529779999999775</c:v>
                </c:pt>
                <c:pt idx="912">
                  <c:v>95.529779999999775</c:v>
                </c:pt>
                <c:pt idx="913">
                  <c:v>95.529779999999775</c:v>
                </c:pt>
                <c:pt idx="914">
                  <c:v>95.529779999999775</c:v>
                </c:pt>
                <c:pt idx="915">
                  <c:v>95.529779999999775</c:v>
                </c:pt>
                <c:pt idx="916">
                  <c:v>95.529779999999775</c:v>
                </c:pt>
                <c:pt idx="917">
                  <c:v>95.529779999999775</c:v>
                </c:pt>
                <c:pt idx="918">
                  <c:v>95.529779999999775</c:v>
                </c:pt>
                <c:pt idx="919">
                  <c:v>95.529779999999775</c:v>
                </c:pt>
                <c:pt idx="920">
                  <c:v>95.529779999999775</c:v>
                </c:pt>
                <c:pt idx="921">
                  <c:v>95.529779999999775</c:v>
                </c:pt>
                <c:pt idx="922">
                  <c:v>95.529779999999775</c:v>
                </c:pt>
                <c:pt idx="923">
                  <c:v>95.529779999999775</c:v>
                </c:pt>
                <c:pt idx="924">
                  <c:v>95.529779999999775</c:v>
                </c:pt>
                <c:pt idx="925">
                  <c:v>95.529779999999775</c:v>
                </c:pt>
                <c:pt idx="926">
                  <c:v>95.529779999999775</c:v>
                </c:pt>
                <c:pt idx="927">
                  <c:v>95.529779999999775</c:v>
                </c:pt>
                <c:pt idx="928">
                  <c:v>95.529779999999775</c:v>
                </c:pt>
                <c:pt idx="929">
                  <c:v>95.529779999999775</c:v>
                </c:pt>
                <c:pt idx="930">
                  <c:v>95.529779999999775</c:v>
                </c:pt>
                <c:pt idx="931">
                  <c:v>95.529779999999775</c:v>
                </c:pt>
                <c:pt idx="932">
                  <c:v>95.529779999999775</c:v>
                </c:pt>
                <c:pt idx="933">
                  <c:v>95.529779999999775</c:v>
                </c:pt>
                <c:pt idx="934">
                  <c:v>95.529779999999775</c:v>
                </c:pt>
                <c:pt idx="935">
                  <c:v>95.529779999999775</c:v>
                </c:pt>
                <c:pt idx="936">
                  <c:v>95.529779999999775</c:v>
                </c:pt>
                <c:pt idx="937">
                  <c:v>95.529779999999775</c:v>
                </c:pt>
                <c:pt idx="938">
                  <c:v>95.529779999999775</c:v>
                </c:pt>
                <c:pt idx="939">
                  <c:v>95.529779999999775</c:v>
                </c:pt>
                <c:pt idx="940">
                  <c:v>95.529779999999775</c:v>
                </c:pt>
                <c:pt idx="941">
                  <c:v>95.529779999999775</c:v>
                </c:pt>
                <c:pt idx="942">
                  <c:v>95.529779999999775</c:v>
                </c:pt>
                <c:pt idx="943">
                  <c:v>95.529779999999775</c:v>
                </c:pt>
                <c:pt idx="944">
                  <c:v>95.529779999999775</c:v>
                </c:pt>
                <c:pt idx="945">
                  <c:v>95.529779999999775</c:v>
                </c:pt>
                <c:pt idx="946">
                  <c:v>95.529779999999775</c:v>
                </c:pt>
                <c:pt idx="947">
                  <c:v>95.529779999999775</c:v>
                </c:pt>
                <c:pt idx="948">
                  <c:v>95.529779999999775</c:v>
                </c:pt>
                <c:pt idx="949">
                  <c:v>95.529779999999775</c:v>
                </c:pt>
                <c:pt idx="950">
                  <c:v>95.529779999999775</c:v>
                </c:pt>
                <c:pt idx="951">
                  <c:v>95.529779999999775</c:v>
                </c:pt>
                <c:pt idx="952">
                  <c:v>95.529779999999775</c:v>
                </c:pt>
                <c:pt idx="953">
                  <c:v>95.529779999999775</c:v>
                </c:pt>
                <c:pt idx="954">
                  <c:v>95.529779999999775</c:v>
                </c:pt>
                <c:pt idx="955">
                  <c:v>95.529779999999775</c:v>
                </c:pt>
                <c:pt idx="956">
                  <c:v>95.529779999999775</c:v>
                </c:pt>
                <c:pt idx="957">
                  <c:v>95.529779999999775</c:v>
                </c:pt>
                <c:pt idx="958">
                  <c:v>95.529779999999775</c:v>
                </c:pt>
                <c:pt idx="959">
                  <c:v>95.529779999999775</c:v>
                </c:pt>
                <c:pt idx="960">
                  <c:v>95.529779999999775</c:v>
                </c:pt>
                <c:pt idx="961">
                  <c:v>95.529779999999775</c:v>
                </c:pt>
                <c:pt idx="962">
                  <c:v>95.529779999999775</c:v>
                </c:pt>
                <c:pt idx="963">
                  <c:v>95.529779999999775</c:v>
                </c:pt>
                <c:pt idx="964">
                  <c:v>95.529779999999775</c:v>
                </c:pt>
                <c:pt idx="965">
                  <c:v>95.529779999999775</c:v>
                </c:pt>
                <c:pt idx="966">
                  <c:v>95.529779999999775</c:v>
                </c:pt>
                <c:pt idx="967">
                  <c:v>95.529779999999775</c:v>
                </c:pt>
                <c:pt idx="968">
                  <c:v>95.529779999999775</c:v>
                </c:pt>
                <c:pt idx="969">
                  <c:v>95.529779999999775</c:v>
                </c:pt>
                <c:pt idx="970">
                  <c:v>95.529779999999775</c:v>
                </c:pt>
                <c:pt idx="971">
                  <c:v>95.529779999999775</c:v>
                </c:pt>
                <c:pt idx="972">
                  <c:v>95.529779999999775</c:v>
                </c:pt>
                <c:pt idx="973">
                  <c:v>95.529779999999775</c:v>
                </c:pt>
                <c:pt idx="974">
                  <c:v>95.529779999999775</c:v>
                </c:pt>
                <c:pt idx="975">
                  <c:v>95.529779999999775</c:v>
                </c:pt>
                <c:pt idx="976">
                  <c:v>95.529779999999775</c:v>
                </c:pt>
                <c:pt idx="977">
                  <c:v>95.529779999999775</c:v>
                </c:pt>
                <c:pt idx="978">
                  <c:v>95.529779999999775</c:v>
                </c:pt>
                <c:pt idx="979">
                  <c:v>95.529779999999775</c:v>
                </c:pt>
                <c:pt idx="980">
                  <c:v>95.529779999999775</c:v>
                </c:pt>
                <c:pt idx="981">
                  <c:v>95.529779999999775</c:v>
                </c:pt>
                <c:pt idx="982">
                  <c:v>95.529779999999775</c:v>
                </c:pt>
                <c:pt idx="983">
                  <c:v>95.529779999999775</c:v>
                </c:pt>
                <c:pt idx="984">
                  <c:v>95.529779999999775</c:v>
                </c:pt>
                <c:pt idx="985">
                  <c:v>95.529779999999775</c:v>
                </c:pt>
                <c:pt idx="986">
                  <c:v>95.529779999999775</c:v>
                </c:pt>
                <c:pt idx="987">
                  <c:v>95.529779999999775</c:v>
                </c:pt>
                <c:pt idx="988">
                  <c:v>95.529779999999775</c:v>
                </c:pt>
                <c:pt idx="989">
                  <c:v>95.529779999999775</c:v>
                </c:pt>
                <c:pt idx="990">
                  <c:v>95.529779999999775</c:v>
                </c:pt>
                <c:pt idx="991">
                  <c:v>95.529779999999775</c:v>
                </c:pt>
                <c:pt idx="992">
                  <c:v>95.529779999999775</c:v>
                </c:pt>
                <c:pt idx="993">
                  <c:v>95.529779999999775</c:v>
                </c:pt>
                <c:pt idx="994">
                  <c:v>95.529779999999775</c:v>
                </c:pt>
                <c:pt idx="995">
                  <c:v>95.529779999999775</c:v>
                </c:pt>
                <c:pt idx="996">
                  <c:v>95.529779999999775</c:v>
                </c:pt>
                <c:pt idx="997">
                  <c:v>95.529779999999775</c:v>
                </c:pt>
                <c:pt idx="998">
                  <c:v>95.529779999999775</c:v>
                </c:pt>
                <c:pt idx="999">
                  <c:v>95.529779999999775</c:v>
                </c:pt>
                <c:pt idx="1000">
                  <c:v>95.529779999999775</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Calculs!$W$4:$W$1004</c:f>
              <c:numCache>
                <c:formatCode>0.00</c:formatCode>
                <c:ptCount val="1001"/>
                <c:pt idx="0">
                  <c:v>0</c:v>
                </c:pt>
                <c:pt idx="1">
                  <c:v>2.1628060436491251E-5</c:v>
                </c:pt>
                <c:pt idx="2">
                  <c:v>4.0179494382822285E-4</c:v>
                </c:pt>
                <c:pt idx="3">
                  <c:v>1.5919055491040032E-3</c:v>
                </c:pt>
                <c:pt idx="4">
                  <c:v>4.1236318689304163E-3</c:v>
                </c:pt>
                <c:pt idx="5">
                  <c:v>8.6488383419818411E-3</c:v>
                </c:pt>
                <c:pt idx="6">
                  <c:v>1.5940054618356979E-2</c:v>
                </c:pt>
                <c:pt idx="7">
                  <c:v>2.689101813766754E-2</c:v>
                </c:pt>
                <c:pt idx="8">
                  <c:v>4.2517285724801832E-2</c:v>
                </c:pt>
                <c:pt idx="9">
                  <c:v>6.3956913468866838E-2</c:v>
                </c:pt>
                <c:pt idx="10">
                  <c:v>9.2471204208925059E-2</c:v>
                </c:pt>
                <c:pt idx="11">
                  <c:v>0.12760530350379515</c:v>
                </c:pt>
                <c:pt idx="12">
                  <c:v>0.16786731570049904</c:v>
                </c:pt>
                <c:pt idx="13">
                  <c:v>0.21303926999011608</c:v>
                </c:pt>
                <c:pt idx="14">
                  <c:v>0.26289700474478989</c:v>
                </c:pt>
                <c:pt idx="15">
                  <c:v>0.31723247531160081</c:v>
                </c:pt>
                <c:pt idx="16">
                  <c:v>0.37583983654001329</c:v>
                </c:pt>
                <c:pt idx="17">
                  <c:v>0.43851547301107136</c:v>
                </c:pt>
                <c:pt idx="18">
                  <c:v>0.50505802878572559</c:v>
                </c:pt>
                <c:pt idx="19">
                  <c:v>0.57526843666901295</c:v>
                </c:pt>
                <c:pt idx="20">
                  <c:v>0.64894994698699926</c:v>
                </c:pt>
                <c:pt idx="21">
                  <c:v>0.72590815587357949</c:v>
                </c:pt>
                <c:pt idx="22">
                  <c:v>0.80595103306442495</c:v>
                </c:pt>
                <c:pt idx="23">
                  <c:v>0.88888894919555361</c:v>
                </c:pt>
                <c:pt idx="24">
                  <c:v>0.97453470260418484</c:v>
                </c:pt>
                <c:pt idx="25">
                  <c:v>1.0627035456297256</c:v>
                </c:pt>
                <c:pt idx="26">
                  <c:v>1.1532132104129376</c:v>
                </c:pt>
                <c:pt idx="27">
                  <c:v>1.246653941115424</c:v>
                </c:pt>
                <c:pt idx="28">
                  <c:v>1.3437360860382894</c:v>
                </c:pt>
                <c:pt idx="29">
                  <c:v>1.4444593118837898</c:v>
                </c:pt>
                <c:pt idx="30">
                  <c:v>1.5488232085694962</c:v>
                </c:pt>
                <c:pt idx="31">
                  <c:v>1.6568272891452764</c:v>
                </c:pt>
                <c:pt idx="32">
                  <c:v>1.7684709897135691</c:v>
                </c:pt>
                <c:pt idx="33">
                  <c:v>1.8837536693529728</c:v>
                </c:pt>
                <c:pt idx="34">
                  <c:v>2.002674610045156</c:v>
                </c:pt>
                <c:pt idx="35">
                  <c:v>2.1252337996866228</c:v>
                </c:pt>
                <c:pt idx="36">
                  <c:v>2.2514312758166404</c:v>
                </c:pt>
                <c:pt idx="37">
                  <c:v>2.3812661935927828</c:v>
                </c:pt>
                <c:pt idx="38">
                  <c:v>2.5147376286675849</c:v>
                </c:pt>
                <c:pt idx="39">
                  <c:v>2.6518445772284736</c:v>
                </c:pt>
                <c:pt idx="40">
                  <c:v>2.7925859560409068</c:v>
                </c:pt>
                <c:pt idx="41">
                  <c:v>2.9369606024880039</c:v>
                </c:pt>
                <c:pt idx="42">
                  <c:v>3.0849672746073273</c:v>
                </c:pt>
                <c:pt idx="43">
                  <c:v>3.2366046511254094</c:v>
                </c:pt>
                <c:pt idx="44">
                  <c:v>3.3918713314905133</c:v>
                </c:pt>
                <c:pt idx="45">
                  <c:v>3.5507658359041305</c:v>
                </c:pt>
                <c:pt idx="46">
                  <c:v>3.7132866053515818</c:v>
                </c:pt>
                <c:pt idx="47">
                  <c:v>3.8794320016321167</c:v>
                </c:pt>
                <c:pt idx="48">
                  <c:v>4.0492003073888503</c:v>
                </c:pt>
                <c:pt idx="49">
                  <c:v>4.2225897261388017</c:v>
                </c:pt>
                <c:pt idx="50">
                  <c:v>4.3995983823033216</c:v>
                </c:pt>
                <c:pt idx="51">
                  <c:v>4.5802243212391627</c:v>
                </c:pt>
                <c:pt idx="52">
                  <c:v>4.7644655092703845</c:v>
                </c:pt>
                <c:pt idx="53">
                  <c:v>4.9523198337213206</c:v>
                </c:pt>
                <c:pt idx="54">
                  <c:v>5.1437851029507726</c:v>
                </c:pt>
                <c:pt idx="55">
                  <c:v>5.3388590463875811</c:v>
                </c:pt>
                <c:pt idx="56">
                  <c:v>5.5375393145677725</c:v>
                </c:pt>
                <c:pt idx="57">
                  <c:v>5.7398234791733733</c:v>
                </c:pt>
                <c:pt idx="58">
                  <c:v>5.9457090330730216</c:v>
                </c:pt>
                <c:pt idx="59">
                  <c:v>6.1551933903645333</c:v>
                </c:pt>
                <c:pt idx="60">
                  <c:v>6.3682738864194732</c:v>
                </c:pt>
                <c:pt idx="61">
                  <c:v>6.5849477779298731</c:v>
                </c:pt>
                <c:pt idx="62">
                  <c:v>6.805212242957154</c:v>
                </c:pt>
                <c:pt idx="63">
                  <c:v>7.0290643809833746</c:v>
                </c:pt>
                <c:pt idx="64">
                  <c:v>7.2565012129648112</c:v>
                </c:pt>
                <c:pt idx="65">
                  <c:v>7.4875196813880507</c:v>
                </c:pt>
                <c:pt idx="66">
                  <c:v>7.7221166503285437</c:v>
                </c:pt>
                <c:pt idx="67">
                  <c:v>7.9602889055117529</c:v>
                </c:pt>
                <c:pt idx="68">
                  <c:v>8.2020331543769576</c:v>
                </c:pt>
                <c:pt idx="69">
                  <c:v>8.4473460261436735</c:v>
                </c:pt>
                <c:pt idx="70">
                  <c:v>8.6962240718808896</c:v>
                </c:pt>
                <c:pt idx="71">
                  <c:v>8.9486637645789884</c:v>
                </c:pt>
                <c:pt idx="72">
                  <c:v>9.204637574768709</c:v>
                </c:pt>
                <c:pt idx="73">
                  <c:v>9.4641165214598839</c:v>
                </c:pt>
                <c:pt idx="74">
                  <c:v>9.7270947867264752</c:v>
                </c:pt>
                <c:pt idx="75">
                  <c:v>9.9935664743861725</c:v>
                </c:pt>
                <c:pt idx="76">
                  <c:v>10.263525610180416</c:v>
                </c:pt>
                <c:pt idx="77">
                  <c:v>10.53696614195753</c:v>
                </c:pt>
                <c:pt idx="78">
                  <c:v>10.813881939858899</c:v>
                </c:pt>
                <c:pt idx="79">
                  <c:v>11.094266796508339</c:v>
                </c:pt>
                <c:pt idx="80">
                  <c:v>11.37811442720453</c:v>
                </c:pt>
                <c:pt idx="81">
                  <c:v>11.665418470116617</c:v>
                </c:pt>
                <c:pt idx="82">
                  <c:v>11.956172486483</c:v>
                </c:pt>
                <c:pt idx="83">
                  <c:v>12.250369960813266</c:v>
                </c:pt>
                <c:pt idx="84">
                  <c:v>12.548004301093288</c:v>
                </c:pt>
                <c:pt idx="85">
                  <c:v>12.849068838993526</c:v>
                </c:pt>
                <c:pt idx="86">
                  <c:v>13.153556830080571</c:v>
                </c:pt>
                <c:pt idx="87">
                  <c:v>13.461461454031788</c:v>
                </c:pt>
                <c:pt idx="88">
                  <c:v>13.772775814853253</c:v>
                </c:pt>
                <c:pt idx="89">
                  <c:v>14.087492941100839</c:v>
                </c:pt>
                <c:pt idx="90">
                  <c:v>14.405605786104546</c:v>
                </c:pt>
                <c:pt idx="91">
                  <c:v>14.727107228196033</c:v>
                </c:pt>
                <c:pt idx="92">
                  <c:v>15.051990070939329</c:v>
                </c:pt>
                <c:pt idx="93">
                  <c:v>15.380247043364824</c:v>
                </c:pt>
                <c:pt idx="94">
                  <c:v>15.711870800206368</c:v>
                </c:pt>
                <c:pt idx="95">
                  <c:v>16.046853922141675</c:v>
                </c:pt>
                <c:pt idx="96">
                  <c:v>16.38518891603584</c:v>
                </c:pt>
                <c:pt idx="97">
                  <c:v>16.726868215188148</c:v>
                </c:pt>
                <c:pt idx="98">
                  <c:v>17.071884179581946</c:v>
                </c:pt>
                <c:pt idx="99">
                  <c:v>17.420229096137842</c:v>
                </c:pt>
                <c:pt idx="100">
                  <c:v>17.771895178969967</c:v>
                </c:pt>
                <c:pt idx="101">
                  <c:v>18.126874569645498</c:v>
                </c:pt>
                <c:pt idx="102">
                  <c:v>18.485159337447278</c:v>
                </c:pt>
                <c:pt idx="103">
                  <c:v>18.84674147963964</c:v>
                </c:pt>
                <c:pt idx="104">
                  <c:v>19.211612921737316</c:v>
                </c:pt>
                <c:pt idx="105">
                  <c:v>19.579765517777574</c:v>
                </c:pt>
                <c:pt idx="106">
                  <c:v>19.951191050595398</c:v>
                </c:pt>
                <c:pt idx="107">
                  <c:v>20.325881232101874</c:v>
                </c:pt>
                <c:pt idx="108">
                  <c:v>20.703827703565544</c:v>
                </c:pt>
                <c:pt idx="109">
                  <c:v>21.085022035896991</c:v>
                </c:pt>
                <c:pt idx="110">
                  <c:v>21.469455729936428</c:v>
                </c:pt>
                <c:pt idx="111">
                  <c:v>21.857120216744459</c:v>
                </c:pt>
                <c:pt idx="112">
                  <c:v>22.248006857895664</c:v>
                </c:pt>
                <c:pt idx="113">
                  <c:v>22.642106945775517</c:v>
                </c:pt>
                <c:pt idx="114">
                  <c:v>23.039411703880152</c:v>
                </c:pt>
                <c:pt idx="115">
                  <c:v>23.439912287119135</c:v>
                </c:pt>
                <c:pt idx="116">
                  <c:v>23.843599782121384</c:v>
                </c:pt>
                <c:pt idx="117">
                  <c:v>24.250465207543858</c:v>
                </c:pt>
                <c:pt idx="118">
                  <c:v>24.660499514383442</c:v>
                </c:pt>
                <c:pt idx="119">
                  <c:v>25.073693586291572</c:v>
                </c:pt>
                <c:pt idx="120">
                  <c:v>25.49003823989197</c:v>
                </c:pt>
                <c:pt idx="121">
                  <c:v>25.909524225101212</c:v>
                </c:pt>
                <c:pt idx="122">
                  <c:v>26.332142225452134</c:v>
                </c:pt>
                <c:pt idx="123">
                  <c:v>26.757882858420313</c:v>
                </c:pt>
                <c:pt idx="124">
                  <c:v>27.186736675753231</c:v>
                </c:pt>
                <c:pt idx="125">
                  <c:v>27.618694163802303</c:v>
                </c:pt>
                <c:pt idx="126">
                  <c:v>28.05374574385792</c:v>
                </c:pt>
                <c:pt idx="127">
                  <c:v>28.49188177248703</c:v>
                </c:pt>
                <c:pt idx="128">
                  <c:v>28.933092541873734</c:v>
                </c:pt>
                <c:pt idx="129">
                  <c:v>29.377171294324409</c:v>
                </c:pt>
                <c:pt idx="130">
                  <c:v>29.823905030423369</c:v>
                </c:pt>
                <c:pt idx="131">
                  <c:v>30.273274656300071</c:v>
                </c:pt>
                <c:pt idx="132">
                  <c:v>30.725261036118034</c:v>
                </c:pt>
                <c:pt idx="133">
                  <c:v>31.179844992880241</c:v>
                </c:pt>
                <c:pt idx="134">
                  <c:v>31.637007309235269</c:v>
                </c:pt>
                <c:pt idx="135">
                  <c:v>32.096728728284162</c:v>
                </c:pt>
                <c:pt idx="136">
                  <c:v>32.55898995438794</c:v>
                </c:pt>
                <c:pt idx="137">
                  <c:v>33.023771653975828</c:v>
                </c:pt>
                <c:pt idx="138">
                  <c:v>33.491054456353957</c:v>
                </c:pt>
                <c:pt idx="139">
                  <c:v>33.960818954514565</c:v>
                </c:pt>
                <c:pt idx="140">
                  <c:v>34.433045705945595</c:v>
                </c:pt>
                <c:pt idx="141">
                  <c:v>34.90771523344084</c:v>
                </c:pt>
                <c:pt idx="142">
                  <c:v>35.384808025910296</c:v>
                </c:pt>
                <c:pt idx="143">
                  <c:v>35.864304539190726</c:v>
                </c:pt>
                <c:pt idx="144">
                  <c:v>36.346185196856624</c:v>
                </c:pt>
                <c:pt idx="145">
                  <c:v>36.830430391031115</c:v>
                </c:pt>
                <c:pt idx="146">
                  <c:v>37.317020483197183</c:v>
                </c:pt>
                <c:pt idx="147">
                  <c:v>37.805935805008737</c:v>
                </c:pt>
                <c:pt idx="148">
                  <c:v>38.297156659101837</c:v>
                </c:pt>
                <c:pt idx="149">
                  <c:v>38.790663319905725</c:v>
                </c:pt>
                <c:pt idx="150">
                  <c:v>39.286436034453743</c:v>
                </c:pt>
                <c:pt idx="151">
                  <c:v>39.78445502319417</c:v>
                </c:pt>
                <c:pt idx="152">
                  <c:v>40.284700480800723</c:v>
                </c:pt>
                <c:pt idx="153">
                  <c:v>40.787152576982805</c:v>
                </c:pt>
                <c:pt idx="154">
                  <c:v>41.291791457295346</c:v>
                </c:pt>
                <c:pt idx="155">
                  <c:v>41.798597243948365</c:v>
                </c:pt>
                <c:pt idx="156">
                  <c:v>42.307550036615893</c:v>
                </c:pt>
                <c:pt idx="157">
                  <c:v>42.818629913244479</c:v>
                </c:pt>
                <c:pt idx="158">
                  <c:v>43.331816930861258</c:v>
                </c:pt>
                <c:pt idx="159">
                  <c:v>43.847091126381031</c:v>
                </c:pt>
                <c:pt idx="160">
                  <c:v>44.364432517413029</c:v>
                </c:pt>
                <c:pt idx="161">
                  <c:v>44.88382110306673</c:v>
                </c:pt>
                <c:pt idx="162">
                  <c:v>45.405236864756944</c:v>
                </c:pt>
                <c:pt idx="163">
                  <c:v>45.928659767008099</c:v>
                </c:pt>
                <c:pt idx="164">
                  <c:v>46.454069758257447</c:v>
                </c:pt>
                <c:pt idx="165">
                  <c:v>46.981446771657488</c:v>
                </c:pt>
                <c:pt idx="166">
                  <c:v>47.510770725877506</c:v>
                </c:pt>
                <c:pt idx="167">
                  <c:v>48.042021525903486</c:v>
                </c:pt>
                <c:pt idx="168">
                  <c:v>48.575179063837723</c:v>
                </c:pt>
                <c:pt idx="169">
                  <c:v>49.110223219696493</c:v>
                </c:pt>
                <c:pt idx="170">
                  <c:v>49.647133862207056</c:v>
                </c:pt>
                <c:pt idx="171">
                  <c:v>50.185890849602949</c:v>
                </c:pt>
                <c:pt idx="172">
                  <c:v>50.726474030418487</c:v>
                </c:pt>
                <c:pt idx="173">
                  <c:v>51.268863244281135</c:v>
                </c:pt>
                <c:pt idx="174">
                  <c:v>51.813038322703257</c:v>
                </c:pt>
                <c:pt idx="175">
                  <c:v>52.358979089871752</c:v>
                </c:pt>
                <c:pt idx="176">
                  <c:v>52.906665363436517</c:v>
                </c:pt>
                <c:pt idx="177">
                  <c:v>53.456076955297078</c:v>
                </c:pt>
                <c:pt idx="178">
                  <c:v>54.007193672387814</c:v>
                </c:pt>
                <c:pt idx="179">
                  <c:v>54.559995317461365</c:v>
                </c:pt>
                <c:pt idx="180">
                  <c:v>55.114461689870232</c:v>
                </c:pt>
                <c:pt idx="181">
                  <c:v>55.670572586346687</c:v>
                </c:pt>
                <c:pt idx="182">
                  <c:v>56.22830780178095</c:v>
                </c:pt>
                <c:pt idx="183">
                  <c:v>56.787647129997225</c:v>
                </c:pt>
                <c:pt idx="184">
                  <c:v>57.348570364527887</c:v>
                </c:pt>
                <c:pt idx="185">
                  <c:v>57.911057299385824</c:v>
                </c:pt>
                <c:pt idx="186">
                  <c:v>58.47508772983462</c:v>
                </c:pt>
                <c:pt idx="187">
                  <c:v>59.040641453156603</c:v>
                </c:pt>
                <c:pt idx="188">
                  <c:v>59.607698269418883</c:v>
                </c:pt>
                <c:pt idx="189">
                  <c:v>60.176237982237112</c:v>
                </c:pt>
                <c:pt idx="190">
                  <c:v>60.746240399537207</c:v>
                </c:pt>
                <c:pt idx="191">
                  <c:v>61.317685334314447</c:v>
                </c:pt>
                <c:pt idx="192">
                  <c:v>61.890552605390575</c:v>
                </c:pt>
                <c:pt idx="193">
                  <c:v>62.464822038168457</c:v>
                </c:pt>
                <c:pt idx="194">
                  <c:v>63.04047346538416</c:v>
                </c:pt>
                <c:pt idx="195">
                  <c:v>63.617486727856893</c:v>
                </c:pt>
                <c:pt idx="196">
                  <c:v>64.195841675235997</c:v>
                </c:pt>
                <c:pt idx="197">
                  <c:v>64.775518166746025</c:v>
                </c:pt>
                <c:pt idx="198">
                  <c:v>65.356496071928504</c:v>
                </c:pt>
                <c:pt idx="199">
                  <c:v>65.938755271381567</c:v>
                </c:pt>
                <c:pt idx="200">
                  <c:v>66.522275657496877</c:v>
                </c:pt>
                <c:pt idx="201">
                  <c:v>67.107037135193451</c:v>
                </c:pt>
                <c:pt idx="202">
                  <c:v>67.693019622649288</c:v>
                </c:pt>
                <c:pt idx="203">
                  <c:v>68.280203052029634</c:v>
                </c:pt>
                <c:pt idx="204">
                  <c:v>68.868567370212787</c:v>
                </c:pt>
                <c:pt idx="205">
                  <c:v>69.458092539512904</c:v>
                </c:pt>
                <c:pt idx="206">
                  <c:v>70.048684535509864</c:v>
                </c:pt>
                <c:pt idx="207">
                  <c:v>70.640248069798886</c:v>
                </c:pt>
                <c:pt idx="208">
                  <c:v>71.232761277078424</c:v>
                </c:pt>
                <c:pt idx="209">
                  <c:v>71.82620232197884</c:v>
                </c:pt>
                <c:pt idx="210">
                  <c:v>72.420549399844816</c:v>
                </c:pt>
                <c:pt idx="211">
                  <c:v>73.015780737513836</c:v>
                </c:pt>
                <c:pt idx="212">
                  <c:v>73.611874594090168</c:v>
                </c:pt>
                <c:pt idx="213">
                  <c:v>74.208809261714848</c:v>
                </c:pt>
                <c:pt idx="214">
                  <c:v>74.806563066331009</c:v>
                </c:pt>
                <c:pt idx="215">
                  <c:v>75.405114368445084</c:v>
                </c:pt>
                <c:pt idx="216">
                  <c:v>76.004441563883546</c:v>
                </c:pt>
                <c:pt idx="217">
                  <c:v>76.604523084545235</c:v>
                </c:pt>
                <c:pt idx="218">
                  <c:v>77.205337399149187</c:v>
                </c:pt>
                <c:pt idx="219">
                  <c:v>77.806863013977775</c:v>
                </c:pt>
                <c:pt idx="220">
                  <c:v>78.409078473615793</c:v>
                </c:pt>
                <c:pt idx="221">
                  <c:v>79.011962361684311</c:v>
                </c:pt>
                <c:pt idx="222">
                  <c:v>79.61549330157051</c:v>
                </c:pt>
                <c:pt idx="223">
                  <c:v>80.219649957152313</c:v>
                </c:pt>
                <c:pt idx="224">
                  <c:v>80.824411033518871</c:v>
                </c:pt>
                <c:pt idx="225">
                  <c:v>81.429755277685857</c:v>
                </c:pt>
                <c:pt idx="226">
                  <c:v>82.035661479306185</c:v>
                </c:pt>
                <c:pt idx="227">
                  <c:v>82.642108471376091</c:v>
                </c:pt>
                <c:pt idx="228">
                  <c:v>83.249075130936319</c:v>
                </c:pt>
                <c:pt idx="229">
                  <c:v>83.856540379768063</c:v>
                </c:pt>
                <c:pt idx="230">
                  <c:v>84.464483185084688</c:v>
                </c:pt>
                <c:pt idx="231">
                  <c:v>85.072882560218119</c:v>
                </c:pt>
                <c:pt idx="232">
                  <c:v>85.681717565300232</c:v>
                </c:pt>
                <c:pt idx="233">
                  <c:v>86.290967307939709</c:v>
                </c:pt>
                <c:pt idx="234">
                  <c:v>86.900610943893298</c:v>
                </c:pt>
                <c:pt idx="235">
                  <c:v>87.510627677732529</c:v>
                </c:pt>
                <c:pt idx="236">
                  <c:v>88.12099676350519</c:v>
                </c:pt>
                <c:pt idx="237">
                  <c:v>88.731697505391736</c:v>
                </c:pt>
                <c:pt idx="238">
                  <c:v>89.342709258356606</c:v>
                </c:pt>
                <c:pt idx="239">
                  <c:v>89.95401142879426</c:v>
                </c:pt>
                <c:pt idx="240">
                  <c:v>90.565583475170371</c:v>
                </c:pt>
                <c:pt idx="241">
                  <c:v>91.17740490865765</c:v>
                </c:pt>
                <c:pt idx="242">
                  <c:v>91.789162853689234</c:v>
                </c:pt>
                <c:pt idx="243">
                  <c:v>92.400540545695932</c:v>
                </c:pt>
                <c:pt idx="244">
                  <c:v>93.011511940793795</c:v>
                </c:pt>
                <c:pt idx="245">
                  <c:v>93.622051102629385</c:v>
                </c:pt>
                <c:pt idx="246">
                  <c:v>94.232132203159907</c:v>
                </c:pt>
                <c:pt idx="247">
                  <c:v>94.841729523423183</c:v>
                </c:pt>
                <c:pt idx="248">
                  <c:v>95.450817454297223</c:v>
                </c:pt>
                <c:pt idx="249">
                  <c:v>96.059370497250526</c:v>
                </c:pt>
                <c:pt idx="250">
                  <c:v>96.667363265081647</c:v>
                </c:pt>
                <c:pt idx="251">
                  <c:v>97.274770482648933</c:v>
                </c:pt>
                <c:pt idx="252">
                  <c:v>97.88156698759029</c:v>
                </c:pt>
                <c:pt idx="253">
                  <c:v>98.487727731032464</c:v>
                </c:pt>
                <c:pt idx="254">
                  <c:v>99.093227778291094</c:v>
                </c:pt>
                <c:pt idx="255">
                  <c:v>99.698042309559582</c:v>
                </c:pt>
                <c:pt idx="256">
                  <c:v>100.30214662058869</c:v>
                </c:pt>
                <c:pt idx="257">
                  <c:v>100.90551612335581</c:v>
                </c:pt>
                <c:pt idx="258">
                  <c:v>101.50812634672404</c:v>
                </c:pt>
                <c:pt idx="259">
                  <c:v>102.10995293709129</c:v>
                </c:pt>
                <c:pt idx="260">
                  <c:v>102.71097165902908</c:v>
                </c:pt>
                <c:pt idx="261">
                  <c:v>103.31115839591183</c:v>
                </c:pt>
                <c:pt idx="262">
                  <c:v>103.91048915053528</c:v>
                </c:pt>
                <c:pt idx="263">
                  <c:v>104.50894004572559</c:v>
                </c:pt>
                <c:pt idx="264">
                  <c:v>105.10648732493765</c:v>
                </c:pt>
                <c:pt idx="265">
                  <c:v>105.70310735284401</c:v>
                </c:pt>
                <c:pt idx="266">
                  <c:v>106.29877661591335</c:v>
                </c:pt>
                <c:pt idx="267">
                  <c:v>106.89347172297897</c:v>
                </c:pt>
                <c:pt idx="268">
                  <c:v>107.48716940579735</c:v>
                </c:pt>
                <c:pt idx="269">
                  <c:v>108.0798465195965</c:v>
                </c:pt>
                <c:pt idx="270">
                  <c:v>108.67148004361475</c:v>
                </c:pt>
                <c:pt idx="271">
                  <c:v>109.26204708162874</c:v>
                </c:pt>
                <c:pt idx="272">
                  <c:v>109.85152486247249</c:v>
                </c:pt>
                <c:pt idx="273">
                  <c:v>110.43989074054528</c:v>
                </c:pt>
                <c:pt idx="274">
                  <c:v>111.02712219631087</c:v>
                </c:pt>
                <c:pt idx="275">
                  <c:v>111.61319683678578</c:v>
                </c:pt>
                <c:pt idx="276">
                  <c:v>112.19809239601803</c:v>
                </c:pt>
                <c:pt idx="277">
                  <c:v>112.78178673555615</c:v>
                </c:pt>
                <c:pt idx="278">
                  <c:v>113.36425784490812</c:v>
                </c:pt>
                <c:pt idx="279">
                  <c:v>113.94548384199028</c:v>
                </c:pt>
                <c:pt idx="280">
                  <c:v>114.52544297356685</c:v>
                </c:pt>
                <c:pt idx="281">
                  <c:v>115.10411361567944</c:v>
                </c:pt>
                <c:pt idx="282">
                  <c:v>115.68147427406636</c:v>
                </c:pt>
                <c:pt idx="283">
                  <c:v>116.25750358457306</c:v>
                </c:pt>
                <c:pt idx="284">
                  <c:v>116.83256680958016</c:v>
                </c:pt>
                <c:pt idx="285">
                  <c:v>117.40703306666488</c:v>
                </c:pt>
                <c:pt idx="286">
                  <c:v>117.98088668287429</c:v>
                </c:pt>
                <c:pt idx="287">
                  <c:v>118.55411205383623</c:v>
                </c:pt>
                <c:pt idx="288">
                  <c:v>119.12669364406757</c:v>
                </c:pt>
                <c:pt idx="289">
                  <c:v>119.69861598727731</c:v>
                </c:pt>
                <c:pt idx="290">
                  <c:v>120.26986368666529</c:v>
                </c:pt>
                <c:pt idx="291">
                  <c:v>120.84042141521572</c:v>
                </c:pt>
                <c:pt idx="292">
                  <c:v>121.41027391598631</c:v>
                </c:pt>
                <c:pt idx="293">
                  <c:v>121.9794060023923</c:v>
                </c:pt>
                <c:pt idx="294">
                  <c:v>122.5478025584858</c:v>
                </c:pt>
                <c:pt idx="295">
                  <c:v>123.11544853923067</c:v>
                </c:pt>
                <c:pt idx="296">
                  <c:v>123.68232897077213</c:v>
                </c:pt>
                <c:pt idx="297">
                  <c:v>124.24842895070208</c:v>
                </c:pt>
                <c:pt idx="298">
                  <c:v>124.81373364831903</c:v>
                </c:pt>
                <c:pt idx="299">
                  <c:v>125.37822830488432</c:v>
                </c:pt>
                <c:pt idx="300">
                  <c:v>125.94189823387262</c:v>
                </c:pt>
                <c:pt idx="301">
                  <c:v>126.50472882121821</c:v>
                </c:pt>
                <c:pt idx="302">
                  <c:v>127.0667055255566</c:v>
                </c:pt>
                <c:pt idx="303">
                  <c:v>127.62781387846093</c:v>
                </c:pt>
                <c:pt idx="304">
                  <c:v>128.18803948467445</c:v>
                </c:pt>
                <c:pt idx="305">
                  <c:v>128.74736802233758</c:v>
                </c:pt>
                <c:pt idx="306">
                  <c:v>129.30578524321106</c:v>
                </c:pt>
                <c:pt idx="307">
                  <c:v>129.86327697289335</c:v>
                </c:pt>
                <c:pt idx="308">
                  <c:v>130.41982911103474</c:v>
                </c:pt>
                <c:pt idx="309">
                  <c:v>130.97542763154559</c:v>
                </c:pt>
                <c:pt idx="310">
                  <c:v>131.53005858280093</c:v>
                </c:pt>
                <c:pt idx="311">
                  <c:v>132.08370808783945</c:v>
                </c:pt>
                <c:pt idx="312">
                  <c:v>132.6363623445589</c:v>
                </c:pt>
                <c:pt idx="313">
                  <c:v>133.18800762590632</c:v>
                </c:pt>
                <c:pt idx="314">
                  <c:v>133.73863028006366</c:v>
                </c:pt>
                <c:pt idx="315">
                  <c:v>134.28821673062893</c:v>
                </c:pt>
                <c:pt idx="316">
                  <c:v>134.83675347679329</c:v>
                </c:pt>
                <c:pt idx="317">
                  <c:v>135.38422709351258</c:v>
                </c:pt>
                <c:pt idx="318">
                  <c:v>135.9306242316753</c:v>
                </c:pt>
                <c:pt idx="319">
                  <c:v>136.47593161826561</c:v>
                </c:pt>
                <c:pt idx="320">
                  <c:v>137.02013605652189</c:v>
                </c:pt>
                <c:pt idx="321">
                  <c:v>137.56322442609084</c:v>
                </c:pt>
                <c:pt idx="322">
                  <c:v>138.10518368317722</c:v>
                </c:pt>
                <c:pt idx="323">
                  <c:v>138.64600086068907</c:v>
                </c:pt>
                <c:pt idx="324">
                  <c:v>139.18566306837826</c:v>
                </c:pt>
                <c:pt idx="325">
                  <c:v>139.72415749297721</c:v>
                </c:pt>
                <c:pt idx="326">
                  <c:v>140.26149733840182</c:v>
                </c:pt>
                <c:pt idx="327">
                  <c:v>140.7976960724086</c:v>
                </c:pt>
                <c:pt idx="328">
                  <c:v>141.33274137283229</c:v>
                </c:pt>
                <c:pt idx="329">
                  <c:v>141.86662099162166</c:v>
                </c:pt>
                <c:pt idx="330">
                  <c:v>142.39932275495511</c:v>
                </c:pt>
                <c:pt idx="331">
                  <c:v>142.93083456335302</c:v>
                </c:pt>
                <c:pt idx="332">
                  <c:v>143.46114439178518</c:v>
                </c:pt>
                <c:pt idx="333">
                  <c:v>143.99024028977519</c:v>
                </c:pt>
                <c:pt idx="334">
                  <c:v>144.51811038149989</c:v>
                </c:pt>
                <c:pt idx="335">
                  <c:v>145.04474286588538</c:v>
                </c:pt>
                <c:pt idx="336">
                  <c:v>145.57012601669825</c:v>
                </c:pt>
                <c:pt idx="337">
                  <c:v>146.094248182634</c:v>
                </c:pt>
                <c:pt idx="338">
                  <c:v>146.61709778740013</c:v>
                </c:pt>
                <c:pt idx="339">
                  <c:v>147.13866332979651</c:v>
                </c:pt>
                <c:pt idx="340">
                  <c:v>147.65893338379053</c:v>
                </c:pt>
                <c:pt idx="341">
                  <c:v>148.17789659858965</c:v>
                </c:pt>
                <c:pt idx="342">
                  <c:v>148.69554169870898</c:v>
                </c:pt>
                <c:pt idx="343">
                  <c:v>149.21185748403542</c:v>
                </c:pt>
                <c:pt idx="344">
                  <c:v>149.72683282988811</c:v>
                </c:pt>
                <c:pt idx="345">
                  <c:v>150.24045668707447</c:v>
                </c:pt>
                <c:pt idx="346">
                  <c:v>150.7527180819429</c:v>
                </c:pt>
                <c:pt idx="347">
                  <c:v>151.26360611643156</c:v>
                </c:pt>
                <c:pt idx="348">
                  <c:v>151.77310996811318</c:v>
                </c:pt>
                <c:pt idx="349">
                  <c:v>152.28121889023609</c:v>
                </c:pt>
                <c:pt idx="350">
                  <c:v>152.78792221176218</c:v>
                </c:pt>
                <c:pt idx="351">
                  <c:v>153.2932093373997</c:v>
                </c:pt>
                <c:pt idx="352">
                  <c:v>153.79706974763386</c:v>
                </c:pt>
                <c:pt idx="353">
                  <c:v>154.29949299875284</c:v>
                </c:pt>
                <c:pt idx="354">
                  <c:v>154.80046872287045</c:v>
                </c:pt>
                <c:pt idx="355">
                  <c:v>155.29998662794497</c:v>
                </c:pt>
                <c:pt idx="356">
                  <c:v>155.7980364977947</c:v>
                </c:pt>
                <c:pt idx="357">
                  <c:v>156.29460819210931</c:v>
                </c:pt>
                <c:pt idx="358">
                  <c:v>156.78969164645818</c:v>
                </c:pt>
                <c:pt idx="359">
                  <c:v>157.28327687229481</c:v>
                </c:pt>
                <c:pt idx="360">
                  <c:v>157.77535395695816</c:v>
                </c:pt>
                <c:pt idx="361">
                  <c:v>158.26591306366959</c:v>
                </c:pt>
                <c:pt idx="362">
                  <c:v>158.75494443152752</c:v>
                </c:pt>
                <c:pt idx="363">
                  <c:v>159.24243837549747</c:v>
                </c:pt>
                <c:pt idx="364">
                  <c:v>159.72838528639898</c:v>
                </c:pt>
                <c:pt idx="365">
                  <c:v>160.21277563088998</c:v>
                </c:pt>
                <c:pt idx="366">
                  <c:v>160.69630153565134</c:v>
                </c:pt>
                <c:pt idx="367">
                  <c:v>161.17965893645078</c:v>
                </c:pt>
                <c:pt idx="368">
                  <c:v>161.66284355256613</c:v>
                </c:pt>
                <c:pt idx="369">
                  <c:v>162.14585111651138</c:v>
                </c:pt>
                <c:pt idx="370">
                  <c:v>162.62867737408112</c:v>
                </c:pt>
                <c:pt idx="371">
                  <c:v>163.11131808439478</c:v>
                </c:pt>
                <c:pt idx="372">
                  <c:v>163.5937690199392</c:v>
                </c:pt>
                <c:pt idx="373">
                  <c:v>164.07602596661241</c:v>
                </c:pt>
                <c:pt idx="374">
                  <c:v>164.55808472376475</c:v>
                </c:pt>
                <c:pt idx="375">
                  <c:v>165.03994110424171</c:v>
                </c:pt>
                <c:pt idx="376">
                  <c:v>165.5215909344243</c:v>
                </c:pt>
                <c:pt idx="377">
                  <c:v>166.00303005427</c:v>
                </c:pt>
                <c:pt idx="378">
                  <c:v>166.48425431735288</c:v>
                </c:pt>
                <c:pt idx="379">
                  <c:v>166.96525959090334</c:v>
                </c:pt>
                <c:pt idx="380">
                  <c:v>167.44604175584686</c:v>
                </c:pt>
                <c:pt idx="381">
                  <c:v>167.92582365847736</c:v>
                </c:pt>
                <c:pt idx="382">
                  <c:v>168.40382431401576</c:v>
                </c:pt>
                <c:pt idx="383">
                  <c:v>168.88003452658472</c:v>
                </c:pt>
                <c:pt idx="384">
                  <c:v>169.35444518341552</c:v>
                </c:pt>
                <c:pt idx="385">
                  <c:v>169.8270472547739</c:v>
                </c:pt>
                <c:pt idx="386">
                  <c:v>170.29783179388318</c:v>
                </c:pt>
                <c:pt idx="387">
                  <c:v>170.76678993684271</c:v>
                </c:pt>
                <c:pt idx="388">
                  <c:v>171.23391290254418</c:v>
                </c:pt>
                <c:pt idx="389">
                  <c:v>171.69919199258362</c:v>
                </c:pt>
                <c:pt idx="390">
                  <c:v>172.16261859117031</c:v>
                </c:pt>
                <c:pt idx="391">
                  <c:v>172.62418416503263</c:v>
                </c:pt>
                <c:pt idx="392">
                  <c:v>173.08388026332011</c:v>
                </c:pt>
                <c:pt idx="393">
                  <c:v>173.54169851750237</c:v>
                </c:pt>
                <c:pt idx="394">
                  <c:v>173.99763064126526</c:v>
                </c:pt>
                <c:pt idx="395">
                  <c:v>174.45166843040286</c:v>
                </c:pt>
                <c:pt idx="396">
                  <c:v>174.90380376270724</c:v>
                </c:pt>
                <c:pt idx="397">
                  <c:v>175.35402859785447</c:v>
                </c:pt>
                <c:pt idx="398">
                  <c:v>175.80233497728739</c:v>
                </c:pt>
                <c:pt idx="399">
                  <c:v>176.24871502409582</c:v>
                </c:pt>
                <c:pt idx="400">
                  <c:v>176.69316094289366</c:v>
                </c:pt>
                <c:pt idx="401">
                  <c:v>177.13504301015004</c:v>
                </c:pt>
                <c:pt idx="402">
                  <c:v>177.57372902449072</c:v>
                </c:pt>
                <c:pt idx="403">
                  <c:v>178.00920815666817</c:v>
                </c:pt>
                <c:pt idx="404">
                  <c:v>178.4414697446071</c:v>
                </c:pt>
                <c:pt idx="405">
                  <c:v>178.87050329300246</c:v>
                </c:pt>
                <c:pt idx="406">
                  <c:v>179.296298472909</c:v>
                </c:pt>
                <c:pt idx="407">
                  <c:v>179.7188451213255</c:v>
                </c:pt>
                <c:pt idx="408">
                  <c:v>180.13813324077094</c:v>
                </c:pt>
                <c:pt idx="409">
                  <c:v>180.55415299885496</c:v>
                </c:pt>
                <c:pt idx="410">
                  <c:v>180.96689472784087</c:v>
                </c:pt>
                <c:pt idx="411">
                  <c:v>181.37287853975897</c:v>
                </c:pt>
                <c:pt idx="412">
                  <c:v>181.76861260976315</c:v>
                </c:pt>
                <c:pt idx="413">
                  <c:v>182.154073166161</c:v>
                </c:pt>
                <c:pt idx="414">
                  <c:v>182.52923759538081</c:v>
                </c:pt>
                <c:pt idx="415">
                  <c:v>182.89408443739498</c:v>
                </c:pt>
                <c:pt idx="416">
                  <c:v>183.248593381061</c:v>
                </c:pt>
                <c:pt idx="417">
                  <c:v>183.59274525938255</c:v>
                </c:pt>
                <c:pt idx="418">
                  <c:v>183.9265220446936</c:v>
                </c:pt>
                <c:pt idx="419">
                  <c:v>184.2499068437665</c:v>
                </c:pt>
                <c:pt idx="420">
                  <c:v>184.56089636865744</c:v>
                </c:pt>
                <c:pt idx="421">
                  <c:v>184.85748419622178</c:v>
                </c:pt>
                <c:pt idx="422">
                  <c:v>185.13965275400579</c:v>
                </c:pt>
                <c:pt idx="423">
                  <c:v>185.40738653078509</c:v>
                </c:pt>
                <c:pt idx="424">
                  <c:v>185.66067206650251</c:v>
                </c:pt>
                <c:pt idx="425">
                  <c:v>185.89949794204395</c:v>
                </c:pt>
                <c:pt idx="426">
                  <c:v>186.12385476885771</c:v>
                </c:pt>
                <c:pt idx="427">
                  <c:v>186.33373517842074</c:v>
                </c:pt>
                <c:pt idx="428">
                  <c:v>186.52913381155653</c:v>
                </c:pt>
                <c:pt idx="429">
                  <c:v>186.71004730760828</c:v>
                </c:pt>
                <c:pt idx="430">
                  <c:v>186.87647429347322</c:v>
                </c:pt>
                <c:pt idx="431">
                  <c:v>187.02841537249876</c:v>
                </c:pt>
                <c:pt idx="432">
                  <c:v>187.16265606650393</c:v>
                </c:pt>
                <c:pt idx="433">
                  <c:v>187.27598423166339</c:v>
                </c:pt>
                <c:pt idx="434">
                  <c:v>187.36841111438375</c:v>
                </c:pt>
                <c:pt idx="435">
                  <c:v>187.43995196058773</c:v>
                </c:pt>
                <c:pt idx="436">
                  <c:v>187.49062599097763</c:v>
                </c:pt>
                <c:pt idx="437">
                  <c:v>187.52045637594517</c:v>
                </c:pt>
                <c:pt idx="438">
                  <c:v>187.52947021013841</c:v>
                </c:pt>
                <c:pt idx="439">
                  <c:v>187.51769848670099</c:v>
                </c:pt>
                <c:pt idx="440">
                  <c:v>187.48517607119385</c:v>
                </c:pt>
                <c:pt idx="441">
                  <c:v>187.43194167521025</c:v>
                </c:pt>
                <c:pt idx="442">
                  <c:v>187.35998879943216</c:v>
                </c:pt>
                <c:pt idx="443">
                  <c:v>187.27130954469641</c:v>
                </c:pt>
                <c:pt idx="444">
                  <c:v>187.1659436245607</c:v>
                </c:pt>
                <c:pt idx="445">
                  <c:v>187.04393319765148</c:v>
                </c:pt>
                <c:pt idx="446">
                  <c:v>186.90532284958806</c:v>
                </c:pt>
                <c:pt idx="447">
                  <c:v>186.75015957480039</c:v>
                </c:pt>
                <c:pt idx="448">
                  <c:v>186.57849275824537</c:v>
                </c:pt>
                <c:pt idx="449">
                  <c:v>186.39037415702745</c:v>
                </c:pt>
                <c:pt idx="450">
                  <c:v>186.18585788193161</c:v>
                </c:pt>
                <c:pt idx="451">
                  <c:v>185.96500037887054</c:v>
                </c:pt>
                <c:pt idx="452">
                  <c:v>185.72786041025674</c:v>
                </c:pt>
                <c:pt idx="453">
                  <c:v>185.47727315656093</c:v>
                </c:pt>
                <c:pt idx="454">
                  <c:v>185.21606280388909</c:v>
                </c:pt>
                <c:pt idx="455">
                  <c:v>184.94427177471462</c:v>
                </c:pt>
                <c:pt idx="456">
                  <c:v>184.66194343051814</c:v>
                </c:pt>
                <c:pt idx="457">
                  <c:v>184.36912206376959</c:v>
                </c:pt>
                <c:pt idx="458">
                  <c:v>184.06585288991872</c:v>
                </c:pt>
                <c:pt idx="459">
                  <c:v>183.7521820393961</c:v>
                </c:pt>
                <c:pt idx="460">
                  <c:v>183.42815654962413</c:v>
                </c:pt>
                <c:pt idx="461">
                  <c:v>183.09630152330436</c:v>
                </c:pt>
                <c:pt idx="462">
                  <c:v>182.75912872318159</c:v>
                </c:pt>
                <c:pt idx="463">
                  <c:v>182.41666398422595</c:v>
                </c:pt>
                <c:pt idx="464">
                  <c:v>182.06893335282916</c:v>
                </c:pt>
                <c:pt idx="465">
                  <c:v>181.71596308476995</c:v>
                </c:pt>
                <c:pt idx="466">
                  <c:v>181.35571010699113</c:v>
                </c:pt>
                <c:pt idx="467">
                  <c:v>180.98614416706423</c:v>
                </c:pt>
                <c:pt idx="468">
                  <c:v>180.58432137044895</c:v>
                </c:pt>
                <c:pt idx="469">
                  <c:v>180.15555203582193</c:v>
                </c:pt>
                <c:pt idx="470">
                  <c:v>179.72804761701698</c:v>
                </c:pt>
                <c:pt idx="471">
                  <c:v>179.30180315682469</c:v>
                </c:pt>
                <c:pt idx="472">
                  <c:v>178.87681372261395</c:v>
                </c:pt>
                <c:pt idx="473">
                  <c:v>178.45307440618598</c:v>
                </c:pt>
                <c:pt idx="474">
                  <c:v>178.03058032362802</c:v>
                </c:pt>
                <c:pt idx="475">
                  <c:v>177.60932661516821</c:v>
                </c:pt>
                <c:pt idx="476">
                  <c:v>177.18930844503291</c:v>
                </c:pt>
                <c:pt idx="477">
                  <c:v>176.77052100130226</c:v>
                </c:pt>
                <c:pt idx="478">
                  <c:v>176.3529594957696</c:v>
                </c:pt>
                <c:pt idx="479">
                  <c:v>175.93661916380006</c:v>
                </c:pt>
                <c:pt idx="480">
                  <c:v>175.52149526419063</c:v>
                </c:pt>
                <c:pt idx="481">
                  <c:v>175.10758307903197</c:v>
                </c:pt>
                <c:pt idx="482">
                  <c:v>174.6948779135696</c:v>
                </c:pt>
                <c:pt idx="483">
                  <c:v>174.28337509606712</c:v>
                </c:pt>
                <c:pt idx="484">
                  <c:v>173.87306997767078</c:v>
                </c:pt>
                <c:pt idx="485">
                  <c:v>173.4639579322735</c:v>
                </c:pt>
                <c:pt idx="486">
                  <c:v>173.0560343563817</c:v>
                </c:pt>
                <c:pt idx="487">
                  <c:v>172.64929466898113</c:v>
                </c:pt>
                <c:pt idx="488">
                  <c:v>172.24373431140523</c:v>
                </c:pt>
                <c:pt idx="489">
                  <c:v>171.83934874720339</c:v>
                </c:pt>
                <c:pt idx="490">
                  <c:v>171.43613346201062</c:v>
                </c:pt>
                <c:pt idx="491">
                  <c:v>171.0340839634178</c:v>
                </c:pt>
                <c:pt idx="492">
                  <c:v>170.63319578084324</c:v>
                </c:pt>
                <c:pt idx="493">
                  <c:v>170.23346446540472</c:v>
                </c:pt>
                <c:pt idx="494">
                  <c:v>169.83488558979224</c:v>
                </c:pt>
                <c:pt idx="495">
                  <c:v>169.43745474814264</c:v>
                </c:pt>
                <c:pt idx="496">
                  <c:v>169.04116755591369</c:v>
                </c:pt>
                <c:pt idx="497">
                  <c:v>168.64601964976015</c:v>
                </c:pt>
                <c:pt idx="498">
                  <c:v>168.25200668740999</c:v>
                </c:pt>
                <c:pt idx="499">
                  <c:v>167.85912434754218</c:v>
                </c:pt>
                <c:pt idx="500">
                  <c:v>167.4673683296644</c:v>
                </c:pt>
                <c:pt idx="501">
                  <c:v>163.58771106985853</c:v>
                </c:pt>
                <c:pt idx="502">
                  <c:v>159.81766717260456</c:v>
                </c:pt>
                <c:pt idx="503">
                  <c:v>156.15316306254675</c:v>
                </c:pt>
                <c:pt idx="504">
                  <c:v>152.59031545205318</c:v>
                </c:pt>
                <c:pt idx="505">
                  <c:v>149.12542070964412</c:v>
                </c:pt>
                <c:pt idx="506">
                  <c:v>145.75494491862179</c:v>
                </c:pt>
                <c:pt idx="507">
                  <c:v>142.47551457497443</c:v>
                </c:pt>
                <c:pt idx="508">
                  <c:v>139.28390787782999</c:v>
                </c:pt>
                <c:pt idx="509">
                  <c:v>136.17704656954896</c:v>
                </c:pt>
                <c:pt idx="510">
                  <c:v>133.15198828602703</c:v>
                </c:pt>
                <c:pt idx="511">
                  <c:v>130.20591938093477</c:v>
                </c:pt>
                <c:pt idx="512">
                  <c:v>127.33614819051068</c:v>
                </c:pt>
                <c:pt idx="513">
                  <c:v>124.54009870815216</c:v>
                </c:pt>
                <c:pt idx="514">
                  <c:v>121.8153046404495</c:v>
                </c:pt>
                <c:pt idx="515">
                  <c:v>119.15940381850571</c:v>
                </c:pt>
                <c:pt idx="516">
                  <c:v>116.57013294038865</c:v>
                </c:pt>
                <c:pt idx="517">
                  <c:v>114.04532262240073</c:v>
                </c:pt>
                <c:pt idx="518">
                  <c:v>111.58289273853453</c:v>
                </c:pt>
                <c:pt idx="519">
                  <c:v>109.18084802902244</c:v>
                </c:pt>
                <c:pt idx="520">
                  <c:v>106.83727396030865</c:v>
                </c:pt>
                <c:pt idx="521">
                  <c:v>104.55033282006389</c:v>
                </c:pt>
                <c:pt idx="522">
                  <c:v>102.31826003206464</c:v>
                </c:pt>
                <c:pt idx="523">
                  <c:v>100.13936067685093</c:v>
                </c:pt>
                <c:pt idx="524">
                  <c:v>98.012006205088227</c:v>
                </c:pt>
                <c:pt idx="525">
                  <c:v>95.934631331489854</c:v>
                </c:pt>
                <c:pt idx="526">
                  <c:v>93.905731098011941</c:v>
                </c:pt>
                <c:pt idx="527">
                  <c:v>91.923858095823093</c:v>
                </c:pt>
                <c:pt idx="528">
                  <c:v>89.987619836281368</c:v>
                </c:pt>
                <c:pt idx="529">
                  <c:v>88.095676261821168</c:v>
                </c:pt>
                <c:pt idx="530">
                  <c:v>86.246737388277751</c:v>
                </c:pt>
                <c:pt idx="531">
                  <c:v>84.439561070749392</c:v>
                </c:pt>
                <c:pt idx="532">
                  <c:v>82.672950885629888</c:v>
                </c:pt>
                <c:pt idx="533">
                  <c:v>80.945754121936233</c:v>
                </c:pt>
                <c:pt idx="534">
                  <c:v>79.256859875512134</c:v>
                </c:pt>
                <c:pt idx="535">
                  <c:v>77.605197240109163</c:v>
                </c:pt>
                <c:pt idx="536">
                  <c:v>75.989733589741533</c:v>
                </c:pt>
                <c:pt idx="537">
                  <c:v>74.409472947070952</c:v>
                </c:pt>
                <c:pt idx="538">
                  <c:v>72.863454432917734</c:v>
                </c:pt>
                <c:pt idx="539">
                  <c:v>71.35075079230586</c:v>
                </c:pt>
                <c:pt idx="540">
                  <c:v>69.870466992742308</c:v>
                </c:pt>
                <c:pt idx="541">
                  <c:v>68.421738890700496</c:v>
                </c:pt>
                <c:pt idx="542">
                  <c:v>67.00373196253112</c:v>
                </c:pt>
                <c:pt idx="543">
                  <c:v>65.615640096255817</c:v>
                </c:pt>
                <c:pt idx="544">
                  <c:v>64.256684440920282</c:v>
                </c:pt>
                <c:pt idx="545">
                  <c:v>62.926112310384987</c:v>
                </c:pt>
                <c:pt idx="546">
                  <c:v>61.623196138621864</c:v>
                </c:pt>
                <c:pt idx="547">
                  <c:v>60.347232483762596</c:v>
                </c:pt>
                <c:pt idx="548">
                  <c:v>59.097541078309369</c:v>
                </c:pt>
                <c:pt idx="549">
                  <c:v>57.873463923072315</c:v>
                </c:pt>
                <c:pt idx="550">
                  <c:v>56.674364422543107</c:v>
                </c:pt>
                <c:pt idx="551">
                  <c:v>55.499626559547721</c:v>
                </c:pt>
                <c:pt idx="552">
                  <c:v>54.348654107148121</c:v>
                </c:pt>
                <c:pt idx="553">
                  <c:v>53.22086987587938</c:v>
                </c:pt>
                <c:pt idx="554">
                  <c:v>52.115714994520104</c:v>
                </c:pt>
                <c:pt idx="555">
                  <c:v>51.032648222696288</c:v>
                </c:pt>
                <c:pt idx="556">
                  <c:v>49.971145293715367</c:v>
                </c:pt>
                <c:pt idx="557">
                  <c:v>48.930698286118847</c:v>
                </c:pt>
                <c:pt idx="558">
                  <c:v>47.910815022525028</c:v>
                </c:pt>
                <c:pt idx="559">
                  <c:v>46.911018494414833</c:v>
                </c:pt>
                <c:pt idx="560">
                  <c:v>45.930846311586791</c:v>
                </c:pt>
                <c:pt idx="561">
                  <c:v>44.96985017507884</c:v>
                </c:pt>
                <c:pt idx="562">
                  <c:v>44.027595372418951</c:v>
                </c:pt>
                <c:pt idx="563">
                  <c:v>43.103660294129902</c:v>
                </c:pt>
                <c:pt idx="564">
                  <c:v>42.197635970470508</c:v>
                </c:pt>
                <c:pt idx="565">
                  <c:v>41.309125627451088</c:v>
                </c:pt>
                <c:pt idx="566">
                  <c:v>40.43774426121157</c:v>
                </c:pt>
                <c:pt idx="567">
                  <c:v>39.583118229899782</c:v>
                </c:pt>
                <c:pt idx="568">
                  <c:v>38.744884862232709</c:v>
                </c:pt>
                <c:pt idx="569">
                  <c:v>37.922692081965877</c:v>
                </c:pt>
                <c:pt idx="570">
                  <c:v>37.116198047537154</c:v>
                </c:pt>
                <c:pt idx="571">
                  <c:v>36.325070806189089</c:v>
                </c:pt>
                <c:pt idx="572">
                  <c:v>35.548987961909134</c:v>
                </c:pt>
                <c:pt idx="573">
                  <c:v>34.787636356562061</c:v>
                </c:pt>
                <c:pt idx="574">
                  <c:v>34.04071176361969</c:v>
                </c:pt>
                <c:pt idx="575">
                  <c:v>33.307918593923866</c:v>
                </c:pt>
                <c:pt idx="576">
                  <c:v>32.588969612946471</c:v>
                </c:pt>
                <c:pt idx="577">
                  <c:v>31.883585669037974</c:v>
                </c:pt>
                <c:pt idx="578">
                  <c:v>31.191495432179845</c:v>
                </c:pt>
                <c:pt idx="579">
                  <c:v>30.512435142782081</c:v>
                </c:pt>
                <c:pt idx="580">
                  <c:v>29.84614837008775</c:v>
                </c:pt>
                <c:pt idx="581">
                  <c:v>29.192385779769335</c:v>
                </c:pt>
                <c:pt idx="582">
                  <c:v>28.55090491032097</c:v>
                </c:pt>
                <c:pt idx="583">
                  <c:v>27.921469957870475</c:v>
                </c:pt>
                <c:pt idx="584">
                  <c:v>27.303851569052568</c:v>
                </c:pt>
                <c:pt idx="585">
                  <c:v>26.697826641602202</c:v>
                </c:pt>
                <c:pt idx="586">
                  <c:v>26.103178132343317</c:v>
                </c:pt>
                <c:pt idx="587">
                  <c:v>25.519694872262924</c:v>
                </c:pt>
                <c:pt idx="588">
                  <c:v>24.947171388376166</c:v>
                </c:pt>
                <c:pt idx="589">
                  <c:v>24.385407732100681</c:v>
                </c:pt>
                <c:pt idx="590">
                  <c:v>23.834209313872442</c:v>
                </c:pt>
                <c:pt idx="591">
                  <c:v>23.293386743747273</c:v>
                </c:pt>
                <c:pt idx="592">
                  <c:v>22.762755677744032</c:v>
                </c:pt>
                <c:pt idx="593">
                  <c:v>22.242136669697054</c:v>
                </c:pt>
                <c:pt idx="594">
                  <c:v>21.731355028395146</c:v>
                </c:pt>
                <c:pt idx="595">
                  <c:v>21.230240679795571</c:v>
                </c:pt>
                <c:pt idx="596">
                  <c:v>20.738628034109979</c:v>
                </c:pt>
                <c:pt idx="597">
                  <c:v>20.256355857569094</c:v>
                </c:pt>
                <c:pt idx="598">
                  <c:v>19.783267148681119</c:v>
                </c:pt>
                <c:pt idx="599">
                  <c:v>19.319209018807072</c:v>
                </c:pt>
                <c:pt idx="600">
                  <c:v>18.864032576884231</c:v>
                </c:pt>
                <c:pt idx="601">
                  <c:v>18.417592818135926</c:v>
                </c:pt>
                <c:pt idx="602">
                  <c:v>17.979748516613235</c:v>
                </c:pt>
                <c:pt idx="603">
                  <c:v>17.550362121420555</c:v>
                </c:pt>
                <c:pt idx="604">
                  <c:v>17.129299656483532</c:v>
                </c:pt>
                <c:pt idx="605">
                  <c:v>16.71643062372377</c:v>
                </c:pt>
                <c:pt idx="606">
                  <c:v>16.311627909510385</c:v>
                </c:pt>
                <c:pt idx="607">
                  <c:v>15.914767694264222</c:v>
                </c:pt>
                <c:pt idx="608">
                  <c:v>15.525729365095163</c:v>
                </c:pt>
                <c:pt idx="609">
                  <c:v>15.144395431358559</c:v>
                </c:pt>
                <c:pt idx="610">
                  <c:v>14.770651443020911</c:v>
                </c:pt>
                <c:pt idx="611">
                  <c:v>14.404385911729682</c:v>
                </c:pt>
                <c:pt idx="612">
                  <c:v>14.045490234486245</c:v>
                </c:pt>
                <c:pt idx="613">
                  <c:v>13.693858619824985</c:v>
                </c:pt>
                <c:pt idx="614">
                  <c:v>13.349388016405412</c:v>
                </c:pt>
                <c:pt idx="615">
                  <c:v>13.011978043927723</c:v>
                </c:pt>
                <c:pt idx="616">
                  <c:v>12.681530926285657</c:v>
                </c:pt>
                <c:pt idx="617">
                  <c:v>12.357951426873804</c:v>
                </c:pt>
                <c:pt idx="618">
                  <c:v>12.041146785969627</c:v>
                </c:pt>
                <c:pt idx="619">
                  <c:v>11.731026660113189</c:v>
                </c:pt>
                <c:pt idx="620">
                  <c:v>11.427503063410629</c:v>
                </c:pt>
                <c:pt idx="621">
                  <c:v>11.130490310689801</c:v>
                </c:pt>
                <c:pt idx="622">
                  <c:v>10.839904962439059</c:v>
                </c:pt>
                <c:pt idx="623">
                  <c:v>10.555665771462483</c:v>
                </c:pt>
                <c:pt idx="624">
                  <c:v>10.277693631186956</c:v>
                </c:pt>
                <c:pt idx="625">
                  <c:v>10.005911525558766</c:v>
                </c:pt>
                <c:pt idx="626">
                  <c:v>9.7402444804689541</c:v>
                </c:pt>
                <c:pt idx="627">
                  <c:v>9.4806195166487726</c:v>
                </c:pt>
                <c:pt idx="628">
                  <c:v>9.2269656039781793</c:v>
                </c:pt>
                <c:pt idx="629">
                  <c:v>8.9792136171517001</c:v>
                </c:pt>
                <c:pt idx="630">
                  <c:v>8.7372962926476152</c:v>
                </c:pt>
                <c:pt idx="631">
                  <c:v>8.5011481869476775</c:v>
                </c:pt>
                <c:pt idx="632">
                  <c:v>8.270705635955677</c:v>
                </c:pt>
                <c:pt idx="633">
                  <c:v>8.0459067155643886</c:v>
                </c:pt>
                <c:pt idx="634">
                  <c:v>7.8266912033213281</c:v>
                </c:pt>
                <c:pt idx="635">
                  <c:v>7.6130005411446904</c:v>
                </c:pt>
                <c:pt idx="636">
                  <c:v>7.4047777990414536</c:v>
                </c:pt>
                <c:pt idx="637">
                  <c:v>7.2019676397804968</c:v>
                </c:pt>
                <c:pt idx="638">
                  <c:v>7.0045162844739428</c:v>
                </c:pt>
                <c:pt idx="639">
                  <c:v>6.8123714790205678</c:v>
                </c:pt>
                <c:pt idx="640">
                  <c:v>6.6254824613652739</c:v>
                </c:pt>
                <c:pt idx="641">
                  <c:v>6.4437999295291091</c:v>
                </c:pt>
                <c:pt idx="642">
                  <c:v>6.2672760103643537</c:v>
                </c:pt>
                <c:pt idx="643">
                  <c:v>6.0958642289892788</c:v>
                </c:pt>
                <c:pt idx="644">
                  <c:v>5.929519478857336</c:v>
                </c:pt>
                <c:pt idx="645">
                  <c:v>5.7681979924153524</c:v>
                </c:pt>
                <c:pt idx="646">
                  <c:v>5.6118573123052604</c:v>
                </c:pt>
                <c:pt idx="647">
                  <c:v>5.4604562630637092</c:v>
                </c:pt>
                <c:pt idx="648">
                  <c:v>5.313954923273811</c:v>
                </c:pt>
                <c:pt idx="649">
                  <c:v>5.1723145981229042</c:v>
                </c:pt>
                <c:pt idx="650">
                  <c:v>5.0354977923201725</c:v>
                </c:pt>
                <c:pt idx="651">
                  <c:v>4.9034681833276732</c:v>
                </c:pt>
                <c:pt idx="652">
                  <c:v>4.776190594858269</c:v>
                </c:pt>
                <c:pt idx="653">
                  <c:v>4.6536309705938246</c:v>
                </c:pt>
                <c:pt idx="654">
                  <c:v>4.5357563480771033</c:v>
                </c:pt>
                <c:pt idx="655">
                  <c:v>4.4225348327310252</c:v>
                </c:pt>
                <c:pt idx="656">
                  <c:v>4.3139355719591981</c:v>
                </c:pt>
                <c:pt idx="657">
                  <c:v>4.20992872928234</c:v>
                </c:pt>
                <c:pt idx="658">
                  <c:v>4.1104854584659583</c:v>
                </c:pt>
                <c:pt idx="659">
                  <c:v>4.015577877595792</c:v>
                </c:pt>
                <c:pt idx="660">
                  <c:v>3.9251790430590603</c:v>
                </c:pt>
                <c:pt idx="661">
                  <c:v>3.839262923391439</c:v>
                </c:pt>
                <c:pt idx="662">
                  <c:v>3.7578043729519739</c:v>
                </c:pt>
                <c:pt idx="663">
                  <c:v>3.6807791053909757</c:v>
                </c:pt>
                <c:pt idx="664">
                  <c:v>3.6081636668792778</c:v>
                </c:pt>
                <c:pt idx="665">
                  <c:v>3.5399354090711013</c:v>
                </c:pt>
                <c:pt idx="666">
                  <c:v>3.4760724617771337</c:v>
                </c:pt>
                <c:pt idx="667">
                  <c:v>3.4165537053295747</c:v>
                </c:pt>
                <c:pt idx="668">
                  <c:v>3.3613587426262534</c:v>
                </c:pt>
                <c:pt idx="669">
                  <c:v>3.3104678708471851</c:v>
                </c:pt>
                <c:pt idx="670">
                  <c:v>3.2638620528433608</c:v>
                </c:pt>
                <c:pt idx="671">
                  <c:v>3.2215228882046261</c:v>
                </c:pt>
                <c:pt idx="672">
                  <c:v>3.183432584020728</c:v>
                </c:pt>
                <c:pt idx="673">
                  <c:v>3.1495739253572288</c:v>
                </c:pt>
                <c:pt idx="674">
                  <c:v>3.1199302454754685</c:v>
                </c:pt>
                <c:pt idx="675">
                  <c:v>3.0944853958334293</c:v>
                </c:pt>
                <c:pt idx="676">
                  <c:v>3.0732237159116242</c:v>
                </c:pt>
                <c:pt idx="677">
                  <c:v>3.0561300029151233</c:v>
                </c:pt>
                <c:pt idx="678">
                  <c:v>3.0431894814092604</c:v>
                </c:pt>
                <c:pt idx="679">
                  <c:v>3.0343877729522655</c:v>
                </c:pt>
                <c:pt idx="680">
                  <c:v>3.0297108657929832</c:v>
                </c:pt>
                <c:pt idx="681">
                  <c:v>3.0291450847056147</c:v>
                </c:pt>
                <c:pt idx="682">
                  <c:v>3.0326770610363494</c:v>
                </c:pt>
                <c:pt idx="683">
                  <c:v>3.0402937030382637</c:v>
                </c:pt>
                <c:pt idx="684">
                  <c:v>3.0519821665713036</c:v>
                </c:pt>
                <c:pt idx="685">
                  <c:v>3.0677298262433768</c:v>
                </c:pt>
                <c:pt idx="686">
                  <c:v>3.0875242470665691</c:v>
                </c:pt>
                <c:pt idx="687">
                  <c:v>3.1113531566993573</c:v>
                </c:pt>
                <c:pt idx="688">
                  <c:v>3.1392044183415537</c:v>
                </c:pt>
                <c:pt idx="689">
                  <c:v>3.1710660043437029</c:v>
                </c:pt>
                <c:pt idx="690">
                  <c:v>3.2069259705867399</c:v>
                </c:pt>
                <c:pt idx="691">
                  <c:v>3.2467724316814217</c:v>
                </c:pt>
                <c:pt idx="692">
                  <c:v>3.2905935370301407</c:v>
                </c:pt>
                <c:pt idx="693">
                  <c:v>3.3383774477866286</c:v>
                </c:pt>
                <c:pt idx="694">
                  <c:v>3.3901123147418812</c:v>
                </c:pt>
                <c:pt idx="695">
                  <c:v>3.4457862571574642</c:v>
                </c:pt>
                <c:pt idx="696">
                  <c:v>3.5053873425604305</c:v>
                </c:pt>
                <c:pt idx="697">
                  <c:v>3.5689035675073866</c:v>
                </c:pt>
                <c:pt idx="698">
                  <c:v>3.6363228393190217</c:v>
                </c:pt>
                <c:pt idx="699">
                  <c:v>3.7076329587806862</c:v>
                </c:pt>
                <c:pt idx="700">
                  <c:v>3.7828216037992832</c:v>
                </c:pt>
                <c:pt idx="701">
                  <c:v>3.8618763140021826</c:v>
                </c:pt>
                <c:pt idx="702">
                  <c:v>3.944784476259747</c:v>
                </c:pt>
                <c:pt idx="703">
                  <c:v>4.0315333111095741</c:v>
                </c:pt>
                <c:pt idx="704">
                  <c:v>4.1221098600576793</c:v>
                </c:pt>
                <c:pt idx="705">
                  <c:v>4.2165009737294996</c:v>
                </c:pt>
                <c:pt idx="706">
                  <c:v>4.3146933008417339</c:v>
                </c:pt>
                <c:pt idx="707">
                  <c:v>4.4166732779646969</c:v>
                </c:pt>
                <c:pt idx="708">
                  <c:v>4.5224271200439574</c:v>
                </c:pt>
                <c:pt idx="709">
                  <c:v>4.6319408116494865</c:v>
                </c:pt>
                <c:pt idx="710">
                  <c:v>4.7452000989203373</c:v>
                </c:pt>
                <c:pt idx="711">
                  <c:v>4.8621904821730428</c:v>
                </c:pt>
                <c:pt idx="712">
                  <c:v>4.9828972091422319</c:v>
                </c:pt>
                <c:pt idx="713">
                  <c:v>5.1073052688225458</c:v>
                </c:pt>
                <c:pt idx="714">
                  <c:v>5.2353993858817374</c:v>
                </c:pt>
                <c:pt idx="715">
                  <c:v>5.3671640156156482</c:v>
                </c:pt>
                <c:pt idx="716">
                  <c:v>5.5025833394168409</c:v>
                </c:pt>
                <c:pt idx="717">
                  <c:v>5.6416412607296875</c:v>
                </c:pt>
                <c:pt idx="718">
                  <c:v>5.7843214014658475</c:v>
                </c:pt>
                <c:pt idx="719">
                  <c:v>5.9306070988552806</c:v>
                </c:pt>
                <c:pt idx="720">
                  <c:v>6.0804814027091343</c:v>
                </c:pt>
                <c:pt idx="721">
                  <c:v>6.2339270730718992</c:v>
                </c:pt>
                <c:pt idx="722">
                  <c:v>6.3909265782416353</c:v>
                </c:pt>
                <c:pt idx="723">
                  <c:v>6.5514620931380323</c:v>
                </c:pt>
                <c:pt idx="724">
                  <c:v>6.71551549799924</c:v>
                </c:pt>
                <c:pt idx="725">
                  <c:v>6.88306837738961</c:v>
                </c:pt>
                <c:pt idx="726">
                  <c:v>7.0541020195013608</c:v>
                </c:pt>
                <c:pt idx="727">
                  <c:v>7.2285974157343462</c:v>
                </c:pt>
                <c:pt idx="728">
                  <c:v>7.4065352605389823</c:v>
                </c:pt>
                <c:pt idx="729">
                  <c:v>7.5878959515083064</c:v>
                </c:pt>
                <c:pt idx="730">
                  <c:v>7.7726595897060724</c:v>
                </c:pt>
                <c:pt idx="731">
                  <c:v>7.9608059802185682</c:v>
                </c:pt>
                <c:pt idx="732">
                  <c:v>8.1523146329185217</c:v>
                </c:pt>
                <c:pt idx="733">
                  <c:v>8.3471647634304276</c:v>
                </c:pt>
                <c:pt idx="734">
                  <c:v>8.5453352942870335</c:v>
                </c:pt>
                <c:pt idx="735">
                  <c:v>8.7468048562675715</c:v>
                </c:pt>
                <c:pt idx="736">
                  <c:v>8.9515517899088195</c:v>
                </c:pt>
                <c:pt idx="737">
                  <c:v>9.1595541471806392</c:v>
                </c:pt>
                <c:pt idx="738">
                  <c:v>9.3707896933181907</c:v>
                </c:pt>
                <c:pt idx="739">
                  <c:v>9.5852359088035364</c:v>
                </c:pt>
                <c:pt idx="740">
                  <c:v>9.8028699914896826</c:v>
                </c:pt>
                <c:pt idx="741">
                  <c:v>10.023668858860693</c:v>
                </c:pt>
                <c:pt idx="742">
                  <c:v>10.247609150421653</c:v>
                </c:pt>
                <c:pt idx="743">
                  <c:v>10.474667230213051</c:v>
                </c:pt>
                <c:pt idx="744">
                  <c:v>10.704819189443901</c:v>
                </c:pt>
                <c:pt idx="745">
                  <c:v>10.938040849238762</c:v>
                </c:pt>
                <c:pt idx="746">
                  <c:v>11.174307763493822</c:v>
                </c:pt>
                <c:pt idx="747">
                  <c:v>11.413595221837507</c:v>
                </c:pt>
                <c:pt idx="748">
                  <c:v>11.65587825269141</c:v>
                </c:pt>
                <c:pt idx="749">
                  <c:v>11.901131626427492</c:v>
                </c:pt>
                <c:pt idx="750">
                  <c:v>12.149329858617772</c:v>
                </c:pt>
                <c:pt idx="751">
                  <c:v>12.400447213372752</c:v>
                </c:pt>
                <c:pt idx="752">
                  <c:v>12.654457706765381</c:v>
                </c:pt>
                <c:pt idx="753">
                  <c:v>12.911335110336967</c:v>
                </c:pt>
                <c:pt idx="754">
                  <c:v>13.171052954682226</c:v>
                </c:pt>
                <c:pt idx="755">
                  <c:v>13.433584533110249</c:v>
                </c:pt>
                <c:pt idx="756">
                  <c:v>13.698902905378596</c:v>
                </c:pt>
                <c:pt idx="757">
                  <c:v>13.966980901497918</c:v>
                </c:pt>
                <c:pt idx="758">
                  <c:v>14.237791125604225</c:v>
                </c:pt>
                <c:pt idx="759">
                  <c:v>14.511305959896543</c:v>
                </c:pt>
                <c:pt idx="760">
                  <c:v>14.787497568637354</c:v>
                </c:pt>
                <c:pt idx="761">
                  <c:v>15.066337902213508</c:v>
                </c:pt>
                <c:pt idx="762">
                  <c:v>15.347798701255444</c:v>
                </c:pt>
                <c:pt idx="763">
                  <c:v>15.631851500812369</c:v>
                </c:pt>
                <c:pt idx="764">
                  <c:v>15.918467634581388</c:v>
                </c:pt>
                <c:pt idx="765">
                  <c:v>16.207618239188474</c:v>
                </c:pt>
                <c:pt idx="766">
                  <c:v>16.499274258519325</c:v>
                </c:pt>
                <c:pt idx="767">
                  <c:v>16.793406448098001</c:v>
                </c:pt>
                <c:pt idx="768">
                  <c:v>17.089985379511646</c:v>
                </c:pt>
                <c:pt idx="769">
                  <c:v>17.388981444879263</c:v>
                </c:pt>
                <c:pt idx="770">
                  <c:v>17.690364861362799</c:v>
                </c:pt>
                <c:pt idx="771">
                  <c:v>17.994105675718707</c:v>
                </c:pt>
                <c:pt idx="772">
                  <c:v>18.300173768888246</c:v>
                </c:pt>
                <c:pt idx="773">
                  <c:v>18.608538860624797</c:v>
                </c:pt>
                <c:pt idx="774">
                  <c:v>18.919170514156555</c:v>
                </c:pt>
                <c:pt idx="775">
                  <c:v>19.232038140882732</c:v>
                </c:pt>
                <c:pt idx="776">
                  <c:v>19.547111005101897</c:v>
                </c:pt>
                <c:pt idx="777">
                  <c:v>19.86435822877062</c:v>
                </c:pt>
                <c:pt idx="778">
                  <c:v>20.183748796290818</c:v>
                </c:pt>
                <c:pt idx="779">
                  <c:v>20.505251559324432</c:v>
                </c:pt>
                <c:pt idx="780">
                  <c:v>20.828835241633548</c:v>
                </c:pt>
                <c:pt idx="781">
                  <c:v>21.154468443944623</c:v>
                </c:pt>
                <c:pt idx="782">
                  <c:v>21.482119648835244</c:v>
                </c:pt>
                <c:pt idx="783">
                  <c:v>21.811757225641742</c:v>
                </c:pt>
                <c:pt idx="784">
                  <c:v>22.143349435386433</c:v>
                </c:pt>
                <c:pt idx="785">
                  <c:v>22.476864435722621</c:v>
                </c:pt>
                <c:pt idx="786">
                  <c:v>22.812270285896144</c:v>
                </c:pt>
                <c:pt idx="787">
                  <c:v>23.14953495172184</c:v>
                </c:pt>
                <c:pt idx="788">
                  <c:v>23.488626310573544</c:v>
                </c:pt>
                <c:pt idx="789">
                  <c:v>23.829512156386013</c:v>
                </c:pt>
                <c:pt idx="790">
                  <c:v>24.172160204667382</c:v>
                </c:pt>
                <c:pt idx="791">
                  <c:v>24.516538097520865</c:v>
                </c:pt>
                <c:pt idx="792">
                  <c:v>24.862613408673923</c:v>
                </c:pt>
                <c:pt idx="793">
                  <c:v>25.210353648513674</c:v>
                </c:pt>
                <c:pt idx="794">
                  <c:v>25.559726269127125</c:v>
                </c:pt>
                <c:pt idx="795">
                  <c:v>25.910698669344701</c:v>
                </c:pt>
                <c:pt idx="796">
                  <c:v>26.263238199785686</c:v>
                </c:pt>
                <c:pt idx="797">
                  <c:v>26.617312167904178</c:v>
                </c:pt>
                <c:pt idx="798">
                  <c:v>26.972887843034137</c:v>
                </c:pt>
                <c:pt idx="799">
                  <c:v>27.329932461432151</c:v>
                </c:pt>
                <c:pt idx="800">
                  <c:v>27.688413231316449</c:v>
                </c:pt>
                <c:pt idx="801">
                  <c:v>28.048297337900859</c:v>
                </c:pt>
                <c:pt idx="802">
                  <c:v>28.409551948422347</c:v>
                </c:pt>
                <c:pt idx="803">
                  <c:v>28.772144217160573</c:v>
                </c:pt>
                <c:pt idx="804">
                  <c:v>29.136041290448357</c:v>
                </c:pt>
                <c:pt idx="805">
                  <c:v>29.501210311671652</c:v>
                </c:pt>
                <c:pt idx="806">
                  <c:v>29.86761842625728</c:v>
                </c:pt>
                <c:pt idx="807">
                  <c:v>30.235232786647821</c:v>
                </c:pt>
                <c:pt idx="808">
                  <c:v>30.604020557261563</c:v>
                </c:pt>
                <c:pt idx="809">
                  <c:v>30.973948919436708</c:v>
                </c:pt>
                <c:pt idx="810">
                  <c:v>31.344985076358316</c:v>
                </c:pt>
                <c:pt idx="811">
                  <c:v>31.717096257966592</c:v>
                </c:pt>
                <c:pt idx="812">
                  <c:v>32.090249725845453</c:v>
                </c:pt>
                <c:pt idx="813">
                  <c:v>32.464412778089873</c:v>
                </c:pt>
                <c:pt idx="814">
                  <c:v>32.83955275415088</c:v>
                </c:pt>
                <c:pt idx="815">
                  <c:v>33.215637039656713</c:v>
                </c:pt>
                <c:pt idx="816">
                  <c:v>33.592633071209249</c:v>
                </c:pt>
                <c:pt idx="817">
                  <c:v>33.970508341154087</c:v>
                </c:pt>
                <c:pt idx="818">
                  <c:v>34.349230402323165</c:v>
                </c:pt>
                <c:pt idx="819">
                  <c:v>34.728766872749006</c:v>
                </c:pt>
                <c:pt idx="820">
                  <c:v>35.109085440348679</c:v>
                </c:pt>
                <c:pt idx="821">
                  <c:v>35.490153867577128</c:v>
                </c:pt>
                <c:pt idx="822">
                  <c:v>35.871939996047935</c:v>
                </c:pt>
                <c:pt idx="823">
                  <c:v>36.254411751120976</c:v>
                </c:pt>
                <c:pt idx="824">
                  <c:v>36.63753714645523</c:v>
                </c:pt>
                <c:pt idx="825">
                  <c:v>37.021284288526083</c:v>
                </c:pt>
                <c:pt idx="826">
                  <c:v>37.405621381105739</c:v>
                </c:pt>
                <c:pt idx="827">
                  <c:v>37.790516729705772</c:v>
                </c:pt>
                <c:pt idx="828">
                  <c:v>38.175938745980531</c:v>
                </c:pt>
                <c:pt idx="829">
                  <c:v>38.561855952090504</c:v>
                </c:pt>
                <c:pt idx="830">
                  <c:v>38.94823698502465</c:v>
                </c:pt>
                <c:pt idx="831">
                  <c:v>39.335050600880265</c:v>
                </c:pt>
                <c:pt idx="832">
                  <c:v>39.722265679099841</c:v>
                </c:pt>
                <c:pt idx="833">
                  <c:v>40.109851226663686</c:v>
                </c:pt>
                <c:pt idx="834">
                  <c:v>40.497776382237113</c:v>
                </c:pt>
                <c:pt idx="835">
                  <c:v>40.886010420271717</c:v>
                </c:pt>
                <c:pt idx="836">
                  <c:v>41.274522755059422</c:v>
                </c:pt>
                <c:pt idx="837">
                  <c:v>41.663282944738199</c:v>
                </c:pt>
                <c:pt idx="838">
                  <c:v>42.052260695249359</c:v>
                </c:pt>
                <c:pt idx="839">
                  <c:v>42.441425864244373</c:v>
                </c:pt>
                <c:pt idx="840">
                  <c:v>42.830748464941351</c:v>
                </c:pt>
                <c:pt idx="841">
                  <c:v>43.2201986699298</c:v>
                </c:pt>
                <c:pt idx="842">
                  <c:v>43.609746814922985</c:v>
                </c:pt>
                <c:pt idx="843">
                  <c:v>43.999363402457021</c:v>
                </c:pt>
                <c:pt idx="844">
                  <c:v>44.389019105536093</c:v>
                </c:pt>
                <c:pt idx="845">
                  <c:v>44.778684771222729</c:v>
                </c:pt>
                <c:pt idx="846">
                  <c:v>45.168331424172692</c:v>
                </c:pt>
                <c:pt idx="847">
                  <c:v>45.557930270113616</c:v>
                </c:pt>
                <c:pt idx="848">
                  <c:v>45.947452699266705</c:v>
                </c:pt>
                <c:pt idx="849">
                  <c:v>46.336870289710944</c:v>
                </c:pt>
                <c:pt idx="850">
                  <c:v>46.726154810688882</c:v>
                </c:pt>
                <c:pt idx="851">
                  <c:v>47.115278225853743</c:v>
                </c:pt>
                <c:pt idx="852">
                  <c:v>47.504212696456996</c:v>
                </c:pt>
                <c:pt idx="853">
                  <c:v>47.892930584475884</c:v>
                </c:pt>
                <c:pt idx="854">
                  <c:v>48.281404455680409</c:v>
                </c:pt>
                <c:pt idx="855">
                  <c:v>48.669607082639104</c:v>
                </c:pt>
                <c:pt idx="856">
                  <c:v>49.057511447663479</c:v>
                </c:pt>
                <c:pt idx="857">
                  <c:v>49.445090745689789</c:v>
                </c:pt>
                <c:pt idx="858">
                  <c:v>49.832318387099043</c:v>
                </c:pt>
                <c:pt idx="859">
                  <c:v>50.21916800047326</c:v>
                </c:pt>
                <c:pt idx="860">
                  <c:v>50.605613435288952</c:v>
                </c:pt>
                <c:pt idx="861">
                  <c:v>50.991628764546427</c:v>
                </c:pt>
                <c:pt idx="862">
                  <c:v>51.377188287335173</c:v>
                </c:pt>
                <c:pt idx="863">
                  <c:v>51.762266531334795</c:v>
                </c:pt>
                <c:pt idx="864">
                  <c:v>52.146838255251176</c:v>
                </c:pt>
                <c:pt idx="865">
                  <c:v>52.530878451187583</c:v>
                </c:pt>
                <c:pt idx="866">
                  <c:v>52.914362346950526</c:v>
                </c:pt>
                <c:pt idx="867">
                  <c:v>53.297265408290009</c:v>
                </c:pt>
                <c:pt idx="868">
                  <c:v>53.679563341074349</c:v>
                </c:pt>
                <c:pt idx="869">
                  <c:v>54.061232093398608</c:v>
                </c:pt>
                <c:pt idx="870">
                  <c:v>54.442247857627528</c:v>
                </c:pt>
                <c:pt idx="871">
                  <c:v>54.822587072371959</c:v>
                </c:pt>
                <c:pt idx="872">
                  <c:v>55.202226424398951</c:v>
                </c:pt>
                <c:pt idx="873">
                  <c:v>55.581142850475793</c:v>
                </c:pt>
                <c:pt idx="874">
                  <c:v>55.959313539147239</c:v>
                </c:pt>
                <c:pt idx="875">
                  <c:v>56.336715932446758</c:v>
                </c:pt>
                <c:pt idx="876">
                  <c:v>56.713327727540779</c:v>
                </c:pt>
                <c:pt idx="877">
                  <c:v>57.089126878306992</c:v>
                </c:pt>
                <c:pt idx="878">
                  <c:v>57.464091596845975</c:v>
                </c:pt>
                <c:pt idx="879">
                  <c:v>57.838200354926549</c:v>
                </c:pt>
                <c:pt idx="880">
                  <c:v>58.211431885364902</c:v>
                </c:pt>
                <c:pt idx="881">
                  <c:v>58.583765183337647</c:v>
                </c:pt>
                <c:pt idx="882">
                  <c:v>58.955179507628692</c:v>
                </c:pt>
                <c:pt idx="883">
                  <c:v>59.325654381810494</c:v>
                </c:pt>
                <c:pt idx="884">
                  <c:v>59.695169595359602</c:v>
                </c:pt>
                <c:pt idx="885">
                  <c:v>60.063705204706608</c:v>
                </c:pt>
                <c:pt idx="886">
                  <c:v>60.431241534221066</c:v>
                </c:pt>
                <c:pt idx="887">
                  <c:v>60.797759177131148</c:v>
                </c:pt>
                <c:pt idx="888">
                  <c:v>61.163238996379157</c:v>
                </c:pt>
                <c:pt idx="889">
                  <c:v>61.527662125411759</c:v>
                </c:pt>
                <c:pt idx="890">
                  <c:v>61.8910099689069</c:v>
                </c:pt>
                <c:pt idx="891">
                  <c:v>62.253264203436657</c:v>
                </c:pt>
                <c:pt idx="892">
                  <c:v>62.614406778066396</c:v>
                </c:pt>
                <c:pt idx="893">
                  <c:v>62.9744199148913</c:v>
                </c:pt>
                <c:pt idx="894">
                  <c:v>63.333286109509977</c:v>
                </c:pt>
                <c:pt idx="895">
                  <c:v>63.69098813143588</c:v>
                </c:pt>
                <c:pt idx="896">
                  <c:v>64.047509024446981</c:v>
                </c:pt>
                <c:pt idx="897">
                  <c:v>64.402832106873888</c:v>
                </c:pt>
                <c:pt idx="898">
                  <c:v>64.756940971827319</c:v>
                </c:pt>
                <c:pt idx="899">
                  <c:v>65.109819487364845</c:v>
                </c:pt>
                <c:pt idx="900">
                  <c:v>65.461451796598055</c:v>
                </c:pt>
                <c:pt idx="901">
                  <c:v>65.811822317739981</c:v>
                </c:pt>
                <c:pt idx="902">
                  <c:v>66.160915744093856</c:v>
                </c:pt>
                <c:pt idx="903">
                  <c:v>66.508717043983651</c:v>
                </c:pt>
                <c:pt idx="904">
                  <c:v>66.855211460626521</c:v>
                </c:pt>
                <c:pt idx="905">
                  <c:v>67.200384511948556</c:v>
                </c:pt>
                <c:pt idx="906">
                  <c:v>67.544221990343473</c:v>
                </c:pt>
                <c:pt idx="907">
                  <c:v>67.886709962375832</c:v>
                </c:pt>
                <c:pt idx="908">
                  <c:v>68.227834768428494</c:v>
                </c:pt>
                <c:pt idx="909">
                  <c:v>68.56758302229585</c:v>
                </c:pt>
                <c:pt idx="910">
                  <c:v>68.905941610722479</c:v>
                </c:pt>
                <c:pt idx="911">
                  <c:v>69.242897692889031</c:v>
                </c:pt>
                <c:pt idx="912">
                  <c:v>69.57843869984498</c:v>
                </c:pt>
                <c:pt idx="913">
                  <c:v>69.912552333889536</c:v>
                </c:pt>
                <c:pt idx="914">
                  <c:v>70.245226567901355</c:v>
                </c:pt>
                <c:pt idx="915">
                  <c:v>70.576449644617583</c:v>
                </c:pt>
                <c:pt idx="916">
                  <c:v>70.90621007586293</c:v>
                </c:pt>
                <c:pt idx="917">
                  <c:v>71.234496641729976</c:v>
                </c:pt>
                <c:pt idx="918">
                  <c:v>71.5612983897107</c:v>
                </c:pt>
                <c:pt idx="919">
                  <c:v>71.886604633780607</c:v>
                </c:pt>
                <c:pt idx="920">
                  <c:v>72.210404953436097</c:v>
                </c:pt>
                <c:pt idx="921">
                  <c:v>72.53268919268541</c:v>
                </c:pt>
                <c:pt idx="922">
                  <c:v>72.853447458994594</c:v>
                </c:pt>
                <c:pt idx="923">
                  <c:v>73.172670122188777</c:v>
                </c:pt>
                <c:pt idx="924">
                  <c:v>73.490347813309782</c:v>
                </c:pt>
                <c:pt idx="925">
                  <c:v>73.80647142343075</c:v>
                </c:pt>
                <c:pt idx="926">
                  <c:v>74.121032102428586</c:v>
                </c:pt>
                <c:pt idx="927">
                  <c:v>74.434021257715386</c:v>
                </c:pt>
                <c:pt idx="928">
                  <c:v>74.74543055292888</c:v>
                </c:pt>
                <c:pt idx="929">
                  <c:v>75.055251906583649</c:v>
                </c:pt>
                <c:pt idx="930">
                  <c:v>75.363477490683209</c:v>
                </c:pt>
                <c:pt idx="931">
                  <c:v>75.670099729294236</c:v>
                </c:pt>
                <c:pt idx="932">
                  <c:v>75.975111297083373</c:v>
                </c:pt>
                <c:pt idx="933">
                  <c:v>76.278505117818185</c:v>
                </c:pt>
                <c:pt idx="934">
                  <c:v>76.580274362831787</c:v>
                </c:pt>
                <c:pt idx="935">
                  <c:v>76.880412449453601</c:v>
                </c:pt>
                <c:pt idx="936">
                  <c:v>77.178913039405842</c:v>
                </c:pt>
                <c:pt idx="937">
                  <c:v>77.475770037167067</c:v>
                </c:pt>
                <c:pt idx="938">
                  <c:v>77.770977588303765</c:v>
                </c:pt>
                <c:pt idx="939">
                  <c:v>78.0645300777703</c:v>
                </c:pt>
                <c:pt idx="940">
                  <c:v>78.356422128178863</c:v>
                </c:pt>
                <c:pt idx="941">
                  <c:v>78.646648598039334</c:v>
                </c:pt>
                <c:pt idx="942">
                  <c:v>78.935204579970801</c:v>
                </c:pt>
                <c:pt idx="943">
                  <c:v>78.935490915149714</c:v>
                </c:pt>
                <c:pt idx="944">
                  <c:v>78.935777248666056</c:v>
                </c:pt>
                <c:pt idx="945">
                  <c:v>78.936063580519885</c:v>
                </c:pt>
                <c:pt idx="946">
                  <c:v>78.936349910711144</c:v>
                </c:pt>
                <c:pt idx="947">
                  <c:v>78.936636239239903</c:v>
                </c:pt>
                <c:pt idx="948">
                  <c:v>78.936922566106091</c:v>
                </c:pt>
                <c:pt idx="949">
                  <c:v>78.937208891309794</c:v>
                </c:pt>
                <c:pt idx="950">
                  <c:v>78.937495214850841</c:v>
                </c:pt>
                <c:pt idx="951">
                  <c:v>78.937781536729403</c:v>
                </c:pt>
                <c:pt idx="952">
                  <c:v>78.938067856945395</c:v>
                </c:pt>
                <c:pt idx="953">
                  <c:v>78.938354175498802</c:v>
                </c:pt>
                <c:pt idx="954">
                  <c:v>78.938640492389609</c:v>
                </c:pt>
                <c:pt idx="955">
                  <c:v>78.938926807617904</c:v>
                </c:pt>
                <c:pt idx="956">
                  <c:v>78.939213121183599</c:v>
                </c:pt>
                <c:pt idx="957">
                  <c:v>78.939499433086681</c:v>
                </c:pt>
                <c:pt idx="958">
                  <c:v>78.939785743327221</c:v>
                </c:pt>
                <c:pt idx="959">
                  <c:v>78.940072051905133</c:v>
                </c:pt>
                <c:pt idx="960">
                  <c:v>78.940358358820433</c:v>
                </c:pt>
                <c:pt idx="961">
                  <c:v>78.940644664073147</c:v>
                </c:pt>
                <c:pt idx="962">
                  <c:v>78.94093096766322</c:v>
                </c:pt>
                <c:pt idx="963">
                  <c:v>78.941217269590723</c:v>
                </c:pt>
                <c:pt idx="964">
                  <c:v>78.941503569855627</c:v>
                </c:pt>
                <c:pt idx="965">
                  <c:v>78.94178986845786</c:v>
                </c:pt>
                <c:pt idx="966">
                  <c:v>78.942076165397509</c:v>
                </c:pt>
                <c:pt idx="967">
                  <c:v>78.942362460674502</c:v>
                </c:pt>
                <c:pt idx="968">
                  <c:v>78.942648754288925</c:v>
                </c:pt>
                <c:pt idx="969">
                  <c:v>78.942935046240649</c:v>
                </c:pt>
                <c:pt idx="970">
                  <c:v>78.943221336529746</c:v>
                </c:pt>
                <c:pt idx="971">
                  <c:v>78.943507625156201</c:v>
                </c:pt>
                <c:pt idx="972">
                  <c:v>78.943793912119972</c:v>
                </c:pt>
                <c:pt idx="973">
                  <c:v>78.944080197421144</c:v>
                </c:pt>
                <c:pt idx="974">
                  <c:v>78.944366481059603</c:v>
                </c:pt>
                <c:pt idx="975">
                  <c:v>78.944652763035478</c:v>
                </c:pt>
                <c:pt idx="976">
                  <c:v>78.944939043348597</c:v>
                </c:pt>
                <c:pt idx="977">
                  <c:v>78.945225321999075</c:v>
                </c:pt>
                <c:pt idx="978">
                  <c:v>78.945511598986869</c:v>
                </c:pt>
                <c:pt idx="979">
                  <c:v>78.945797874312007</c:v>
                </c:pt>
                <c:pt idx="980">
                  <c:v>78.946084147974418</c:v>
                </c:pt>
                <c:pt idx="981">
                  <c:v>78.946370419974144</c:v>
                </c:pt>
                <c:pt idx="982">
                  <c:v>78.946656690311187</c:v>
                </c:pt>
                <c:pt idx="983">
                  <c:v>78.946942958985531</c:v>
                </c:pt>
                <c:pt idx="984">
                  <c:v>78.947229225997162</c:v>
                </c:pt>
                <c:pt idx="985">
                  <c:v>78.947515491346095</c:v>
                </c:pt>
                <c:pt idx="986">
                  <c:v>78.947801755032273</c:v>
                </c:pt>
                <c:pt idx="987">
                  <c:v>78.948088017055767</c:v>
                </c:pt>
                <c:pt idx="988">
                  <c:v>78.948374277416562</c:v>
                </c:pt>
                <c:pt idx="989">
                  <c:v>78.948660536114602</c:v>
                </c:pt>
                <c:pt idx="990">
                  <c:v>78.948946793149943</c:v>
                </c:pt>
                <c:pt idx="991">
                  <c:v>78.949233048522487</c:v>
                </c:pt>
                <c:pt idx="992">
                  <c:v>78.949519302232346</c:v>
                </c:pt>
                <c:pt idx="993">
                  <c:v>78.949805554279394</c:v>
                </c:pt>
                <c:pt idx="994">
                  <c:v>78.950091804663771</c:v>
                </c:pt>
                <c:pt idx="995">
                  <c:v>78.950378053385364</c:v>
                </c:pt>
                <c:pt idx="996">
                  <c:v>78.950664300444203</c:v>
                </c:pt>
                <c:pt idx="997">
                  <c:v>78.950950545840257</c:v>
                </c:pt>
                <c:pt idx="998">
                  <c:v>78.951236789573585</c:v>
                </c:pt>
                <c:pt idx="999">
                  <c:v>78.951523031644101</c:v>
                </c:pt>
                <c:pt idx="1000">
                  <c:v>78.951809272051847</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Calculs!$I$4:$I$1004</c:f>
              <c:numCache>
                <c:formatCode>0.00</c:formatCode>
                <c:ptCount val="1001"/>
                <c:pt idx="0">
                  <c:v>0</c:v>
                </c:pt>
                <c:pt idx="1">
                  <c:v>8.8318349310308714E-2</c:v>
                </c:pt>
                <c:pt idx="2">
                  <c:v>0.38066630796742063</c:v>
                </c:pt>
                <c:pt idx="3">
                  <c:v>0.75770643626026724</c:v>
                </c:pt>
                <c:pt idx="4">
                  <c:v>1.2195019051306557</c:v>
                </c:pt>
                <c:pt idx="5">
                  <c:v>1.7661262621501757</c:v>
                </c:pt>
                <c:pt idx="6">
                  <c:v>2.3976633590669798</c:v>
                </c:pt>
                <c:pt idx="7">
                  <c:v>3.1142072832012948</c:v>
                </c:pt>
                <c:pt idx="8">
                  <c:v>3.9158622925929909</c:v>
                </c:pt>
                <c:pt idx="9">
                  <c:v>4.8027427548089516</c:v>
                </c:pt>
                <c:pt idx="10">
                  <c:v>5.7749730893216471</c:v>
                </c:pt>
                <c:pt idx="11">
                  <c:v>6.7839464864043464</c:v>
                </c:pt>
                <c:pt idx="12">
                  <c:v>7.7809510162749698</c:v>
                </c:pt>
                <c:pt idx="13">
                  <c:v>8.7655911511996365</c:v>
                </c:pt>
                <c:pt idx="14">
                  <c:v>9.7374709506665162</c:v>
                </c:pt>
                <c:pt idx="15">
                  <c:v>10.696565647689694</c:v>
                </c:pt>
                <c:pt idx="16">
                  <c:v>11.642850872135588</c:v>
                </c:pt>
                <c:pt idx="17">
                  <c:v>12.576302650626056</c:v>
                </c:pt>
                <c:pt idx="18">
                  <c:v>13.496897406388483</c:v>
                </c:pt>
                <c:pt idx="19">
                  <c:v>14.40461195905319</c:v>
                </c:pt>
                <c:pt idx="20">
                  <c:v>15.299423524398403</c:v>
                </c:pt>
                <c:pt idx="21">
                  <c:v>16.181309714043078</c:v>
                </c:pt>
                <c:pt idx="22">
                  <c:v>17.050248535087878</c:v>
                </c:pt>
                <c:pt idx="23">
                  <c:v>17.906218389704645</c:v>
                </c:pt>
                <c:pt idx="24">
                  <c:v>18.749198074674645</c:v>
                </c:pt>
                <c:pt idx="25">
                  <c:v>19.579166780875926</c:v>
                </c:pt>
                <c:pt idx="26">
                  <c:v>20.396104092720183</c:v>
                </c:pt>
                <c:pt idx="27">
                  <c:v>21.206540237679331</c:v>
                </c:pt>
                <c:pt idx="28">
                  <c:v>22.017016887017149</c:v>
                </c:pt>
                <c:pt idx="29">
                  <c:v>22.82753076875774</c:v>
                </c:pt>
                <c:pt idx="30">
                  <c:v>23.638078606731582</c:v>
                </c:pt>
                <c:pt idx="31">
                  <c:v>24.448657120637822</c:v>
                </c:pt>
                <c:pt idx="32">
                  <c:v>25.259263026106769</c:v>
                </c:pt>
                <c:pt idx="33">
                  <c:v>26.069893034762604</c:v>
                </c:pt>
                <c:pt idx="34">
                  <c:v>26.880543854286309</c:v>
                </c:pt>
                <c:pt idx="35">
                  <c:v>27.691217269661195</c:v>
                </c:pt>
                <c:pt idx="36">
                  <c:v>28.501915282177741</c:v>
                </c:pt>
                <c:pt idx="37">
                  <c:v>29.31263436426789</c:v>
                </c:pt>
                <c:pt idx="38">
                  <c:v>30.12337099531425</c:v>
                </c:pt>
                <c:pt idx="39">
                  <c:v>30.934121660891211</c:v>
                </c:pt>
                <c:pt idx="40">
                  <c:v>31.74488285212286</c:v>
                </c:pt>
                <c:pt idx="41">
                  <c:v>32.555651065108151</c:v>
                </c:pt>
                <c:pt idx="42">
                  <c:v>33.366422800405552</c:v>
                </c:pt>
                <c:pt idx="43">
                  <c:v>34.177194562570307</c:v>
                </c:pt>
                <c:pt idx="44">
                  <c:v>34.987962859738495</c:v>
                </c:pt>
                <c:pt idx="45">
                  <c:v>35.798724203252796</c:v>
                </c:pt>
                <c:pt idx="46">
                  <c:v>36.609475107325473</c:v>
                </c:pt>
                <c:pt idx="47">
                  <c:v>37.420212088734758</c:v>
                </c:pt>
                <c:pt idx="48">
                  <c:v>38.230931666551285</c:v>
                </c:pt>
                <c:pt idx="49">
                  <c:v>39.041630361891443</c:v>
                </c:pt>
                <c:pt idx="50">
                  <c:v>39.852304697695125</c:v>
                </c:pt>
                <c:pt idx="51">
                  <c:v>40.662951198525576</c:v>
                </c:pt>
                <c:pt idx="52">
                  <c:v>41.473566390389166</c:v>
                </c:pt>
                <c:pt idx="53">
                  <c:v>42.28414680057336</c:v>
                </c:pt>
                <c:pt idx="54">
                  <c:v>43.094688957501191</c:v>
                </c:pt>
                <c:pt idx="55">
                  <c:v>43.905189390600803</c:v>
                </c:pt>
                <c:pt idx="56">
                  <c:v>44.715644630188763</c:v>
                </c:pt>
                <c:pt idx="57">
                  <c:v>45.526051207365988</c:v>
                </c:pt>
                <c:pt idx="58">
                  <c:v>46.336405653925169</c:v>
                </c:pt>
                <c:pt idx="59">
                  <c:v>47.146704502268882</c:v>
                </c:pt>
                <c:pt idx="60">
                  <c:v>47.956944285337315</c:v>
                </c:pt>
                <c:pt idx="61">
                  <c:v>48.767121536545162</c:v>
                </c:pt>
                <c:pt idx="62">
                  <c:v>49.577232789726615</c:v>
                </c:pt>
                <c:pt idx="63">
                  <c:v>50.387274579088121</c:v>
                </c:pt>
                <c:pt idx="64">
                  <c:v>51.197243439168162</c:v>
                </c:pt>
                <c:pt idx="65">
                  <c:v>52.007135904803619</c:v>
                </c:pt>
                <c:pt idx="66">
                  <c:v>52.816948511102204</c:v>
                </c:pt>
                <c:pt idx="67">
                  <c:v>53.626677793420505</c:v>
                </c:pt>
                <c:pt idx="68">
                  <c:v>54.43632028734735</c:v>
                </c:pt>
                <c:pt idx="69">
                  <c:v>55.245872528691955</c:v>
                </c:pt>
                <c:pt idx="70">
                  <c:v>56.055331053476685</c:v>
                </c:pt>
                <c:pt idx="71">
                  <c:v>56.864692397934036</c:v>
                </c:pt>
                <c:pt idx="72">
                  <c:v>57.673878145269171</c:v>
                </c:pt>
                <c:pt idx="73">
                  <c:v>58.482809763335062</c:v>
                </c:pt>
                <c:pt idx="74">
                  <c:v>59.291483627614916</c:v>
                </c:pt>
                <c:pt idx="75">
                  <c:v>60.099896115579924</c:v>
                </c:pt>
                <c:pt idx="76">
                  <c:v>60.908043606708127</c:v>
                </c:pt>
                <c:pt idx="77">
                  <c:v>61.715922482506116</c:v>
                </c:pt>
                <c:pt idx="78">
                  <c:v>62.523529126533376</c:v>
                </c:pt>
                <c:pt idx="79">
                  <c:v>63.33085992442917</c:v>
                </c:pt>
                <c:pt idx="80">
                  <c:v>64.137911263941717</c:v>
                </c:pt>
                <c:pt idx="81">
                  <c:v>64.944679534959548</c:v>
                </c:pt>
                <c:pt idx="82">
                  <c:v>65.751161129545011</c:v>
                </c:pt>
                <c:pt idx="83">
                  <c:v>66.557352441969613</c:v>
                </c:pt>
                <c:pt idx="84">
                  <c:v>67.36324986875124</c:v>
                </c:pt>
                <c:pt idx="85">
                  <c:v>68.168849808693054</c:v>
                </c:pt>
                <c:pt idx="86">
                  <c:v>68.974148662924108</c:v>
                </c:pt>
                <c:pt idx="87">
                  <c:v>69.779142834941283</c:v>
                </c:pt>
                <c:pt idx="88">
                  <c:v>70.583828730652868</c:v>
                </c:pt>
                <c:pt idx="89">
                  <c:v>71.388202758423319</c:v>
                </c:pt>
                <c:pt idx="90">
                  <c:v>72.192261329119404</c:v>
                </c:pt>
                <c:pt idx="91">
                  <c:v>72.99600085615748</c:v>
                </c:pt>
                <c:pt idx="92">
                  <c:v>73.799417755551929</c:v>
                </c:pt>
                <c:pt idx="93">
                  <c:v>74.602508445964659</c:v>
                </c:pt>
                <c:pt idx="94">
                  <c:v>75.405269348755553</c:v>
                </c:pt>
                <c:pt idx="95">
                  <c:v>76.207696888033993</c:v>
                </c:pt>
                <c:pt idx="96">
                  <c:v>77.009787490711147</c:v>
                </c:pt>
                <c:pt idx="97">
                  <c:v>77.811537586553158</c:v>
                </c:pt>
                <c:pt idx="98">
                  <c:v>78.612943608235128</c:v>
                </c:pt>
                <c:pt idx="99">
                  <c:v>79.414001991395892</c:v>
                </c:pt>
                <c:pt idx="100">
                  <c:v>80.214709174693382</c:v>
                </c:pt>
                <c:pt idx="101">
                  <c:v>81.015061599860815</c:v>
                </c:pt>
                <c:pt idx="102">
                  <c:v>81.815055711763407</c:v>
                </c:pt>
                <c:pt idx="103">
                  <c:v>82.614687958455676</c:v>
                </c:pt>
                <c:pt idx="104">
                  <c:v>83.413954791239405</c:v>
                </c:pt>
                <c:pt idx="105">
                  <c:v>84.212852664721979</c:v>
                </c:pt>
                <c:pt idx="106">
                  <c:v>85.011378036875385</c:v>
                </c:pt>
                <c:pt idx="107">
                  <c:v>85.809527369095591</c:v>
                </c:pt>
                <c:pt idx="108">
                  <c:v>86.607297126262296</c:v>
                </c:pt>
                <c:pt idx="109">
                  <c:v>87.404683776799232</c:v>
                </c:pt>
                <c:pt idx="110">
                  <c:v>88.201683792734769</c:v>
                </c:pt>
                <c:pt idx="111">
                  <c:v>88.998293649762985</c:v>
                </c:pt>
                <c:pt idx="112">
                  <c:v>89.794509827304807</c:v>
                </c:pt>
                <c:pt idx="113">
                  <c:v>90.590328808569808</c:v>
                </c:pt>
                <c:pt idx="114">
                  <c:v>91.385747080618117</c:v>
                </c:pt>
                <c:pt idx="115">
                  <c:v>92.180761134422582</c:v>
                </c:pt>
                <c:pt idx="116">
                  <c:v>92.97536746493131</c:v>
                </c:pt>
                <c:pt idx="117">
                  <c:v>93.769562571130294</c:v>
                </c:pt>
                <c:pt idx="118">
                  <c:v>94.56334295610641</c:v>
                </c:pt>
                <c:pt idx="119">
                  <c:v>95.356705127110516</c:v>
                </c:pt>
                <c:pt idx="120">
                  <c:v>96.149645595620754</c:v>
                </c:pt>
                <c:pt idx="121">
                  <c:v>96.942160877406081</c:v>
                </c:pt>
                <c:pt idx="122">
                  <c:v>97.734247492589844</c:v>
                </c:pt>
                <c:pt idx="123">
                  <c:v>98.525901965713629</c:v>
                </c:pt>
                <c:pt idx="124">
                  <c:v>99.317120825801126</c:v>
                </c:pt>
                <c:pt idx="125">
                  <c:v>100.10790060642212</c:v>
                </c:pt>
                <c:pt idx="126">
                  <c:v>100.89823784575671</c:v>
                </c:pt>
                <c:pt idx="127">
                  <c:v>101.68812908665942</c:v>
                </c:pt>
                <c:pt idx="128">
                  <c:v>102.47757087672348</c:v>
                </c:pt>
                <c:pt idx="129">
                  <c:v>103.26621353926969</c:v>
                </c:pt>
                <c:pt idx="130">
                  <c:v>104.05370695560495</c:v>
                </c:pt>
                <c:pt idx="131">
                  <c:v>104.84004711609936</c:v>
                </c:pt>
                <c:pt idx="132">
                  <c:v>105.62523002546119</c:v>
                </c:pt>
                <c:pt idx="133">
                  <c:v>106.40925170280732</c:v>
                </c:pt>
                <c:pt idx="134">
                  <c:v>107.19210818173325</c:v>
                </c:pt>
                <c:pt idx="135">
                  <c:v>107.97379551038253</c:v>
                </c:pt>
                <c:pt idx="136">
                  <c:v>108.75430975151592</c:v>
                </c:pt>
                <c:pt idx="137">
                  <c:v>109.53364698258009</c:v>
                </c:pt>
                <c:pt idx="138">
                  <c:v>110.3118032957757</c:v>
                </c:pt>
                <c:pt idx="139">
                  <c:v>111.0887747981252</c:v>
                </c:pt>
                <c:pt idx="140">
                  <c:v>111.86455761153994</c:v>
                </c:pt>
                <c:pt idx="141">
                  <c:v>112.63914787288695</c:v>
                </c:pt>
                <c:pt idx="142">
                  <c:v>113.41254173405522</c:v>
                </c:pt>
                <c:pt idx="143">
                  <c:v>114.18473536202131</c:v>
                </c:pt>
                <c:pt idx="144">
                  <c:v>114.95572493891459</c:v>
                </c:pt>
                <c:pt idx="145">
                  <c:v>115.72550666208186</c:v>
                </c:pt>
                <c:pt idx="146">
                  <c:v>116.49407674415154</c:v>
                </c:pt>
                <c:pt idx="147">
                  <c:v>117.26143141309724</c:v>
                </c:pt>
                <c:pt idx="148">
                  <c:v>118.02756691230076</c:v>
                </c:pt>
                <c:pt idx="149">
                  <c:v>118.79247950061458</c:v>
                </c:pt>
                <c:pt idx="150">
                  <c:v>119.5561654524238</c:v>
                </c:pt>
                <c:pt idx="151">
                  <c:v>120.31862105770747</c:v>
                </c:pt>
                <c:pt idx="152">
                  <c:v>121.07984262209936</c:v>
                </c:pt>
                <c:pt idx="153">
                  <c:v>121.8398264669482</c:v>
                </c:pt>
                <c:pt idx="154">
                  <c:v>122.59856892937712</c:v>
                </c:pt>
                <c:pt idx="155">
                  <c:v>123.35606636234293</c:v>
                </c:pt>
                <c:pt idx="156">
                  <c:v>124.11231513469426</c:v>
                </c:pt>
                <c:pt idx="157">
                  <c:v>124.86731163122953</c:v>
                </c:pt>
                <c:pt idx="158">
                  <c:v>125.62105225275411</c:v>
                </c:pt>
                <c:pt idx="159">
                  <c:v>126.37353341613688</c:v>
                </c:pt>
                <c:pt idx="160">
                  <c:v>127.12475155436624</c:v>
                </c:pt>
                <c:pt idx="161">
                  <c:v>127.87470311660543</c:v>
                </c:pt>
                <c:pt idx="162">
                  <c:v>128.62338456824725</c:v>
                </c:pt>
                <c:pt idx="163">
                  <c:v>129.37079239096815</c:v>
                </c:pt>
                <c:pt idx="164">
                  <c:v>130.11692308278168</c:v>
                </c:pt>
                <c:pt idx="165">
                  <c:v>130.86177315809127</c:v>
                </c:pt>
                <c:pt idx="166">
                  <c:v>131.60533914774254</c:v>
                </c:pt>
                <c:pt idx="167">
                  <c:v>132.34761759907457</c:v>
                </c:pt>
                <c:pt idx="168">
                  <c:v>133.08860507597106</c:v>
                </c:pt>
                <c:pt idx="169">
                  <c:v>133.82829815891031</c:v>
                </c:pt>
                <c:pt idx="170">
                  <c:v>134.56669344501495</c:v>
                </c:pt>
                <c:pt idx="171">
                  <c:v>135.3037875481007</c:v>
                </c:pt>
                <c:pt idx="172">
                  <c:v>136.03957709872481</c:v>
                </c:pt>
                <c:pt idx="173">
                  <c:v>136.77405874423334</c:v>
                </c:pt>
                <c:pt idx="174">
                  <c:v>137.50722914880839</c:v>
                </c:pt>
                <c:pt idx="175">
                  <c:v>138.23908499351413</c:v>
                </c:pt>
                <c:pt idx="176">
                  <c:v>138.96962297634235</c:v>
                </c:pt>
                <c:pt idx="177">
                  <c:v>139.69883981225749</c:v>
                </c:pt>
                <c:pt idx="178">
                  <c:v>140.42673223324067</c:v>
                </c:pt>
                <c:pt idx="179">
                  <c:v>141.15329698833341</c:v>
                </c:pt>
                <c:pt idx="180">
                  <c:v>141.87853084368032</c:v>
                </c:pt>
                <c:pt idx="181">
                  <c:v>142.60243058257126</c:v>
                </c:pt>
                <c:pt idx="182">
                  <c:v>143.32499300548292</c:v>
                </c:pt>
                <c:pt idx="183">
                  <c:v>144.04621493011953</c:v>
                </c:pt>
                <c:pt idx="184">
                  <c:v>144.76609319145294</c:v>
                </c:pt>
                <c:pt idx="185">
                  <c:v>145.48462464176197</c:v>
                </c:pt>
                <c:pt idx="186">
                  <c:v>146.20180615067133</c:v>
                </c:pt>
                <c:pt idx="187">
                  <c:v>146.91763460518931</c:v>
                </c:pt>
                <c:pt idx="188">
                  <c:v>147.63210690974537</c:v>
                </c:pt>
                <c:pt idx="189">
                  <c:v>148.34521998622665</c:v>
                </c:pt>
                <c:pt idx="190">
                  <c:v>149.05697077401382</c:v>
                </c:pt>
                <c:pt idx="191">
                  <c:v>149.76735623001645</c:v>
                </c:pt>
                <c:pt idx="192">
                  <c:v>150.47637332870733</c:v>
                </c:pt>
                <c:pt idx="193">
                  <c:v>151.18401906215647</c:v>
                </c:pt>
                <c:pt idx="194">
                  <c:v>151.89029044006409</c:v>
                </c:pt>
                <c:pt idx="195">
                  <c:v>152.5951844897931</c:v>
                </c:pt>
                <c:pt idx="196">
                  <c:v>153.29869825640068</c:v>
                </c:pt>
                <c:pt idx="197">
                  <c:v>154.00082880266947</c:v>
                </c:pt>
                <c:pt idx="198">
                  <c:v>154.70157320913768</c:v>
                </c:pt>
                <c:pt idx="199">
                  <c:v>155.40092857412873</c:v>
                </c:pt>
                <c:pt idx="200">
                  <c:v>156.09889201378022</c:v>
                </c:pt>
                <c:pt idx="201">
                  <c:v>156.79546066207189</c:v>
                </c:pt>
                <c:pt idx="202">
                  <c:v>157.49063167085339</c:v>
                </c:pt>
                <c:pt idx="203">
                  <c:v>158.18440220987071</c:v>
                </c:pt>
                <c:pt idx="204">
                  <c:v>158.87676946679241</c:v>
                </c:pt>
                <c:pt idx="205">
                  <c:v>159.56773064723498</c:v>
                </c:pt>
                <c:pt idx="206">
                  <c:v>160.25719831968786</c:v>
                </c:pt>
                <c:pt idx="207">
                  <c:v>160.94508499939337</c:v>
                </c:pt>
                <c:pt idx="208">
                  <c:v>161.63138787708195</c:v>
                </c:pt>
                <c:pt idx="209">
                  <c:v>162.31610416392706</c:v>
                </c:pt>
                <c:pt idx="210">
                  <c:v>162.99923109156148</c:v>
                </c:pt>
                <c:pt idx="211">
                  <c:v>163.68076591209302</c:v>
                </c:pt>
                <c:pt idx="212">
                  <c:v>164.36070589811928</c:v>
                </c:pt>
                <c:pt idx="213">
                  <c:v>165.03904834274169</c:v>
                </c:pt>
                <c:pt idx="214">
                  <c:v>165.71579055957872</c:v>
                </c:pt>
                <c:pt idx="215">
                  <c:v>166.39092988277818</c:v>
                </c:pt>
                <c:pt idx="216">
                  <c:v>167.06446366702875</c:v>
                </c:pt>
                <c:pt idx="217">
                  <c:v>167.73638928757086</c:v>
                </c:pt>
                <c:pt idx="218">
                  <c:v>168.4067041402065</c:v>
                </c:pt>
                <c:pt idx="219">
                  <c:v>169.07540564130832</c:v>
                </c:pt>
                <c:pt idx="220">
                  <c:v>169.7424912278282</c:v>
                </c:pt>
                <c:pt idx="221">
                  <c:v>170.40795835730438</c:v>
                </c:pt>
                <c:pt idx="222">
                  <c:v>171.07180450786848</c:v>
                </c:pt>
                <c:pt idx="223">
                  <c:v>171.73402717825127</c:v>
                </c:pt>
                <c:pt idx="224">
                  <c:v>172.39462388778782</c:v>
                </c:pt>
                <c:pt idx="225">
                  <c:v>173.05359217642183</c:v>
                </c:pt>
                <c:pt idx="226">
                  <c:v>173.71092960470904</c:v>
                </c:pt>
                <c:pt idx="227">
                  <c:v>174.36663375382011</c:v>
                </c:pt>
                <c:pt idx="228">
                  <c:v>175.02070222554249</c:v>
                </c:pt>
                <c:pt idx="229">
                  <c:v>175.6731326422815</c:v>
                </c:pt>
                <c:pt idx="230">
                  <c:v>176.32392264706081</c:v>
                </c:pt>
                <c:pt idx="231">
                  <c:v>176.97306990352192</c:v>
                </c:pt>
                <c:pt idx="232">
                  <c:v>177.62057209592294</c:v>
                </c:pt>
                <c:pt idx="233">
                  <c:v>178.26642692913674</c:v>
                </c:pt>
                <c:pt idx="234">
                  <c:v>178.91063212864802</c:v>
                </c:pt>
                <c:pt idx="235">
                  <c:v>179.55318544054984</c:v>
                </c:pt>
                <c:pt idx="236">
                  <c:v>180.19408463153937</c:v>
                </c:pt>
                <c:pt idx="237">
                  <c:v>180.83332748891269</c:v>
                </c:pt>
                <c:pt idx="238">
                  <c:v>181.47091182055908</c:v>
                </c:pt>
                <c:pt idx="239">
                  <c:v>182.10683545495428</c:v>
                </c:pt>
                <c:pt idx="240">
                  <c:v>182.7410962411532</c:v>
                </c:pt>
                <c:pt idx="241">
                  <c:v>183.37369204878178</c:v>
                </c:pt>
                <c:pt idx="242">
                  <c:v>184.00432763640725</c:v>
                </c:pt>
                <c:pt idx="243">
                  <c:v>184.63270760023477</c:v>
                </c:pt>
                <c:pt idx="244">
                  <c:v>185.25882974975195</c:v>
                </c:pt>
                <c:pt idx="245">
                  <c:v>185.8826919235415</c:v>
                </c:pt>
                <c:pt idx="246">
                  <c:v>186.50429198923683</c:v>
                </c:pt>
                <c:pt idx="247">
                  <c:v>187.12362784347692</c:v>
                </c:pt>
                <c:pt idx="248">
                  <c:v>187.74069741185983</c:v>
                </c:pt>
                <c:pt idx="249">
                  <c:v>188.35549864889526</c:v>
                </c:pt>
                <c:pt idx="250">
                  <c:v>188.96802953795611</c:v>
                </c:pt>
                <c:pt idx="251">
                  <c:v>189.57828809122861</c:v>
                </c:pt>
                <c:pt idx="252">
                  <c:v>190.18627234966172</c:v>
                </c:pt>
                <c:pt idx="253">
                  <c:v>190.79198038291526</c:v>
                </c:pt>
                <c:pt idx="254">
                  <c:v>191.39541028930722</c:v>
                </c:pt>
                <c:pt idx="255">
                  <c:v>191.99656019575977</c:v>
                </c:pt>
                <c:pt idx="256">
                  <c:v>192.59542825774423</c:v>
                </c:pt>
                <c:pt idx="257">
                  <c:v>193.19201265922524</c:v>
                </c:pt>
                <c:pt idx="258">
                  <c:v>193.7863116126037</c:v>
                </c:pt>
                <c:pt idx="259">
                  <c:v>194.37832335865875</c:v>
                </c:pt>
                <c:pt idx="260">
                  <c:v>194.96804616648876</c:v>
                </c:pt>
                <c:pt idx="261">
                  <c:v>195.55547833345128</c:v>
                </c:pt>
                <c:pt idx="262">
                  <c:v>196.14061818510194</c:v>
                </c:pt>
                <c:pt idx="263">
                  <c:v>196.72346407513265</c:v>
                </c:pt>
                <c:pt idx="264">
                  <c:v>197.30401438530836</c:v>
                </c:pt>
                <c:pt idx="265">
                  <c:v>197.88226752540322</c:v>
                </c:pt>
                <c:pt idx="266">
                  <c:v>198.45822193313566</c:v>
                </c:pt>
                <c:pt idx="267">
                  <c:v>199.03187607410248</c:v>
                </c:pt>
                <c:pt idx="268">
                  <c:v>199.60322844171199</c:v>
                </c:pt>
                <c:pt idx="269">
                  <c:v>200.17227755711633</c:v>
                </c:pt>
                <c:pt idx="270">
                  <c:v>200.73902196914273</c:v>
                </c:pt>
                <c:pt idx="271">
                  <c:v>201.30346025422384</c:v>
                </c:pt>
                <c:pt idx="272">
                  <c:v>201.86559101632736</c:v>
                </c:pt>
                <c:pt idx="273">
                  <c:v>202.4254128868844</c:v>
                </c:pt>
                <c:pt idx="274">
                  <c:v>202.98292452471736</c:v>
                </c:pt>
                <c:pt idx="275">
                  <c:v>203.53812461596658</c:v>
                </c:pt>
                <c:pt idx="276">
                  <c:v>204.09101187401629</c:v>
                </c:pt>
                <c:pt idx="277">
                  <c:v>204.64158503941968</c:v>
                </c:pt>
                <c:pt idx="278">
                  <c:v>205.18984287982306</c:v>
                </c:pt>
                <c:pt idx="279">
                  <c:v>205.7357841898891</c:v>
                </c:pt>
                <c:pt idx="280">
                  <c:v>206.27940779121948</c:v>
                </c:pt>
                <c:pt idx="281">
                  <c:v>206.82071253227647</c:v>
                </c:pt>
                <c:pt idx="282">
                  <c:v>207.35969728830361</c:v>
                </c:pt>
                <c:pt idx="283">
                  <c:v>207.89636096124593</c:v>
                </c:pt>
                <c:pt idx="284">
                  <c:v>208.4310472548147</c:v>
                </c:pt>
                <c:pt idx="285">
                  <c:v>208.96410001430093</c:v>
                </c:pt>
                <c:pt idx="286">
                  <c:v>209.4955181893481</c:v>
                </c:pt>
                <c:pt idx="287">
                  <c:v>210.02530074698564</c:v>
                </c:pt>
                <c:pt idx="288">
                  <c:v>210.55344667159153</c:v>
                </c:pt>
                <c:pt idx="289">
                  <c:v>211.07995496485444</c:v>
                </c:pt>
                <c:pt idx="290">
                  <c:v>211.60482464573536</c:v>
                </c:pt>
                <c:pt idx="291">
                  <c:v>212.12805475042865</c:v>
                </c:pt>
                <c:pt idx="292">
                  <c:v>212.64964433232285</c:v>
                </c:pt>
                <c:pt idx="293">
                  <c:v>213.16959246196086</c:v>
                </c:pt>
                <c:pt idx="294">
                  <c:v>213.68789822699966</c:v>
                </c:pt>
                <c:pt idx="295">
                  <c:v>214.20456073216965</c:v>
                </c:pt>
                <c:pt idx="296">
                  <c:v>214.71957909923358</c:v>
                </c:pt>
                <c:pt idx="297">
                  <c:v>215.23295246694488</c:v>
                </c:pt>
                <c:pt idx="298">
                  <c:v>215.74467999100554</c:v>
                </c:pt>
                <c:pt idx="299">
                  <c:v>216.25476084402379</c:v>
                </c:pt>
                <c:pt idx="300">
                  <c:v>216.76319421547115</c:v>
                </c:pt>
                <c:pt idx="301">
                  <c:v>217.26997931163899</c:v>
                </c:pt>
                <c:pt idx="302">
                  <c:v>217.77511535559489</c:v>
                </c:pt>
                <c:pt idx="303">
                  <c:v>218.27860158713835</c:v>
                </c:pt>
                <c:pt idx="304">
                  <c:v>218.78043726275624</c:v>
                </c:pt>
                <c:pt idx="305">
                  <c:v>219.2806216555777</c:v>
                </c:pt>
                <c:pt idx="306">
                  <c:v>219.77915405532883</c:v>
                </c:pt>
                <c:pt idx="307">
                  <c:v>220.27603376828665</c:v>
                </c:pt>
                <c:pt idx="308">
                  <c:v>220.77126011723297</c:v>
                </c:pt>
                <c:pt idx="309">
                  <c:v>221.2648324414078</c:v>
                </c:pt>
                <c:pt idx="310">
                  <c:v>221.75675009646218</c:v>
                </c:pt>
                <c:pt idx="311">
                  <c:v>222.24701245441076</c:v>
                </c:pt>
                <c:pt idx="312">
                  <c:v>222.73561890358403</c:v>
                </c:pt>
                <c:pt idx="313">
                  <c:v>223.22256884858007</c:v>
                </c:pt>
                <c:pt idx="314">
                  <c:v>223.70786171021609</c:v>
                </c:pt>
                <c:pt idx="315">
                  <c:v>224.19149692547921</c:v>
                </c:pt>
                <c:pt idx="316">
                  <c:v>224.67347394747748</c:v>
                </c:pt>
                <c:pt idx="317">
                  <c:v>225.15379224538981</c:v>
                </c:pt>
                <c:pt idx="318">
                  <c:v>225.63245130441624</c:v>
                </c:pt>
                <c:pt idx="319">
                  <c:v>226.10945062572731</c:v>
                </c:pt>
                <c:pt idx="320">
                  <c:v>226.58478972641345</c:v>
                </c:pt>
                <c:pt idx="321">
                  <c:v>227.0584681394337</c:v>
                </c:pt>
                <c:pt idx="322">
                  <c:v>227.53048541356432</c:v>
                </c:pt>
                <c:pt idx="323">
                  <c:v>228.00084111334718</c:v>
                </c:pt>
                <c:pt idx="324">
                  <c:v>228.46953481903719</c:v>
                </c:pt>
                <c:pt idx="325">
                  <c:v>228.93656612655025</c:v>
                </c:pt>
                <c:pt idx="326">
                  <c:v>229.40195586148488</c:v>
                </c:pt>
                <c:pt idx="327">
                  <c:v>229.86572486745894</c:v>
                </c:pt>
                <c:pt idx="328">
                  <c:v>230.32787277685287</c:v>
                </c:pt>
                <c:pt idx="329">
                  <c:v>230.78839923703831</c:v>
                </c:pt>
                <c:pt idx="330">
                  <c:v>231.24730391032662</c:v>
                </c:pt>
                <c:pt idx="331">
                  <c:v>231.7045864739174</c:v>
                </c:pt>
                <c:pt idx="332">
                  <c:v>232.16024661984628</c:v>
                </c:pt>
                <c:pt idx="333">
                  <c:v>232.61428405493282</c:v>
                </c:pt>
                <c:pt idx="334">
                  <c:v>233.06669850072802</c:v>
                </c:pt>
                <c:pt idx="335">
                  <c:v>233.51748969346141</c:v>
                </c:pt>
                <c:pt idx="336">
                  <c:v>233.96665738398784</c:v>
                </c:pt>
                <c:pt idx="337">
                  <c:v>234.41420133773437</c:v>
                </c:pt>
                <c:pt idx="338">
                  <c:v>234.86012133464635</c:v>
                </c:pt>
                <c:pt idx="339">
                  <c:v>235.30441716913381</c:v>
                </c:pt>
                <c:pt idx="340">
                  <c:v>235.74708865001691</c:v>
                </c:pt>
                <c:pt idx="341">
                  <c:v>236.18813560047178</c:v>
                </c:pt>
                <c:pt idx="342">
                  <c:v>236.62755785797577</c:v>
                </c:pt>
                <c:pt idx="343">
                  <c:v>237.06535527425237</c:v>
                </c:pt>
                <c:pt idx="344">
                  <c:v>237.50152771521621</c:v>
                </c:pt>
                <c:pt idx="345">
                  <c:v>237.93607506091746</c:v>
                </c:pt>
                <c:pt idx="346">
                  <c:v>238.36899720548627</c:v>
                </c:pt>
                <c:pt idx="347">
                  <c:v>238.80029405707674</c:v>
                </c:pt>
                <c:pt idx="348">
                  <c:v>239.22996553781084</c:v>
                </c:pt>
                <c:pt idx="349">
                  <c:v>239.65801158372207</c:v>
                </c:pt>
                <c:pt idx="350">
                  <c:v>240.08443214469884</c:v>
                </c:pt>
                <c:pt idx="351">
                  <c:v>240.50922718442749</c:v>
                </c:pt>
                <c:pt idx="352">
                  <c:v>240.93239668033544</c:v>
                </c:pt>
                <c:pt idx="353">
                  <c:v>241.35394062353393</c:v>
                </c:pt>
                <c:pt idx="354">
                  <c:v>241.77385901876036</c:v>
                </c:pt>
                <c:pt idx="355">
                  <c:v>242.19215188432088</c:v>
                </c:pt>
                <c:pt idx="356">
                  <c:v>242.60881925203236</c:v>
                </c:pt>
                <c:pt idx="357">
                  <c:v>243.02386116716431</c:v>
                </c:pt>
                <c:pt idx="358">
                  <c:v>243.43727768838068</c:v>
                </c:pt>
                <c:pt idx="359">
                  <c:v>243.84906888768134</c:v>
                </c:pt>
                <c:pt idx="360">
                  <c:v>244.25923485034355</c:v>
                </c:pt>
                <c:pt idx="361">
                  <c:v>244.66777567486292</c:v>
                </c:pt>
                <c:pt idx="362">
                  <c:v>245.07469147289473</c:v>
                </c:pt>
                <c:pt idx="363">
                  <c:v>245.47998236919437</c:v>
                </c:pt>
                <c:pt idx="364">
                  <c:v>245.88364850155824</c:v>
                </c:pt>
                <c:pt idx="365">
                  <c:v>246.28569002076415</c:v>
                </c:pt>
                <c:pt idx="366">
                  <c:v>246.68664562820771</c:v>
                </c:pt>
                <c:pt idx="367">
                  <c:v>247.08705399786655</c:v>
                </c:pt>
                <c:pt idx="368">
                  <c:v>247.4869148789071</c:v>
                </c:pt>
                <c:pt idx="369">
                  <c:v>247.88622802474563</c:v>
                </c:pt>
                <c:pt idx="370">
                  <c:v>248.28499319304058</c:v>
                </c:pt>
                <c:pt idx="371">
                  <c:v>248.68321014568497</c:v>
                </c:pt>
                <c:pt idx="372">
                  <c:v>249.08087864879857</c:v>
                </c:pt>
                <c:pt idx="373">
                  <c:v>249.47799847272034</c:v>
                </c:pt>
                <c:pt idx="374">
                  <c:v>249.87456939200035</c:v>
                </c:pt>
                <c:pt idx="375">
                  <c:v>250.27059118539214</c:v>
                </c:pt>
                <c:pt idx="376">
                  <c:v>250.66606363584452</c:v>
                </c:pt>
                <c:pt idx="377">
                  <c:v>251.06098653049375</c:v>
                </c:pt>
                <c:pt idx="378">
                  <c:v>251.45535966065532</c:v>
                </c:pt>
                <c:pt idx="379">
                  <c:v>251.84918282181602</c:v>
                </c:pt>
                <c:pt idx="380">
                  <c:v>252.24245581362555</c:v>
                </c:pt>
                <c:pt idx="381">
                  <c:v>252.63459690175392</c:v>
                </c:pt>
                <c:pt idx="382">
                  <c:v>253.02502442153116</c:v>
                </c:pt>
                <c:pt idx="383">
                  <c:v>253.41373870423669</c:v>
                </c:pt>
                <c:pt idx="384">
                  <c:v>253.80074009436552</c:v>
                </c:pt>
                <c:pt idx="385">
                  <c:v>254.18602894955976</c:v>
                </c:pt>
                <c:pt idx="386">
                  <c:v>254.5696056405408</c:v>
                </c:pt>
                <c:pt idx="387">
                  <c:v>254.95147055104039</c:v>
                </c:pt>
                <c:pt idx="388">
                  <c:v>255.33162407773247</c:v>
                </c:pt>
                <c:pt idx="389">
                  <c:v>255.71006663016433</c:v>
                </c:pt>
                <c:pt idx="390">
                  <c:v>256.08679863068795</c:v>
                </c:pt>
                <c:pt idx="391">
                  <c:v>256.46182051439104</c:v>
                </c:pt>
                <c:pt idx="392">
                  <c:v>256.8351327290282</c:v>
                </c:pt>
                <c:pt idx="393">
                  <c:v>257.20673573495162</c:v>
                </c:pt>
                <c:pt idx="394">
                  <c:v>257.57663000504226</c:v>
                </c:pt>
                <c:pt idx="395">
                  <c:v>257.9448160246402</c:v>
                </c:pt>
                <c:pt idx="396">
                  <c:v>258.31129429147552</c:v>
                </c:pt>
                <c:pt idx="397">
                  <c:v>258.67606531559892</c:v>
                </c:pt>
                <c:pt idx="398">
                  <c:v>259.03912961931195</c:v>
                </c:pt>
                <c:pt idx="399">
                  <c:v>259.40048773709771</c:v>
                </c:pt>
                <c:pt idx="400">
                  <c:v>259.76014021555108</c:v>
                </c:pt>
                <c:pt idx="401">
                  <c:v>260.11763088340649</c:v>
                </c:pt>
                <c:pt idx="402">
                  <c:v>260.47250367815997</c:v>
                </c:pt>
                <c:pt idx="403">
                  <c:v>260.82475967042882</c:v>
                </c:pt>
                <c:pt idx="404">
                  <c:v>261.17439995197793</c:v>
                </c:pt>
                <c:pt idx="405">
                  <c:v>261.52142563556896</c:v>
                </c:pt>
                <c:pt idx="406">
                  <c:v>261.86583785480906</c:v>
                </c:pt>
                <c:pt idx="407">
                  <c:v>262.20763776399997</c:v>
                </c:pt>
                <c:pt idx="408">
                  <c:v>262.54682653798636</c:v>
                </c:pt>
                <c:pt idx="409">
                  <c:v>262.8834053720052</c:v>
                </c:pt>
                <c:pt idx="410">
                  <c:v>263.21737548153374</c:v>
                </c:pt>
                <c:pt idx="411">
                  <c:v>263.54621660902154</c:v>
                </c:pt>
                <c:pt idx="412">
                  <c:v>263.86740924649018</c:v>
                </c:pt>
                <c:pt idx="413">
                  <c:v>264.18095771398862</c:v>
                </c:pt>
                <c:pt idx="414">
                  <c:v>264.48686644438078</c:v>
                </c:pt>
                <c:pt idx="415">
                  <c:v>264.78513998220001</c:v>
                </c:pt>
                <c:pt idx="416">
                  <c:v>265.0757829825032</c:v>
                </c:pt>
                <c:pt idx="417">
                  <c:v>265.3588002097228</c:v>
                </c:pt>
                <c:pt idx="418">
                  <c:v>265.63419653651874</c:v>
                </c:pt>
                <c:pt idx="419">
                  <c:v>265.90197694262991</c:v>
                </c:pt>
                <c:pt idx="420">
                  <c:v>266.16071329120615</c:v>
                </c:pt>
                <c:pt idx="421">
                  <c:v>266.4089781998602</c:v>
                </c:pt>
                <c:pt idx="422">
                  <c:v>266.64677907882401</c:v>
                </c:pt>
                <c:pt idx="423">
                  <c:v>266.87412352347405</c:v>
                </c:pt>
                <c:pt idx="424">
                  <c:v>267.09101931218356</c:v>
                </c:pt>
                <c:pt idx="425">
                  <c:v>267.29747440417179</c:v>
                </c:pt>
                <c:pt idx="426">
                  <c:v>267.49349693735252</c:v>
                </c:pt>
                <c:pt idx="427">
                  <c:v>267.67909522618083</c:v>
                </c:pt>
                <c:pt idx="428">
                  <c:v>267.85427775949933</c:v>
                </c:pt>
                <c:pt idx="429">
                  <c:v>268.01905319838352</c:v>
                </c:pt>
                <c:pt idx="430">
                  <c:v>268.17343037398757</c:v>
                </c:pt>
                <c:pt idx="431">
                  <c:v>268.31741828538901</c:v>
                </c:pt>
                <c:pt idx="432">
                  <c:v>268.44871884035575</c:v>
                </c:pt>
                <c:pt idx="433">
                  <c:v>268.56503578880182</c:v>
                </c:pt>
                <c:pt idx="434">
                  <c:v>268.66638302079224</c:v>
                </c:pt>
                <c:pt idx="435">
                  <c:v>268.75277475833093</c:v>
                </c:pt>
                <c:pt idx="436">
                  <c:v>268.82422555088112</c:v>
                </c:pt>
                <c:pt idx="437">
                  <c:v>268.88075027088189</c:v>
                </c:pt>
                <c:pt idx="438">
                  <c:v>268.9223641092625</c:v>
                </c:pt>
                <c:pt idx="439">
                  <c:v>268.94908257095511</c:v>
                </c:pt>
                <c:pt idx="440">
                  <c:v>268.96092147040719</c:v>
                </c:pt>
                <c:pt idx="441">
                  <c:v>268.9578969270932</c:v>
                </c:pt>
                <c:pt idx="442">
                  <c:v>268.94142569268701</c:v>
                </c:pt>
                <c:pt idx="443">
                  <c:v>268.91292337200161</c:v>
                </c:pt>
                <c:pt idx="444">
                  <c:v>268.87240366502834</c:v>
                </c:pt>
                <c:pt idx="445">
                  <c:v>268.81988045512549</c:v>
                </c:pt>
                <c:pt idx="446">
                  <c:v>268.75536780609332</c:v>
                </c:pt>
                <c:pt idx="447">
                  <c:v>268.6788799592552</c:v>
                </c:pt>
                <c:pt idx="448">
                  <c:v>268.59043133054485</c:v>
                </c:pt>
                <c:pt idx="449">
                  <c:v>268.49003650760011</c:v>
                </c:pt>
                <c:pt idx="450">
                  <c:v>268.37771024686441</c:v>
                </c:pt>
                <c:pt idx="451">
                  <c:v>268.25346747069437</c:v>
                </c:pt>
                <c:pt idx="452">
                  <c:v>268.11732326447651</c:v>
                </c:pt>
                <c:pt idx="453">
                  <c:v>267.9712969893647</c:v>
                </c:pt>
                <c:pt idx="454">
                  <c:v>267.81740561256095</c:v>
                </c:pt>
                <c:pt idx="455">
                  <c:v>267.65565927287406</c:v>
                </c:pt>
                <c:pt idx="456">
                  <c:v>267.48606816341623</c:v>
                </c:pt>
                <c:pt idx="457">
                  <c:v>267.30864253040386</c:v>
                </c:pt>
                <c:pt idx="458">
                  <c:v>267.12339267196347</c:v>
                </c:pt>
                <c:pt idx="459">
                  <c:v>266.93032893694448</c:v>
                </c:pt>
                <c:pt idx="460">
                  <c:v>266.72946172373668</c:v>
                </c:pt>
                <c:pt idx="461">
                  <c:v>266.52260453517363</c:v>
                </c:pt>
                <c:pt idx="462">
                  <c:v>266.31156844282918</c:v>
                </c:pt>
                <c:pt idx="463">
                  <c:v>266.09635887926333</c:v>
                </c:pt>
                <c:pt idx="464">
                  <c:v>265.87698127945089</c:v>
                </c:pt>
                <c:pt idx="465">
                  <c:v>265.65344108049135</c:v>
                </c:pt>
                <c:pt idx="466">
                  <c:v>265.42422918695053</c:v>
                </c:pt>
                <c:pt idx="467">
                  <c:v>265.18783864073839</c:v>
                </c:pt>
                <c:pt idx="468">
                  <c:v>264.92741358604792</c:v>
                </c:pt>
                <c:pt idx="469">
                  <c:v>264.64676248654081</c:v>
                </c:pt>
                <c:pt idx="470">
                  <c:v>264.36655380616924</c:v>
                </c:pt>
                <c:pt idx="471">
                  <c:v>264.08678624974874</c:v>
                </c:pt>
                <c:pt idx="472">
                  <c:v>263.80745852719264</c:v>
                </c:pt>
                <c:pt idx="473">
                  <c:v>263.52856935348677</c:v>
                </c:pt>
                <c:pt idx="474">
                  <c:v>263.25011744866435</c:v>
                </c:pt>
                <c:pt idx="475">
                  <c:v>262.97210153778099</c:v>
                </c:pt>
                <c:pt idx="476">
                  <c:v>262.69452035089029</c:v>
                </c:pt>
                <c:pt idx="477">
                  <c:v>262.41737262301871</c:v>
                </c:pt>
                <c:pt idx="478">
                  <c:v>262.14065709414149</c:v>
                </c:pt>
                <c:pt idx="479">
                  <c:v>261.86437250915804</c:v>
                </c:pt>
                <c:pt idx="480">
                  <c:v>261.58851761786792</c:v>
                </c:pt>
                <c:pt idx="481">
                  <c:v>261.31309117494686</c:v>
                </c:pt>
                <c:pt idx="482">
                  <c:v>261.03809193992265</c:v>
                </c:pt>
                <c:pt idx="483">
                  <c:v>260.76351867715152</c:v>
                </c:pt>
                <c:pt idx="484">
                  <c:v>260.48937015579446</c:v>
                </c:pt>
                <c:pt idx="485">
                  <c:v>260.21564514979377</c:v>
                </c:pt>
                <c:pt idx="486">
                  <c:v>259.94234243784979</c:v>
                </c:pt>
                <c:pt idx="487">
                  <c:v>259.66946080339756</c:v>
                </c:pt>
                <c:pt idx="488">
                  <c:v>259.39699903458387</c:v>
                </c:pt>
                <c:pt idx="489">
                  <c:v>259.12495592424426</c:v>
                </c:pt>
                <c:pt idx="490">
                  <c:v>258.85333026988025</c:v>
                </c:pt>
                <c:pt idx="491">
                  <c:v>258.58212087363671</c:v>
                </c:pt>
                <c:pt idx="492">
                  <c:v>258.31132654227929</c:v>
                </c:pt>
                <c:pt idx="493">
                  <c:v>258.04094608717213</c:v>
                </c:pt>
                <c:pt idx="494">
                  <c:v>257.77097832425528</c:v>
                </c:pt>
                <c:pt idx="495">
                  <c:v>257.50142207402308</c:v>
                </c:pt>
                <c:pt idx="496">
                  <c:v>257.23227616150166</c:v>
                </c:pt>
                <c:pt idx="497">
                  <c:v>256.96353941622743</c:v>
                </c:pt>
                <c:pt idx="498">
                  <c:v>256.69521067222502</c:v>
                </c:pt>
                <c:pt idx="499">
                  <c:v>256.427288767986</c:v>
                </c:pt>
                <c:pt idx="500">
                  <c:v>256.15977254644713</c:v>
                </c:pt>
                <c:pt idx="501">
                  <c:v>253.48875728750804</c:v>
                </c:pt>
                <c:pt idx="502">
                  <c:v>250.85781054989164</c:v>
                </c:pt>
                <c:pt idx="503">
                  <c:v>248.26581084252467</c:v>
                </c:pt>
                <c:pt idx="504">
                  <c:v>245.7116785882981</c:v>
                </c:pt>
                <c:pt idx="505">
                  <c:v>243.19437417226587</c:v>
                </c:pt>
                <c:pt idx="506">
                  <c:v>240.71289609908936</c:v>
                </c:pt>
                <c:pt idx="507">
                  <c:v>238.26627925264259</c:v>
                </c:pt>
                <c:pt idx="508">
                  <c:v>235.85359325121618</c:v>
                </c:pt>
                <c:pt idx="509">
                  <c:v>233.47394089223749</c:v>
                </c:pt>
                <c:pt idx="510">
                  <c:v>231.12645668086651</c:v>
                </c:pt>
                <c:pt idx="511">
                  <c:v>228.81030543723043</c:v>
                </c:pt>
                <c:pt idx="512">
                  <c:v>226.52468097743321</c:v>
                </c:pt>
                <c:pt idx="513">
                  <c:v>224.26880486382004</c:v>
                </c:pt>
                <c:pt idx="514">
                  <c:v>222.04192522029109</c:v>
                </c:pt>
                <c:pt idx="515">
                  <c:v>219.84331560875179</c:v>
                </c:pt>
                <c:pt idx="516">
                  <c:v>217.67227396305432</c:v>
                </c:pt>
                <c:pt idx="517">
                  <c:v>215.52812157703445</c:v>
                </c:pt>
                <c:pt idx="518">
                  <c:v>213.41020214347608</c:v>
                </c:pt>
                <c:pt idx="519">
                  <c:v>211.31788084104815</c:v>
                </c:pt>
                <c:pt idx="520">
                  <c:v>209.25054346645615</c:v>
                </c:pt>
                <c:pt idx="521">
                  <c:v>207.2075956092292</c:v>
                </c:pt>
                <c:pt idx="522">
                  <c:v>205.18846186673554</c:v>
                </c:pt>
                <c:pt idx="523">
                  <c:v>203.19258509717281</c:v>
                </c:pt>
                <c:pt idx="524">
                  <c:v>201.21942570842529</c:v>
                </c:pt>
                <c:pt idx="525">
                  <c:v>199.26846098081495</c:v>
                </c:pt>
                <c:pt idx="526">
                  <c:v>197.33918442189773</c:v>
                </c:pt>
                <c:pt idx="527">
                  <c:v>195.43110515157275</c:v>
                </c:pt>
                <c:pt idx="528">
                  <c:v>193.54374731588038</c:v>
                </c:pt>
                <c:pt idx="529">
                  <c:v>191.67664952796562</c:v>
                </c:pt>
                <c:pt idx="530">
                  <c:v>189.82936433477639</c:v>
                </c:pt>
                <c:pt idx="531">
                  <c:v>188.0014577081551</c:v>
                </c:pt>
                <c:pt idx="532">
                  <c:v>186.19250855906117</c:v>
                </c:pt>
                <c:pt idx="533">
                  <c:v>184.40210827374071</c:v>
                </c:pt>
                <c:pt idx="534">
                  <c:v>182.62986027072816</c:v>
                </c:pt>
                <c:pt idx="535">
                  <c:v>180.8753795776322</c:v>
                </c:pt>
                <c:pt idx="536">
                  <c:v>179.13829242672094</c:v>
                </c:pt>
                <c:pt idx="537">
                  <c:v>177.41823586837708</c:v>
                </c:pt>
                <c:pt idx="538">
                  <c:v>175.7148574015508</c:v>
                </c:pt>
                <c:pt idx="539">
                  <c:v>174.02781462038664</c:v>
                </c:pt>
                <c:pt idx="540">
                  <c:v>172.35677487624977</c:v>
                </c:pt>
                <c:pt idx="541">
                  <c:v>170.70141495442095</c:v>
                </c:pt>
                <c:pt idx="542">
                  <c:v>169.0614207647719</c:v>
                </c:pt>
                <c:pt idx="543">
                  <c:v>167.4364870457714</c:v>
                </c:pt>
                <c:pt idx="544">
                  <c:v>165.82631708121062</c:v>
                </c:pt>
                <c:pt idx="545">
                  <c:v>164.23062242906974</c:v>
                </c:pt>
                <c:pt idx="546">
                  <c:v>162.64912266198147</c:v>
                </c:pt>
                <c:pt idx="547">
                  <c:v>161.0815451187772</c:v>
                </c:pt>
                <c:pt idx="548">
                  <c:v>159.52762466663165</c:v>
                </c:pt>
                <c:pt idx="549">
                  <c:v>157.98710347334773</c:v>
                </c:pt>
                <c:pt idx="550">
                  <c:v>156.45973078935037</c:v>
                </c:pt>
                <c:pt idx="551">
                  <c:v>154.94526273898197</c:v>
                </c:pt>
                <c:pt idx="552">
                  <c:v>153.44346212071557</c:v>
                </c:pt>
                <c:pt idx="553">
                  <c:v>151.9540982159225</c:v>
                </c:pt>
                <c:pt idx="554">
                  <c:v>150.47694660585387</c:v>
                </c:pt>
                <c:pt idx="555">
                  <c:v>149.01178899651282</c:v>
                </c:pt>
                <c:pt idx="556">
                  <c:v>147.55841305111457</c:v>
                </c:pt>
                <c:pt idx="557">
                  <c:v>146.11661222984804</c:v>
                </c:pt>
                <c:pt idx="558">
                  <c:v>144.68618563666996</c:v>
                </c:pt>
                <c:pt idx="559">
                  <c:v>143.26693787287829</c:v>
                </c:pt>
                <c:pt idx="560">
                  <c:v>141.85867889722724</c:v>
                </c:pt>
                <c:pt idx="561">
                  <c:v>140.46122389236021</c:v>
                </c:pt>
                <c:pt idx="562">
                  <c:v>139.07439313735139</c:v>
                </c:pt>
                <c:pt idx="563">
                  <c:v>137.69801188615975</c:v>
                </c:pt>
                <c:pt idx="564">
                  <c:v>136.33191025181225</c:v>
                </c:pt>
                <c:pt idx="565">
                  <c:v>134.97592309614507</c:v>
                </c:pt>
                <c:pt idx="566">
                  <c:v>133.62988992494334</c:v>
                </c:pt>
                <c:pt idx="567">
                  <c:v>132.29365478833196</c:v>
                </c:pt>
                <c:pt idx="568">
                  <c:v>130.96706618628031</c:v>
                </c:pt>
                <c:pt idx="569">
                  <c:v>129.64997697909462</c:v>
                </c:pt>
                <c:pt idx="570">
                  <c:v>128.34224430278235</c:v>
                </c:pt>
                <c:pt idx="571">
                  <c:v>127.04372948918271</c:v>
                </c:pt>
                <c:pt idx="572">
                  <c:v>125.75429799076696</c:v>
                </c:pt>
                <c:pt idx="573">
                  <c:v>124.4738193100228</c:v>
                </c:pt>
                <c:pt idx="574">
                  <c:v>123.2021669333453</c:v>
                </c:pt>
                <c:pt idx="575">
                  <c:v>121.93921826936676</c:v>
                </c:pt>
                <c:pt idx="576">
                  <c:v>120.68485459166693</c:v>
                </c:pt>
                <c:pt idx="577">
                  <c:v>119.43896098581398</c:v>
                </c:pt>
                <c:pt idx="578">
                  <c:v>118.20142630069515</c:v>
                </c:pt>
                <c:pt idx="579">
                  <c:v>116.97214310410564</c:v>
                </c:pt>
                <c:pt idx="580">
                  <c:v>115.75100764257223</c:v>
                </c:pt>
                <c:pt idx="581">
                  <c:v>114.53791980539751</c:v>
                </c:pt>
                <c:pt idx="582">
                  <c:v>113.3327830929191</c:v>
                </c:pt>
                <c:pt idx="583">
                  <c:v>112.13550458898739</c:v>
                </c:pt>
                <c:pt idx="584">
                  <c:v>110.94599493767377</c:v>
                </c:pt>
                <c:pt idx="585">
                  <c:v>109.76416832423058</c:v>
                </c:pt>
                <c:pt idx="586">
                  <c:v>108.58994246033312</c:v>
                </c:pt>
                <c:pt idx="587">
                  <c:v>107.42323857364278</c:v>
                </c:pt>
                <c:pt idx="588">
                  <c:v>106.26398140174038</c:v>
                </c:pt>
                <c:pt idx="589">
                  <c:v>105.1120991904874</c:v>
                </c:pt>
                <c:pt idx="590">
                  <c:v>103.96752369688296</c:v>
                </c:pt>
                <c:pt idx="591">
                  <c:v>102.83019019649417</c:v>
                </c:pt>
                <c:pt idx="592">
                  <c:v>101.70003749554672</c:v>
                </c:pt>
                <c:pt idx="593">
                  <c:v>100.57700794777406</c:v>
                </c:pt>
                <c:pt idx="594">
                  <c:v>99.461047476132251</c:v>
                </c:pt>
                <c:pt idx="595">
                  <c:v>98.352105599499581</c:v>
                </c:pt>
                <c:pt idx="596">
                  <c:v>97.250135464489915</c:v>
                </c:pt>
                <c:pt idx="597">
                  <c:v>96.155093882519921</c:v>
                </c:pt>
                <c:pt idx="598">
                  <c:v>95.066941372281818</c:v>
                </c:pt>
                <c:pt idx="599">
                  <c:v>93.985642207784053</c:v>
                </c:pt>
                <c:pt idx="600">
                  <c:v>92.911164472134558</c:v>
                </c:pt>
                <c:pt idx="601">
                  <c:v>91.843480117251957</c:v>
                </c:pt>
                <c:pt idx="602">
                  <c:v>90.782565029702837</c:v>
                </c:pt>
                <c:pt idx="603">
                  <c:v>89.728399102874093</c:v>
                </c:pt>
                <c:pt idx="604">
                  <c:v>88.680966315701781</c:v>
                </c:pt>
                <c:pt idx="605">
                  <c:v>87.640254818189035</c:v>
                </c:pt>
                <c:pt idx="606">
                  <c:v>86.60625702395744</c:v>
                </c:pt>
                <c:pt idx="607">
                  <c:v>85.57896971008735</c:v>
                </c:pt>
                <c:pt idx="608">
                  <c:v>84.558394124513129</c:v>
                </c:pt>
                <c:pt idx="609">
                  <c:v>83.544536101249705</c:v>
                </c:pt>
                <c:pt idx="610">
                  <c:v>82.537406183736181</c:v>
                </c:pt>
                <c:pt idx="611">
                  <c:v>81.537019756589999</c:v>
                </c:pt>
                <c:pt idx="612">
                  <c:v>80.543397186073207</c:v>
                </c:pt>
                <c:pt idx="613">
                  <c:v>79.556563969576615</c:v>
                </c:pt>
                <c:pt idx="614">
                  <c:v>78.576550894432174</c:v>
                </c:pt>
                <c:pt idx="615">
                  <c:v>77.603394206364484</c:v>
                </c:pt>
                <c:pt idx="616">
                  <c:v>76.637135787890529</c:v>
                </c:pt>
                <c:pt idx="617">
                  <c:v>75.677823346972048</c:v>
                </c:pt>
                <c:pt idx="618">
                  <c:v>74.725510616215558</c:v>
                </c:pt>
                <c:pt idx="619">
                  <c:v>73.780257562901042</c:v>
                </c:pt>
                <c:pt idx="620">
                  <c:v>72.842130610101037</c:v>
                </c:pt>
                <c:pt idx="621">
                  <c:v>71.911202869125717</c:v>
                </c:pt>
                <c:pt idx="622">
                  <c:v>70.987554383496089</c:v>
                </c:pt>
                <c:pt idx="623">
                  <c:v>70.071272384604754</c:v>
                </c:pt>
                <c:pt idx="624">
                  <c:v>69.162451559171345</c:v>
                </c:pt>
                <c:pt idx="625">
                  <c:v>68.261194328535765</c:v>
                </c:pt>
                <c:pt idx="626">
                  <c:v>67.367611139754075</c:v>
                </c:pt>
                <c:pt idx="627">
                  <c:v>66.481820768369815</c:v>
                </c:pt>
                <c:pt idx="628">
                  <c:v>65.603950632623182</c:v>
                </c:pt>
                <c:pt idx="629">
                  <c:v>64.734137118730644</c:v>
                </c:pt>
                <c:pt idx="630">
                  <c:v>63.872525916716057</c:v>
                </c:pt>
                <c:pt idx="631">
                  <c:v>63.019272366097979</c:v>
                </c:pt>
                <c:pt idx="632">
                  <c:v>62.174541810533526</c:v>
                </c:pt>
                <c:pt idx="633">
                  <c:v>61.33850996028464</c:v>
                </c:pt>
                <c:pt idx="634">
                  <c:v>60.511363261104108</c:v>
                </c:pt>
                <c:pt idx="635">
                  <c:v>59.693299267832757</c:v>
                </c:pt>
                <c:pt idx="636">
                  <c:v>58.884527020653344</c:v>
                </c:pt>
                <c:pt idx="637">
                  <c:v>58.085267421556523</c:v>
                </c:pt>
                <c:pt idx="638">
                  <c:v>57.295753608137723</c:v>
                </c:pt>
                <c:pt idx="639">
                  <c:v>56.516231321357132</c:v>
                </c:pt>
                <c:pt idx="640">
                  <c:v>55.746959263356622</c:v>
                </c:pt>
                <c:pt idx="641">
                  <c:v>54.988209440835533</c:v>
                </c:pt>
                <c:pt idx="642">
                  <c:v>54.24026748884102</c:v>
                </c:pt>
                <c:pt idx="643">
                  <c:v>53.503432969128774</c:v>
                </c:pt>
                <c:pt idx="644">
                  <c:v>52.778019636499742</c:v>
                </c:pt>
                <c:pt idx="645">
                  <c:v>52.064355665720868</c:v>
                </c:pt>
                <c:pt idx="646">
                  <c:v>51.362783830801817</c:v>
                </c:pt>
                <c:pt idx="647">
                  <c:v>50.673661627534365</c:v>
                </c:pt>
                <c:pt idx="648">
                  <c:v>49.997361329321578</c:v>
                </c:pt>
                <c:pt idx="649">
                  <c:v>49.334269965448328</c:v>
                </c:pt>
                <c:pt idx="650">
                  <c:v>48.684789210097016</c:v>
                </c:pt>
                <c:pt idx="651">
                  <c:v>48.049335169621784</c:v>
                </c:pt>
                <c:pt idx="652">
                  <c:v>47.428338054896699</c:v>
                </c:pt>
                <c:pt idx="653">
                  <c:v>46.822241724989482</c:v>
                </c:pt>
                <c:pt idx="654">
                  <c:v>46.231503088031296</c:v>
                </c:pt>
                <c:pt idx="655">
                  <c:v>45.656591345009168</c:v>
                </c:pt>
                <c:pt idx="656">
                  <c:v>45.097987062359948</c:v>
                </c:pt>
                <c:pt idx="657">
                  <c:v>44.556181059759041</c:v>
                </c:pt>
                <c:pt idx="658">
                  <c:v>44.031673100437736</c:v>
                </c:pt>
                <c:pt idx="659">
                  <c:v>43.524970372797988</c:v>
                </c:pt>
                <c:pt idx="660">
                  <c:v>43.036585754083298</c:v>
                </c:pt>
                <c:pt idx="661">
                  <c:v>42.567035849463679</c:v>
                </c:pt>
                <c:pt idx="662">
                  <c:v>42.116838803141327</c:v>
                </c:pt>
                <c:pt idx="663">
                  <c:v>41.686511882002577</c:v>
                </c:pt>
                <c:pt idx="664">
                  <c:v>41.27656883692697</c:v>
                </c:pt>
                <c:pt idx="665">
                  <c:v>40.887517052078749</c:v>
                </c:pt>
                <c:pt idx="666">
                  <c:v>40.519854498276629</c:v>
                </c:pt>
                <c:pt idx="667">
                  <c:v>40.174066512749349</c:v>
                </c:pt>
                <c:pt idx="668">
                  <c:v>39.850622434075689</c:v>
                </c:pt>
                <c:pt idx="669">
                  <c:v>39.549972127675275</c:v>
                </c:pt>
                <c:pt idx="670">
                  <c:v>39.272542443613688</c:v>
                </c:pt>
                <c:pt idx="671">
                  <c:v>39.018733654432246</c:v>
                </c:pt>
                <c:pt idx="672">
                  <c:v>38.788915925906807</c:v>
                </c:pt>
                <c:pt idx="673">
                  <c:v>38.58342587777102</c:v>
                </c:pt>
                <c:pt idx="674">
                  <c:v>38.402563294208136</c:v>
                </c:pt>
                <c:pt idx="675">
                  <c:v>38.246588045056484</c:v>
                </c:pt>
                <c:pt idx="676">
                  <c:v>38.115717277974817</c:v>
                </c:pt>
                <c:pt idx="677">
                  <c:v>38.010122939138398</c:v>
                </c:pt>
                <c:pt idx="678">
                  <c:v>37.929929675341512</c:v>
                </c:pt>
                <c:pt idx="679">
                  <c:v>37.875213163727757</c:v>
                </c:pt>
                <c:pt idx="680">
                  <c:v>37.845998906926376</c:v>
                </c:pt>
                <c:pt idx="681">
                  <c:v>37.84226152141688</c:v>
                </c:pt>
                <c:pt idx="682">
                  <c:v>37.863924535845612</c:v>
                </c:pt>
                <c:pt idx="683">
                  <c:v>37.910860704217768</c:v>
                </c:pt>
                <c:pt idx="684">
                  <c:v>37.982892826875556</c:v>
                </c:pt>
                <c:pt idx="685">
                  <c:v>38.079795060449371</c:v>
                </c:pt>
                <c:pt idx="686">
                  <c:v>38.201294687017572</c:v>
                </c:pt>
                <c:pt idx="687">
                  <c:v>38.347074302965524</c:v>
                </c:pt>
                <c:pt idx="688">
                  <c:v>38.516774379854162</c:v>
                </c:pt>
                <c:pt idx="689">
                  <c:v>38.709996143254386</c:v>
                </c:pt>
                <c:pt idx="690">
                  <c:v>38.92630471113069</c:v>
                </c:pt>
                <c:pt idx="691">
                  <c:v>39.165232431012356</c:v>
                </c:pt>
                <c:pt idx="692">
                  <c:v>39.426282354813232</c:v>
                </c:pt>
                <c:pt idx="693">
                  <c:v>39.708931791603739</c:v>
                </c:pt>
                <c:pt idx="694">
                  <c:v>40.012635881678307</c:v>
                </c:pt>
                <c:pt idx="695">
                  <c:v>40.336831139624472</c:v>
                </c:pt>
                <c:pt idx="696">
                  <c:v>40.680938919482152</c:v>
                </c:pt>
                <c:pt idx="697">
                  <c:v>41.044368761171967</c:v>
                </c:pt>
                <c:pt idx="698">
                  <c:v>41.426521583866396</c:v>
                </c:pt>
                <c:pt idx="699">
                  <c:v>41.826792698600443</c:v>
                </c:pt>
                <c:pt idx="700">
                  <c:v>42.244574618927039</c:v>
                </c:pt>
                <c:pt idx="701">
                  <c:v>42.679259654617049</c:v>
                </c:pt>
                <c:pt idx="702">
                  <c:v>43.130242279130819</c:v>
                </c:pt>
                <c:pt idx="703">
                  <c:v>43.596921266736878</c:v>
                </c:pt>
                <c:pt idx="704">
                  <c:v>44.078701599657585</c:v>
                </c:pt>
                <c:pt idx="705">
                  <c:v>44.574996149448438</c:v>
                </c:pt>
                <c:pt idx="706">
                  <c:v>45.085227139969419</c:v>
                </c:pt>
                <c:pt idx="707">
                  <c:v>45.608827401806735</c:v>
                </c:pt>
                <c:pt idx="708">
                  <c:v>46.145241429896416</c:v>
                </c:pt>
                <c:pt idx="709">
                  <c:v>46.693926257442577</c:v>
                </c:pt>
                <c:pt idx="710">
                  <c:v>47.254352160077651</c:v>
                </c:pt>
                <c:pt idx="711">
                  <c:v>47.826003204646355</c:v>
                </c:pt>
                <c:pt idx="712">
                  <c:v>48.408377657076528</c:v>
                </c:pt>
                <c:pt idx="713">
                  <c:v>49.000988263593214</c:v>
                </c:pt>
                <c:pt idx="714">
                  <c:v>49.603362419096797</c:v>
                </c:pt>
                <c:pt idx="715">
                  <c:v>50.215042235916172</c:v>
                </c:pt>
                <c:pt idx="716">
                  <c:v>50.835584525411292</c:v>
                </c:pt>
                <c:pt idx="717">
                  <c:v>51.464560704077357</c:v>
                </c:pt>
                <c:pt idx="718">
                  <c:v>52.101556634929892</c:v>
                </c:pt>
                <c:pt idx="719">
                  <c:v>52.746172414054833</c:v>
                </c:pt>
                <c:pt idx="720">
                  <c:v>53.398022111313367</c:v>
                </c:pt>
                <c:pt idx="721">
                  <c:v>54.056733473315397</c:v>
                </c:pt>
                <c:pt idx="722">
                  <c:v>54.721947595932491</c:v>
                </c:pt>
                <c:pt idx="723">
                  <c:v>55.393318572819673</c:v>
                </c:pt>
                <c:pt idx="724">
                  <c:v>56.070513125663368</c:v>
                </c:pt>
                <c:pt idx="725">
                  <c:v>56.753210221173518</c:v>
                </c:pt>
                <c:pt idx="726">
                  <c:v>57.441100679193653</c:v>
                </c:pt>
                <c:pt idx="727">
                  <c:v>58.133886775713641</c:v>
                </c:pt>
                <c:pt idx="728">
                  <c:v>58.831281844035665</c:v>
                </c:pt>
                <c:pt idx="729">
                  <c:v>59.533009876861946</c:v>
                </c:pt>
                <c:pt idx="730">
                  <c:v>60.238805131641179</c:v>
                </c:pt>
                <c:pt idx="731">
                  <c:v>60.948411741125724</c:v>
                </c:pt>
                <c:pt idx="732">
                  <c:v>61.661583330751064</c:v>
                </c:pt>
                <c:pt idx="733">
                  <c:v>62.378082644148648</c:v>
                </c:pt>
                <c:pt idx="734">
                  <c:v>63.097681177839576</c:v>
                </c:pt>
                <c:pt idx="735">
                  <c:v>63.820158825927486</c:v>
                </c:pt>
                <c:pt idx="736">
                  <c:v>64.545303535409261</c:v>
                </c:pt>
                <c:pt idx="737">
                  <c:v>65.272910972550591</c:v>
                </c:pt>
                <c:pt idx="738">
                  <c:v>66.002784200625726</c:v>
                </c:pt>
                <c:pt idx="739">
                  <c:v>66.734733369195567</c:v>
                </c:pt>
                <c:pt idx="740">
                  <c:v>67.468575414990951</c:v>
                </c:pt>
                <c:pt idx="741">
                  <c:v>68.204133774379613</c:v>
                </c:pt>
                <c:pt idx="742">
                  <c:v>68.941238107319663</c:v>
                </c:pt>
                <c:pt idx="743">
                  <c:v>69.679724032642142</c:v>
                </c:pt>
                <c:pt idx="744">
                  <c:v>70.419432874453946</c:v>
                </c:pt>
                <c:pt idx="745">
                  <c:v>71.16021141941323</c:v>
                </c:pt>
                <c:pt idx="746">
                  <c:v>71.901911684597039</c:v>
                </c:pt>
                <c:pt idx="747">
                  <c:v>72.644390695656696</c:v>
                </c:pt>
                <c:pt idx="748">
                  <c:v>73.387510274938876</c:v>
                </c:pt>
                <c:pt idx="749">
                  <c:v>74.131136839236831</c:v>
                </c:pt>
                <c:pt idx="750">
                  <c:v>74.875141206828786</c:v>
                </c:pt>
                <c:pt idx="751">
                  <c:v>75.619398413455642</c:v>
                </c:pt>
                <c:pt idx="752">
                  <c:v>76.363787536889561</c:v>
                </c:pt>
                <c:pt idx="753">
                  <c:v>77.108191529745838</c:v>
                </c:pt>
                <c:pt idx="754">
                  <c:v>77.852497060195134</c:v>
                </c:pt>
                <c:pt idx="755">
                  <c:v>78.596594360237688</c:v>
                </c:pt>
                <c:pt idx="756">
                  <c:v>79.340377081208672</c:v>
                </c:pt>
                <c:pt idx="757">
                  <c:v>80.08374215619223</c:v>
                </c:pt>
                <c:pt idx="758">
                  <c:v>80.826589669029687</c:v>
                </c:pt>
                <c:pt idx="759">
                  <c:v>81.568822729618276</c:v>
                </c:pt>
                <c:pt idx="760">
                  <c:v>82.310347355205977</c:v>
                </c:pt>
                <c:pt idx="761">
                  <c:v>83.051072357398738</c:v>
                </c:pt>
                <c:pt idx="762">
                  <c:v>83.790909234607369</c:v>
                </c:pt>
                <c:pt idx="763">
                  <c:v>84.529772069671324</c:v>
                </c:pt>
                <c:pt idx="764">
                  <c:v>85.267577432407776</c:v>
                </c:pt>
                <c:pt idx="765">
                  <c:v>86.004244286845065</c:v>
                </c:pt>
                <c:pt idx="766">
                  <c:v>86.739693902909494</c:v>
                </c:pt>
                <c:pt idx="767">
                  <c:v>87.473849772345147</c:v>
                </c:pt>
                <c:pt idx="768">
                  <c:v>88.206637528656117</c:v>
                </c:pt>
                <c:pt idx="769">
                  <c:v>88.937984870870352</c:v>
                </c:pt>
                <c:pt idx="770">
                  <c:v>89.66782149093369</c:v>
                </c:pt>
                <c:pt idx="771">
                  <c:v>90.396079004551666</c:v>
                </c:pt>
                <c:pt idx="772">
                  <c:v>91.122690885305516</c:v>
                </c:pt>
                <c:pt idx="773">
                  <c:v>91.847592401877364</c:v>
                </c:pt>
                <c:pt idx="774">
                  <c:v>92.570720558227436</c:v>
                </c:pt>
                <c:pt idx="775">
                  <c:v>93.292014036573889</c:v>
                </c:pt>
                <c:pt idx="776">
                  <c:v>94.011413143033778</c:v>
                </c:pt>
                <c:pt idx="777">
                  <c:v>94.728859755790097</c:v>
                </c:pt>
                <c:pt idx="778">
                  <c:v>95.444297275656979</c:v>
                </c:pt>
                <c:pt idx="779">
                  <c:v>96.157670578921937</c:v>
                </c:pt>
                <c:pt idx="780">
                  <c:v>96.868925972349402</c:v>
                </c:pt>
                <c:pt idx="781">
                  <c:v>97.578011150236421</c:v>
                </c:pt>
                <c:pt idx="782">
                  <c:v>98.284875153416706</c:v>
                </c:pt>
                <c:pt idx="783">
                  <c:v>98.989468330114406</c:v>
                </c:pt>
                <c:pt idx="784">
                  <c:v>99.691742298554345</c:v>
                </c:pt>
                <c:pt idx="785">
                  <c:v>100.39164991123999</c:v>
                </c:pt>
                <c:pt idx="786">
                  <c:v>101.08914522081503</c:v>
                </c:pt>
                <c:pt idx="787">
                  <c:v>101.78418344742906</c:v>
                </c:pt>
                <c:pt idx="788">
                  <c:v>102.4767209475315</c:v>
                </c:pt>
                <c:pt idx="789">
                  <c:v>103.16671518402222</c:v>
                </c:pt>
                <c:pt idx="790">
                  <c:v>103.85412469769054</c:v>
                </c:pt>
                <c:pt idx="791">
                  <c:v>104.53890907987856</c:v>
                </c:pt>
                <c:pt idx="792">
                  <c:v>105.22102894630719</c:v>
                </c:pt>
                <c:pt idx="793">
                  <c:v>105.90044591200679</c:v>
                </c:pt>
                <c:pt idx="794">
                  <c:v>106.57712256729785</c:v>
                </c:pt>
                <c:pt idx="795">
                  <c:v>107.2510224547688</c:v>
                </c:pt>
                <c:pt idx="796">
                  <c:v>107.92211004720184</c:v>
                </c:pt>
                <c:pt idx="797">
                  <c:v>108.59035072639944</c:v>
                </c:pt>
                <c:pt idx="798">
                  <c:v>109.25571076286712</c:v>
                </c:pt>
                <c:pt idx="799">
                  <c:v>109.91815729631004</c:v>
                </c:pt>
                <c:pt idx="800">
                  <c:v>110.57765831690293</c:v>
                </c:pt>
                <c:pt idx="801">
                  <c:v>111.23418264729565</c:v>
                </c:pt>
                <c:pt idx="802">
                  <c:v>111.8876999253179</c:v>
                </c:pt>
                <c:pt idx="803">
                  <c:v>112.53818058734845</c:v>
                </c:pt>
                <c:pt idx="804">
                  <c:v>113.18559585231669</c:v>
                </c:pt>
                <c:pt idx="805">
                  <c:v>113.82991770630518</c:v>
                </c:pt>
                <c:pt idx="806">
                  <c:v>114.47111888772359</c:v>
                </c:pt>
                <c:pt idx="807">
                  <c:v>115.10917287302651</c:v>
                </c:pt>
                <c:pt idx="808">
                  <c:v>115.74405386294805</c:v>
                </c:pt>
                <c:pt idx="809">
                  <c:v>116.37573676922821</c:v>
                </c:pt>
                <c:pt idx="810">
                  <c:v>117.0041972018071</c:v>
                </c:pt>
                <c:pt idx="811">
                  <c:v>117.62941145646387</c:v>
                </c:pt>
                <c:pt idx="812">
                  <c:v>118.25135650287898</c:v>
                </c:pt>
                <c:pt idx="813">
                  <c:v>118.8700099730992</c:v>
                </c:pt>
                <c:pt idx="814">
                  <c:v>119.4853501503854</c:v>
                </c:pt>
                <c:pt idx="815">
                  <c:v>120.09735595842494</c:v>
                </c:pt>
                <c:pt idx="816">
                  <c:v>120.70600695089064</c:v>
                </c:pt>
                <c:pt idx="817">
                  <c:v>121.31128330132972</c:v>
                </c:pt>
                <c:pt idx="818">
                  <c:v>121.91316579336649</c:v>
                </c:pt>
                <c:pt idx="819">
                  <c:v>122.51163581120367</c:v>
                </c:pt>
                <c:pt idx="820">
                  <c:v>123.10667533040788</c:v>
                </c:pt>
                <c:pt idx="821">
                  <c:v>123.69826690896542</c:v>
                </c:pt>
                <c:pt idx="822">
                  <c:v>124.28639367859533</c:v>
                </c:pt>
                <c:pt idx="823">
                  <c:v>124.87103933630723</c:v>
                </c:pt>
                <c:pt idx="824">
                  <c:v>125.45218813619202</c:v>
                </c:pt>
                <c:pt idx="825">
                  <c:v>126.02982488143422</c:v>
                </c:pt>
                <c:pt idx="826">
                  <c:v>126.60393491653521</c:v>
                </c:pt>
                <c:pt idx="827">
                  <c:v>127.17450411973709</c:v>
                </c:pt>
                <c:pt idx="828">
                  <c:v>127.74151889563751</c:v>
                </c:pt>
                <c:pt idx="829">
                  <c:v>128.30496616798612</c:v>
                </c:pt>
                <c:pt idx="830">
                  <c:v>128.864833372654</c:v>
                </c:pt>
                <c:pt idx="831">
                  <c:v>129.42110845076749</c:v>
                </c:pt>
                <c:pt idx="832">
                  <c:v>129.97377984199852</c:v>
                </c:pt>
                <c:pt idx="833">
                  <c:v>130.52283647800402</c:v>
                </c:pt>
                <c:pt idx="834">
                  <c:v>131.06826777600691</c:v>
                </c:pt>
                <c:pt idx="835">
                  <c:v>131.6100636325119</c:v>
                </c:pt>
                <c:pt idx="836">
                  <c:v>132.14821441714994</c:v>
                </c:pt>
                <c:pt idx="837">
                  <c:v>132.68271096664421</c:v>
                </c:pt>
                <c:pt idx="838">
                  <c:v>133.21354457889282</c:v>
                </c:pt>
                <c:pt idx="839">
                  <c:v>133.74070700716166</c:v>
                </c:pt>
                <c:pt idx="840">
                  <c:v>134.2641904543828</c:v>
                </c:pt>
                <c:pt idx="841">
                  <c:v>134.78398756755271</c:v>
                </c:pt>
                <c:pt idx="842">
                  <c:v>135.30009143222603</c:v>
                </c:pt>
                <c:pt idx="843">
                  <c:v>135.81249556709969</c:v>
                </c:pt>
                <c:pt idx="844">
                  <c:v>136.32119391868372</c:v>
                </c:pt>
                <c:pt idx="845">
                  <c:v>136.82618085605387</c:v>
                </c:pt>
                <c:pt idx="846">
                  <c:v>137.32745116568265</c:v>
                </c:pt>
                <c:pt idx="847">
                  <c:v>137.82500004634471</c:v>
                </c:pt>
                <c:pt idx="848">
                  <c:v>138.31882310409318</c:v>
                </c:pt>
                <c:pt idx="849">
                  <c:v>138.80891634730347</c:v>
                </c:pt>
                <c:pt idx="850">
                  <c:v>139.29527618178133</c:v>
                </c:pt>
                <c:pt idx="851">
                  <c:v>139.77789940593229</c:v>
                </c:pt>
                <c:pt idx="852">
                  <c:v>140.25678320598931</c:v>
                </c:pt>
                <c:pt idx="853">
                  <c:v>140.73192515129611</c:v>
                </c:pt>
                <c:pt idx="854">
                  <c:v>141.20332318964364</c:v>
                </c:pt>
                <c:pt idx="855">
                  <c:v>141.67097564265677</c:v>
                </c:pt>
                <c:pt idx="856">
                  <c:v>142.13488120122977</c:v>
                </c:pt>
                <c:pt idx="857">
                  <c:v>142.59503892100707</c:v>
                </c:pt>
                <c:pt idx="858">
                  <c:v>143.05144821790878</c:v>
                </c:pt>
                <c:pt idx="859">
                  <c:v>143.50410886369747</c:v>
                </c:pt>
                <c:pt idx="860">
                  <c:v>143.95302098158547</c:v>
                </c:pt>
                <c:pt idx="861">
                  <c:v>144.39818504188037</c:v>
                </c:pt>
                <c:pt idx="862">
                  <c:v>144.83960185766719</c:v>
                </c:pt>
                <c:pt idx="863">
                  <c:v>145.27727258052562</c:v>
                </c:pt>
                <c:pt idx="864">
                  <c:v>145.71119869628106</c:v>
                </c:pt>
                <c:pt idx="865">
                  <c:v>146.14138202078774</c:v>
                </c:pt>
                <c:pt idx="866">
                  <c:v>146.56782469574281</c:v>
                </c:pt>
                <c:pt idx="867">
                  <c:v>146.99052918453017</c:v>
                </c:pt>
                <c:pt idx="868">
                  <c:v>147.40949826809288</c:v>
                </c:pt>
                <c:pt idx="869">
                  <c:v>147.82473504083288</c:v>
                </c:pt>
                <c:pt idx="870">
                  <c:v>148.23624290653746</c:v>
                </c:pt>
                <c:pt idx="871">
                  <c:v>148.64402557433107</c:v>
                </c:pt>
                <c:pt idx="872">
                  <c:v>149.04808705465163</c:v>
                </c:pt>
                <c:pt idx="873">
                  <c:v>149.448431655251</c:v>
                </c:pt>
                <c:pt idx="874">
                  <c:v>149.8450639772181</c:v>
                </c:pt>
                <c:pt idx="875">
                  <c:v>150.23798891102484</c:v>
                </c:pt>
                <c:pt idx="876">
                  <c:v>150.62721163259312</c:v>
                </c:pt>
                <c:pt idx="877">
                  <c:v>151.01273759938348</c:v>
                </c:pt>
                <c:pt idx="878">
                  <c:v>151.39457254650395</c:v>
                </c:pt>
                <c:pt idx="879">
                  <c:v>151.77272248283893</c:v>
                </c:pt>
                <c:pt idx="880">
                  <c:v>152.14719368719759</c:v>
                </c:pt>
                <c:pt idx="881">
                  <c:v>152.51799270448143</c:v>
                </c:pt>
                <c:pt idx="882">
                  <c:v>152.88512634187043</c:v>
                </c:pt>
                <c:pt idx="883">
                  <c:v>153.24860166502762</c:v>
                </c:pt>
                <c:pt idx="884">
                  <c:v>153.60842599432172</c:v>
                </c:pt>
                <c:pt idx="885">
                  <c:v>153.96460690106727</c:v>
                </c:pt>
                <c:pt idx="886">
                  <c:v>154.31715220378265</c:v>
                </c:pt>
                <c:pt idx="887">
                  <c:v>154.66606996446487</c:v>
                </c:pt>
                <c:pt idx="888">
                  <c:v>155.01136848488196</c:v>
                </c:pt>
                <c:pt idx="889">
                  <c:v>155.35305630288173</c:v>
                </c:pt>
                <c:pt idx="890">
                  <c:v>155.69114218871775</c:v>
                </c:pt>
                <c:pt idx="891">
                  <c:v>156.02563514139177</c:v>
                </c:pt>
                <c:pt idx="892">
                  <c:v>156.35654438501265</c:v>
                </c:pt>
                <c:pt idx="893">
                  <c:v>156.68387936517186</c:v>
                </c:pt>
                <c:pt idx="894">
                  <c:v>157.00764974533541</c:v>
                </c:pt>
                <c:pt idx="895">
                  <c:v>157.32786540325233</c:v>
                </c:pt>
                <c:pt idx="896">
                  <c:v>157.64453642737919</c:v>
                </c:pt>
                <c:pt idx="897">
                  <c:v>157.95767311332156</c:v>
                </c:pt>
                <c:pt idx="898">
                  <c:v>158.26728596029142</c:v>
                </c:pt>
                <c:pt idx="899">
                  <c:v>158.57338566758136</c:v>
                </c:pt>
                <c:pt idx="900">
                  <c:v>158.87598313105531</c:v>
                </c:pt>
                <c:pt idx="901">
                  <c:v>159.17508943965564</c:v>
                </c:pt>
                <c:pt idx="902">
                  <c:v>159.47071587192724</c:v>
                </c:pt>
                <c:pt idx="903">
                  <c:v>159.76287389255836</c:v>
                </c:pt>
                <c:pt idx="904">
                  <c:v>160.05157514893807</c:v>
                </c:pt>
                <c:pt idx="905">
                  <c:v>160.33683146773117</c:v>
                </c:pt>
                <c:pt idx="906">
                  <c:v>160.61865485146978</c:v>
                </c:pt>
                <c:pt idx="907">
                  <c:v>160.89705747516274</c:v>
                </c:pt>
                <c:pt idx="908">
                  <c:v>161.17205168292185</c:v>
                </c:pt>
                <c:pt idx="909">
                  <c:v>161.44364998460625</c:v>
                </c:pt>
                <c:pt idx="910">
                  <c:v>161.71186505248403</c:v>
                </c:pt>
                <c:pt idx="911">
                  <c:v>161.97670971791223</c:v>
                </c:pt>
                <c:pt idx="912">
                  <c:v>162.23819696803457</c:v>
                </c:pt>
                <c:pt idx="913">
                  <c:v>162.49633994249746</c:v>
                </c:pt>
                <c:pt idx="914">
                  <c:v>162.75115193018465</c:v>
                </c:pt>
                <c:pt idx="915">
                  <c:v>163.00264636597032</c:v>
                </c:pt>
                <c:pt idx="916">
                  <c:v>163.25083682749104</c:v>
                </c:pt>
                <c:pt idx="917">
                  <c:v>163.49573703193673</c:v>
                </c:pt>
                <c:pt idx="918">
                  <c:v>163.73736083286073</c:v>
                </c:pt>
                <c:pt idx="919">
                  <c:v>163.97572221700938</c:v>
                </c:pt>
                <c:pt idx="920">
                  <c:v>164.21083530117127</c:v>
                </c:pt>
                <c:pt idx="921">
                  <c:v>164.44271432904588</c:v>
                </c:pt>
                <c:pt idx="922">
                  <c:v>164.67137366813273</c:v>
                </c:pt>
                <c:pt idx="923">
                  <c:v>164.89682780664035</c:v>
                </c:pt>
                <c:pt idx="924">
                  <c:v>165.11909135041574</c:v>
                </c:pt>
                <c:pt idx="925">
                  <c:v>165.3381790198946</c:v>
                </c:pt>
                <c:pt idx="926">
                  <c:v>165.55410564707191</c:v>
                </c:pt>
                <c:pt idx="927">
                  <c:v>165.76688617249414</c:v>
                </c:pt>
                <c:pt idx="928">
                  <c:v>165.97653564227198</c:v>
                </c:pt>
                <c:pt idx="929">
                  <c:v>166.183069205115</c:v>
                </c:pt>
                <c:pt idx="930">
                  <c:v>166.38650210938752</c:v>
                </c:pt>
                <c:pt idx="931">
                  <c:v>166.58684970018649</c:v>
                </c:pt>
                <c:pt idx="932">
                  <c:v>166.78412741644112</c:v>
                </c:pt>
                <c:pt idx="933">
                  <c:v>166.97835078803502</c:v>
                </c:pt>
                <c:pt idx="934">
                  <c:v>167.1695354329502</c:v>
                </c:pt>
                <c:pt idx="935">
                  <c:v>167.35769705443394</c:v>
                </c:pt>
                <c:pt idx="936">
                  <c:v>167.54285143818828</c:v>
                </c:pt>
                <c:pt idx="937">
                  <c:v>167.72501444958235</c:v>
                </c:pt>
                <c:pt idx="938">
                  <c:v>167.90420203088769</c:v>
                </c:pt>
                <c:pt idx="939">
                  <c:v>168.08043019853693</c:v>
                </c:pt>
                <c:pt idx="940">
                  <c:v>168.25371504040572</c:v>
                </c:pt>
                <c:pt idx="941">
                  <c:v>168.42407271311828</c:v>
                </c:pt>
                <c:pt idx="942">
                  <c:v>168.59151943937653</c:v>
                </c:pt>
                <c:pt idx="943">
                  <c:v>168.59168395732516</c:v>
                </c:pt>
                <c:pt idx="944">
                  <c:v>168.59184847240175</c:v>
                </c:pt>
                <c:pt idx="945">
                  <c:v>168.59201298460633</c:v>
                </c:pt>
                <c:pt idx="946">
                  <c:v>168.59217749393892</c:v>
                </c:pt>
                <c:pt idx="947">
                  <c:v>168.59234200039953</c:v>
                </c:pt>
                <c:pt idx="948">
                  <c:v>168.5925065039882</c:v>
                </c:pt>
                <c:pt idx="949">
                  <c:v>168.59267100470495</c:v>
                </c:pt>
                <c:pt idx="950">
                  <c:v>168.59283550254972</c:v>
                </c:pt>
                <c:pt idx="951">
                  <c:v>168.59299999752264</c:v>
                </c:pt>
                <c:pt idx="952">
                  <c:v>168.59316448962366</c:v>
                </c:pt>
                <c:pt idx="953">
                  <c:v>168.59332897885278</c:v>
                </c:pt>
                <c:pt idx="954">
                  <c:v>168.59349346521003</c:v>
                </c:pt>
                <c:pt idx="955">
                  <c:v>168.59365794869547</c:v>
                </c:pt>
                <c:pt idx="956">
                  <c:v>168.59382242930909</c:v>
                </c:pt>
                <c:pt idx="957">
                  <c:v>168.59398690705086</c:v>
                </c:pt>
                <c:pt idx="958">
                  <c:v>168.59415138192085</c:v>
                </c:pt>
                <c:pt idx="959">
                  <c:v>168.59431585391908</c:v>
                </c:pt>
                <c:pt idx="960">
                  <c:v>168.59448032304553</c:v>
                </c:pt>
                <c:pt idx="961">
                  <c:v>168.59464478930022</c:v>
                </c:pt>
                <c:pt idx="962">
                  <c:v>168.59480925268321</c:v>
                </c:pt>
                <c:pt idx="963">
                  <c:v>168.59497371319446</c:v>
                </c:pt>
                <c:pt idx="964">
                  <c:v>168.59513817083405</c:v>
                </c:pt>
                <c:pt idx="965">
                  <c:v>168.59530262560193</c:v>
                </c:pt>
                <c:pt idx="966">
                  <c:v>168.59546707749817</c:v>
                </c:pt>
                <c:pt idx="967">
                  <c:v>168.59563152652274</c:v>
                </c:pt>
                <c:pt idx="968">
                  <c:v>168.59579597267569</c:v>
                </c:pt>
                <c:pt idx="969">
                  <c:v>168.59596041595705</c:v>
                </c:pt>
                <c:pt idx="970">
                  <c:v>168.59612485636677</c:v>
                </c:pt>
                <c:pt idx="971">
                  <c:v>168.59628929390493</c:v>
                </c:pt>
                <c:pt idx="972">
                  <c:v>168.5964537285715</c:v>
                </c:pt>
                <c:pt idx="973">
                  <c:v>168.59661816036655</c:v>
                </c:pt>
                <c:pt idx="974">
                  <c:v>168.59678258929006</c:v>
                </c:pt>
                <c:pt idx="975">
                  <c:v>168.59694701534207</c:v>
                </c:pt>
                <c:pt idx="976">
                  <c:v>168.59711143852255</c:v>
                </c:pt>
                <c:pt idx="977">
                  <c:v>168.59727585883152</c:v>
                </c:pt>
                <c:pt idx="978">
                  <c:v>168.59744027626905</c:v>
                </c:pt>
                <c:pt idx="979">
                  <c:v>168.59760469083514</c:v>
                </c:pt>
                <c:pt idx="980">
                  <c:v>168.59776910252975</c:v>
                </c:pt>
                <c:pt idx="981">
                  <c:v>168.59793351135298</c:v>
                </c:pt>
                <c:pt idx="982">
                  <c:v>168.59809791730478</c:v>
                </c:pt>
                <c:pt idx="983">
                  <c:v>168.59826232038517</c:v>
                </c:pt>
                <c:pt idx="984">
                  <c:v>168.59842672059423</c:v>
                </c:pt>
                <c:pt idx="985">
                  <c:v>168.5985911179319</c:v>
                </c:pt>
                <c:pt idx="986">
                  <c:v>168.59875551239824</c:v>
                </c:pt>
                <c:pt idx="987">
                  <c:v>168.59891990399328</c:v>
                </c:pt>
                <c:pt idx="988">
                  <c:v>168.59908429271701</c:v>
                </c:pt>
                <c:pt idx="989">
                  <c:v>168.59924867856944</c:v>
                </c:pt>
                <c:pt idx="990">
                  <c:v>168.59941306155059</c:v>
                </c:pt>
                <c:pt idx="991">
                  <c:v>168.59957744166047</c:v>
                </c:pt>
                <c:pt idx="992">
                  <c:v>168.5997418188991</c:v>
                </c:pt>
                <c:pt idx="993">
                  <c:v>168.59990619326652</c:v>
                </c:pt>
                <c:pt idx="994">
                  <c:v>168.60007056476275</c:v>
                </c:pt>
                <c:pt idx="995">
                  <c:v>168.60023493338778</c:v>
                </c:pt>
                <c:pt idx="996">
                  <c:v>168.60039929914163</c:v>
                </c:pt>
                <c:pt idx="997">
                  <c:v>168.60056366202429</c:v>
                </c:pt>
                <c:pt idx="998">
                  <c:v>168.60072802203584</c:v>
                </c:pt>
                <c:pt idx="999">
                  <c:v>168.6008923791762</c:v>
                </c:pt>
                <c:pt idx="1000">
                  <c:v>168.60105673344549</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Calculs!$AG$4:$AG$1004</c:f>
              <c:numCache>
                <c:formatCode>0.00</c:formatCode>
                <c:ptCount val="1001"/>
                <c:pt idx="0">
                  <c:v>0</c:v>
                </c:pt>
                <c:pt idx="1">
                  <c:v>8.8318349296210634</c:v>
                </c:pt>
                <c:pt idx="2">
                  <c:v>29.234795863970994</c:v>
                </c:pt>
                <c:pt idx="3">
                  <c:v>37.704012827161854</c:v>
                </c:pt>
                <c:pt idx="4">
                  <c:v>46.179546884611803</c:v>
                </c:pt>
                <c:pt idx="5">
                  <c:v>54.662435699223131</c:v>
                </c:pt>
                <c:pt idx="6">
                  <c:v>63.153709688648298</c:v>
                </c:pt>
                <c:pt idx="7">
                  <c:v>71.654392410094545</c:v>
                </c:pt>
                <c:pt idx="8">
                  <c:v>80.165500935526524</c:v>
                </c:pt>
                <c:pt idx="9">
                  <c:v>88.688046217645592</c:v>
                </c:pt>
                <c:pt idx="10">
                  <c:v>97.223033447010408</c:v>
                </c:pt>
                <c:pt idx="11">
                  <c:v>100.89733970387455</c:v>
                </c:pt>
                <c:pt idx="12">
                  <c:v>99.700452982705201</c:v>
                </c:pt>
                <c:pt idx="13">
                  <c:v>98.464013488150698</c:v>
                </c:pt>
                <c:pt idx="14">
                  <c:v>97.187979942415851</c:v>
                </c:pt>
                <c:pt idx="15">
                  <c:v>95.909469698089538</c:v>
                </c:pt>
                <c:pt idx="16">
                  <c:v>94.628522440406087</c:v>
                </c:pt>
                <c:pt idx="17">
                  <c:v>93.345177844908193</c:v>
                </c:pt>
                <c:pt idx="18">
                  <c:v>92.059475572149353</c:v>
                </c:pt>
                <c:pt idx="19">
                  <c:v>90.771455262422904</c:v>
                </c:pt>
                <c:pt idx="20">
                  <c:v>89.481156530519058</c:v>
                </c:pt>
                <c:pt idx="21">
                  <c:v>88.188618960510695</c:v>
                </c:pt>
                <c:pt idx="22">
                  <c:v>86.893882100569272</c:v>
                </c:pt>
                <c:pt idx="23">
                  <c:v>85.596985457812025</c:v>
                </c:pt>
                <c:pt idx="24">
                  <c:v>84.29796849318096</c:v>
                </c:pt>
                <c:pt idx="25">
                  <c:v>82.996870616355352</c:v>
                </c:pt>
                <c:pt idx="26">
                  <c:v>81.693731180698308</c:v>
                </c:pt>
                <c:pt idx="27">
                  <c:v>81.043614492210409</c:v>
                </c:pt>
                <c:pt idx="28">
                  <c:v>81.047664930077076</c:v>
                </c:pt>
                <c:pt idx="29">
                  <c:v>81.05138817035305</c:v>
                </c:pt>
                <c:pt idx="30">
                  <c:v>81.054783793677302</c:v>
                </c:pt>
                <c:pt idx="31">
                  <c:v>81.057851386916369</c:v>
                </c:pt>
                <c:pt idx="32">
                  <c:v>81.060590543186251</c:v>
                </c:pt>
                <c:pt idx="33">
                  <c:v>81.063000861874229</c:v>
                </c:pt>
                <c:pt idx="34">
                  <c:v>81.065081948660406</c:v>
                </c:pt>
                <c:pt idx="35">
                  <c:v>81.066833415539094</c:v>
                </c:pt>
                <c:pt idx="36">
                  <c:v>81.069288681009837</c:v>
                </c:pt>
                <c:pt idx="37">
                  <c:v>81.071406430999289</c:v>
                </c:pt>
                <c:pt idx="38">
                  <c:v>81.073171608428268</c:v>
                </c:pt>
                <c:pt idx="39">
                  <c:v>81.074584869337457</c:v>
                </c:pt>
                <c:pt idx="40">
                  <c:v>81.07564680202475</c:v>
                </c:pt>
                <c:pt idx="41">
                  <c:v>81.076357934193368</c:v>
                </c:pt>
                <c:pt idx="42">
                  <c:v>81.076718739254275</c:v>
                </c:pt>
                <c:pt idx="43">
                  <c:v>81.076729641901537</c:v>
                </c:pt>
                <c:pt idx="44">
                  <c:v>81.076391023059657</c:v>
                </c:pt>
                <c:pt idx="45">
                  <c:v>81.075703224286769</c:v>
                </c:pt>
                <c:pt idx="46">
                  <c:v>81.074666551705036</c:v>
                </c:pt>
                <c:pt idx="47">
                  <c:v>81.073281279517602</c:v>
                </c:pt>
                <c:pt idx="48">
                  <c:v>81.071547653164899</c:v>
                </c:pt>
                <c:pt idx="49">
                  <c:v>81.069465892163322</c:v>
                </c:pt>
                <c:pt idx="50">
                  <c:v>81.067036192664858</c:v>
                </c:pt>
                <c:pt idx="51">
                  <c:v>81.064258729769847</c:v>
                </c:pt>
                <c:pt idx="52">
                  <c:v>81.061133659621845</c:v>
                </c:pt>
                <c:pt idx="53">
                  <c:v>81.057661121308428</c:v>
                </c:pt>
                <c:pt idx="54">
                  <c:v>81.053841238589769</c:v>
                </c:pt>
                <c:pt idx="55">
                  <c:v>81.049674121473558</c:v>
                </c:pt>
                <c:pt idx="56">
                  <c:v>81.045159867652302</c:v>
                </c:pt>
                <c:pt idx="57">
                  <c:v>81.040298563817998</c:v>
                </c:pt>
                <c:pt idx="58">
                  <c:v>81.035090286865838</c:v>
                </c:pt>
                <c:pt idx="59">
                  <c:v>81.029535104998857</c:v>
                </c:pt>
                <c:pt idx="60">
                  <c:v>81.023633078742989</c:v>
                </c:pt>
                <c:pt idx="61">
                  <c:v>81.017384261881247</c:v>
                </c:pt>
                <c:pt idx="62">
                  <c:v>81.010788702314784</c:v>
                </c:pt>
                <c:pt idx="63">
                  <c:v>81.00384644285765</c:v>
                </c:pt>
                <c:pt idx="64">
                  <c:v>80.99655752197144</c:v>
                </c:pt>
                <c:pt idx="65">
                  <c:v>80.988921974445233</c:v>
                </c:pt>
                <c:pt idx="66">
                  <c:v>80.980939832025683</c:v>
                </c:pt>
                <c:pt idx="67">
                  <c:v>80.97261112400183</c:v>
                </c:pt>
                <c:pt idx="68">
                  <c:v>80.963935877748142</c:v>
                </c:pt>
                <c:pt idx="69">
                  <c:v>80.954914119229898</c:v>
                </c:pt>
                <c:pt idx="70">
                  <c:v>80.945545873473634</c:v>
                </c:pt>
                <c:pt idx="71">
                  <c:v>80.935831165005638</c:v>
                </c:pt>
                <c:pt idx="72">
                  <c:v>80.918274694028767</c:v>
                </c:pt>
                <c:pt idx="73">
                  <c:v>80.892864928126784</c:v>
                </c:pt>
                <c:pt idx="74">
                  <c:v>80.867092633364052</c:v>
                </c:pt>
                <c:pt idx="75">
                  <c:v>80.84095801142719</c:v>
                </c:pt>
                <c:pt idx="76">
                  <c:v>80.814461265743631</c:v>
                </c:pt>
                <c:pt idx="77">
                  <c:v>80.787602601774552</c:v>
                </c:pt>
                <c:pt idx="78">
                  <c:v>80.760382227289327</c:v>
                </c:pt>
                <c:pt idx="79">
                  <c:v>80.732800352622817</c:v>
                </c:pt>
                <c:pt idx="80">
                  <c:v>80.704857190916272</c:v>
                </c:pt>
                <c:pt idx="81">
                  <c:v>80.676552958343777</c:v>
                </c:pt>
                <c:pt idx="82">
                  <c:v>80.647887874324525</c:v>
                </c:pt>
                <c:pt idx="83">
                  <c:v>80.618862161722404</c:v>
                </c:pt>
                <c:pt idx="84">
                  <c:v>80.589476047033514</c:v>
                </c:pt>
                <c:pt idx="85">
                  <c:v>80.55972976056259</c:v>
                </c:pt>
                <c:pt idx="86">
                  <c:v>80.529623536589028</c:v>
                </c:pt>
                <c:pt idx="87">
                  <c:v>80.499157613522897</c:v>
                </c:pt>
                <c:pt idx="88">
                  <c:v>80.468332234052269</c:v>
                </c:pt>
                <c:pt idx="89">
                  <c:v>80.437147645281655</c:v>
                </c:pt>
                <c:pt idx="90">
                  <c:v>80.405604098862668</c:v>
                </c:pt>
                <c:pt idx="91">
                  <c:v>80.373701851117133</c:v>
                </c:pt>
                <c:pt idx="92">
                  <c:v>80.341441163153092</c:v>
                </c:pt>
                <c:pt idx="93">
                  <c:v>80.308822300974398</c:v>
                </c:pt>
                <c:pt idx="94">
                  <c:v>80.275845535583869</c:v>
                </c:pt>
                <c:pt idx="95">
                  <c:v>80.242511143080691</c:v>
                </c:pt>
                <c:pt idx="96">
                  <c:v>80.20881940475239</c:v>
                </c:pt>
                <c:pt idx="97">
                  <c:v>80.17477060716152</c:v>
                </c:pt>
                <c:pt idx="98">
                  <c:v>80.140365042227444</c:v>
                </c:pt>
                <c:pt idx="99">
                  <c:v>80.105603007303444</c:v>
                </c:pt>
                <c:pt idx="100">
                  <c:v>80.07048480524972</c:v>
                </c:pt>
                <c:pt idx="101">
                  <c:v>80.035010744501875</c:v>
                </c:pt>
                <c:pt idx="102">
                  <c:v>79.999181139135686</c:v>
                </c:pt>
                <c:pt idx="103">
                  <c:v>79.96299630892814</c:v>
                </c:pt>
                <c:pt idx="104">
                  <c:v>79.926456579415031</c:v>
                </c:pt>
                <c:pt idx="105">
                  <c:v>79.889562281944933</c:v>
                </c:pt>
                <c:pt idx="106">
                  <c:v>79.8523137537303</c:v>
                </c:pt>
                <c:pt idx="107">
                  <c:v>79.814711337895389</c:v>
                </c:pt>
                <c:pt idx="108">
                  <c:v>79.776755383521376</c:v>
                </c:pt>
                <c:pt idx="109">
                  <c:v>79.738446245688664</c:v>
                </c:pt>
                <c:pt idx="110">
                  <c:v>79.699784285516614</c:v>
                </c:pt>
                <c:pt idx="111">
                  <c:v>79.660769870200838</c:v>
                </c:pt>
                <c:pt idx="112">
                  <c:v>79.621403373047954</c:v>
                </c:pt>
                <c:pt idx="113">
                  <c:v>79.581685173508447</c:v>
                </c:pt>
                <c:pt idx="114">
                  <c:v>79.541615657206847</c:v>
                </c:pt>
                <c:pt idx="115">
                  <c:v>79.501195215970171</c:v>
                </c:pt>
                <c:pt idx="116">
                  <c:v>79.460424247854434</c:v>
                </c:pt>
                <c:pt idx="117">
                  <c:v>79.419303157168954</c:v>
                </c:pt>
                <c:pt idx="118">
                  <c:v>79.377832354499148</c:v>
                </c:pt>
                <c:pt idx="119">
                  <c:v>79.336012256727315</c:v>
                </c:pt>
                <c:pt idx="120">
                  <c:v>79.293843287052027</c:v>
                </c:pt>
                <c:pt idx="121">
                  <c:v>79.25132587500562</c:v>
                </c:pt>
                <c:pt idx="122">
                  <c:v>79.208460456470348</c:v>
                </c:pt>
                <c:pt idx="123">
                  <c:v>79.165247473692887</c:v>
                </c:pt>
                <c:pt idx="124">
                  <c:v>79.121687375297554</c:v>
                </c:pt>
                <c:pt idx="125">
                  <c:v>79.077780616298043</c:v>
                </c:pt>
                <c:pt idx="126">
                  <c:v>79.033527658107872</c:v>
                </c:pt>
                <c:pt idx="127">
                  <c:v>78.988928968549487</c:v>
                </c:pt>
                <c:pt idx="128">
                  <c:v>78.943985021862247</c:v>
                </c:pt>
                <c:pt idx="129">
                  <c:v>78.86407339050767</c:v>
                </c:pt>
                <c:pt idx="130">
                  <c:v>78.749149872823921</c:v>
                </c:pt>
                <c:pt idx="131">
                  <c:v>78.63382537551503</c:v>
                </c:pt>
                <c:pt idx="132">
                  <c:v>78.518101332769419</c:v>
                </c:pt>
                <c:pt idx="133">
                  <c:v>78.401979185804493</c:v>
                </c:pt>
                <c:pt idx="134">
                  <c:v>78.285460382824908</c:v>
                </c:pt>
                <c:pt idx="135">
                  <c:v>78.168546378979443</c:v>
                </c:pt>
                <c:pt idx="136">
                  <c:v>78.051238636316924</c:v>
                </c:pt>
                <c:pt idx="137">
                  <c:v>77.933538623741043</c:v>
                </c:pt>
                <c:pt idx="138">
                  <c:v>77.815447816964095</c:v>
                </c:pt>
                <c:pt idx="139">
                  <c:v>77.696967698459758</c:v>
                </c:pt>
                <c:pt idx="140">
                  <c:v>77.578099757414932</c:v>
                </c:pt>
                <c:pt idx="141">
                  <c:v>77.458845489680655</c:v>
                </c:pt>
                <c:pt idx="142">
                  <c:v>77.339206397722094</c:v>
                </c:pt>
                <c:pt idx="143">
                  <c:v>77.219183990567615</c:v>
                </c:pt>
                <c:pt idx="144">
                  <c:v>77.098779783757266</c:v>
                </c:pt>
                <c:pt idx="145">
                  <c:v>76.977995299290129</c:v>
                </c:pt>
                <c:pt idx="146">
                  <c:v>76.856832065571211</c:v>
                </c:pt>
                <c:pt idx="147">
                  <c:v>76.735291617357305</c:v>
                </c:pt>
                <c:pt idx="148">
                  <c:v>76.613375495702329</c:v>
                </c:pt>
                <c:pt idx="149">
                  <c:v>76.491085247901992</c:v>
                </c:pt>
                <c:pt idx="150">
                  <c:v>76.368422427437523</c:v>
                </c:pt>
                <c:pt idx="151">
                  <c:v>76.245388593919131</c:v>
                </c:pt>
                <c:pt idx="152">
                  <c:v>76.121985313028475</c:v>
                </c:pt>
                <c:pt idx="153">
                  <c:v>75.998214156460804</c:v>
                </c:pt>
                <c:pt idx="154">
                  <c:v>75.874076701866358</c:v>
                </c:pt>
                <c:pt idx="155">
                  <c:v>75.749574532791229</c:v>
                </c:pt>
                <c:pt idx="156">
                  <c:v>75.624709238617768</c:v>
                </c:pt>
                <c:pt idx="157">
                  <c:v>75.499482414504328</c:v>
                </c:pt>
                <c:pt idx="158">
                  <c:v>75.37389566132461</c:v>
                </c:pt>
                <c:pt idx="159">
                  <c:v>75.247950585606361</c:v>
                </c:pt>
                <c:pt idx="160">
                  <c:v>75.121648799469924</c:v>
                </c:pt>
                <c:pt idx="161">
                  <c:v>74.994991920565838</c:v>
                </c:pt>
                <c:pt idx="162">
                  <c:v>74.867981572012539</c:v>
                </c:pt>
                <c:pt idx="163">
                  <c:v>74.740619382333179</c:v>
                </c:pt>
                <c:pt idx="164">
                  <c:v>74.612906985392272</c:v>
                </c:pt>
                <c:pt idx="165">
                  <c:v>74.484846020331929</c:v>
                </c:pt>
                <c:pt idx="166">
                  <c:v>74.356438131507645</c:v>
                </c:pt>
                <c:pt idx="167">
                  <c:v>74.227684968423731</c:v>
                </c:pt>
                <c:pt idx="168">
                  <c:v>74.098588185668476</c:v>
                </c:pt>
                <c:pt idx="169">
                  <c:v>73.969149442848746</c:v>
                </c:pt>
                <c:pt idx="170">
                  <c:v>73.839370404524573</c:v>
                </c:pt>
                <c:pt idx="171">
                  <c:v>73.709252740143185</c:v>
                </c:pt>
                <c:pt idx="172">
                  <c:v>73.578798123972803</c:v>
                </c:pt>
                <c:pt idx="173">
                  <c:v>73.448008235036113</c:v>
                </c:pt>
                <c:pt idx="174">
                  <c:v>73.316884757043553</c:v>
                </c:pt>
                <c:pt idx="175">
                  <c:v>73.185429378326234</c:v>
                </c:pt>
                <c:pt idx="176">
                  <c:v>73.053643791768707</c:v>
                </c:pt>
                <c:pt idx="177">
                  <c:v>72.921529694741238</c:v>
                </c:pt>
                <c:pt idx="178">
                  <c:v>72.789088789032292</c:v>
                </c:pt>
                <c:pt idx="179">
                  <c:v>72.656322780780187</c:v>
                </c:pt>
                <c:pt idx="180">
                  <c:v>72.523233380405202</c:v>
                </c:pt>
                <c:pt idx="181">
                  <c:v>72.389822302540921</c:v>
                </c:pt>
                <c:pt idx="182">
                  <c:v>72.256091265965722</c:v>
                </c:pt>
                <c:pt idx="183">
                  <c:v>72.122041993533855</c:v>
                </c:pt>
                <c:pt idx="184">
                  <c:v>71.987676212106521</c:v>
                </c:pt>
                <c:pt idx="185">
                  <c:v>71.852995652482775</c:v>
                </c:pt>
                <c:pt idx="186">
                  <c:v>71.718002049330025</c:v>
                </c:pt>
                <c:pt idx="187">
                  <c:v>71.582697141114792</c:v>
                </c:pt>
                <c:pt idx="188">
                  <c:v>71.447082670032927</c:v>
                </c:pt>
                <c:pt idx="189">
                  <c:v>71.31116038193997</c:v>
                </c:pt>
                <c:pt idx="190">
                  <c:v>71.174932026281255</c:v>
                </c:pt>
                <c:pt idx="191">
                  <c:v>71.038399356021941</c:v>
                </c:pt>
                <c:pt idx="192">
                  <c:v>70.901564127576989</c:v>
                </c:pt>
                <c:pt idx="193">
                  <c:v>70.764428100740858</c:v>
                </c:pt>
                <c:pt idx="194">
                  <c:v>70.626993038617428</c:v>
                </c:pt>
                <c:pt idx="195">
                  <c:v>70.489260707549448</c:v>
                </c:pt>
                <c:pt idx="196">
                  <c:v>70.351232877048247</c:v>
                </c:pt>
                <c:pt idx="197">
                  <c:v>70.212911319723247</c:v>
                </c:pt>
                <c:pt idx="198">
                  <c:v>70.074297811211395</c:v>
                </c:pt>
                <c:pt idx="199">
                  <c:v>69.935394130106502</c:v>
                </c:pt>
                <c:pt idx="200">
                  <c:v>69.796202057888735</c:v>
                </c:pt>
                <c:pt idx="201">
                  <c:v>69.656723378853812</c:v>
                </c:pt>
                <c:pt idx="202">
                  <c:v>69.516959880042407</c:v>
                </c:pt>
                <c:pt idx="203">
                  <c:v>69.37691335116935</c:v>
                </c:pt>
                <c:pt idx="204">
                  <c:v>69.236585584552955</c:v>
                </c:pt>
                <c:pt idx="205">
                  <c:v>69.095978375044155</c:v>
                </c:pt>
                <c:pt idx="206">
                  <c:v>68.946628009934557</c:v>
                </c:pt>
                <c:pt idx="207">
                  <c:v>68.788529164493923</c:v>
                </c:pt>
                <c:pt idx="208">
                  <c:v>68.630149387606622</c:v>
                </c:pt>
                <c:pt idx="209">
                  <c:v>68.4714907236268</c:v>
                </c:pt>
                <c:pt idx="210">
                  <c:v>68.312555218552461</c:v>
                </c:pt>
                <c:pt idx="211">
                  <c:v>68.153344919943706</c:v>
                </c:pt>
                <c:pt idx="212">
                  <c:v>67.993861876840839</c:v>
                </c:pt>
                <c:pt idx="213">
                  <c:v>67.834108139682868</c:v>
                </c:pt>
                <c:pt idx="214">
                  <c:v>67.674085760225907</c:v>
                </c:pt>
                <c:pt idx="215">
                  <c:v>67.513796791461772</c:v>
                </c:pt>
                <c:pt idx="216">
                  <c:v>67.353243287536756</c:v>
                </c:pt>
                <c:pt idx="217">
                  <c:v>67.192427303670542</c:v>
                </c:pt>
                <c:pt idx="218">
                  <c:v>67.031350896075224</c:v>
                </c:pt>
                <c:pt idx="219">
                  <c:v>66.870016121874485</c:v>
                </c:pt>
                <c:pt idx="220">
                  <c:v>66.708425039023027</c:v>
                </c:pt>
                <c:pt idx="221">
                  <c:v>66.546579706226112</c:v>
                </c:pt>
                <c:pt idx="222">
                  <c:v>66.384482182859188</c:v>
                </c:pt>
                <c:pt idx="223">
                  <c:v>66.222134528887864</c:v>
                </c:pt>
                <c:pt idx="224">
                  <c:v>66.059538804787977</c:v>
                </c:pt>
                <c:pt idx="225">
                  <c:v>65.896697071465894</c:v>
                </c:pt>
                <c:pt idx="226">
                  <c:v>65.733611390179007</c:v>
                </c:pt>
                <c:pt idx="227">
                  <c:v>65.570283822456403</c:v>
                </c:pt>
                <c:pt idx="228">
                  <c:v>65.406716430019799</c:v>
                </c:pt>
                <c:pt idx="229">
                  <c:v>65.242911274704667</c:v>
                </c:pt>
                <c:pt idx="230">
                  <c:v>65.078870418381598</c:v>
                </c:pt>
                <c:pt idx="231">
                  <c:v>64.914595922877879</c:v>
                </c:pt>
                <c:pt idx="232">
                  <c:v>64.750089849899339</c:v>
                </c:pt>
                <c:pt idx="233">
                  <c:v>64.585354260952414</c:v>
                </c:pt>
                <c:pt idx="234">
                  <c:v>64.42039121726647</c:v>
                </c:pt>
                <c:pt idx="235">
                  <c:v>64.255202779716413</c:v>
                </c:pt>
                <c:pt idx="236">
                  <c:v>64.089791008745422</c:v>
                </c:pt>
                <c:pt idx="237">
                  <c:v>63.924157964288199</c:v>
                </c:pt>
                <c:pt idx="238">
                  <c:v>63.758305705694156</c:v>
                </c:pt>
                <c:pt idx="239">
                  <c:v>63.592236291651233</c:v>
                </c:pt>
                <c:pt idx="240">
                  <c:v>63.425951780109742</c:v>
                </c:pt>
                <c:pt idx="241">
                  <c:v>63.259454228206572</c:v>
                </c:pt>
                <c:pt idx="242">
                  <c:v>63.063432529907232</c:v>
                </c:pt>
                <c:pt idx="243">
                  <c:v>62.837870448835574</c:v>
                </c:pt>
                <c:pt idx="244">
                  <c:v>62.612089313285381</c:v>
                </c:pt>
                <c:pt idx="245">
                  <c:v>62.386092032792604</c:v>
                </c:pt>
                <c:pt idx="246">
                  <c:v>62.159881512475259</c:v>
                </c:pt>
                <c:pt idx="247">
                  <c:v>61.933460652922392</c:v>
                </c:pt>
                <c:pt idx="248">
                  <c:v>61.706832350083907</c:v>
                </c:pt>
                <c:pt idx="249">
                  <c:v>61.479999495160904</c:v>
                </c:pt>
                <c:pt idx="250">
                  <c:v>61.252964974496919</c:v>
                </c:pt>
                <c:pt idx="251">
                  <c:v>61.025731669469948</c:v>
                </c:pt>
                <c:pt idx="252">
                  <c:v>60.798302456385102</c:v>
                </c:pt>
                <c:pt idx="253">
                  <c:v>60.570680206368067</c:v>
                </c:pt>
                <c:pt idx="254">
                  <c:v>60.34286778525933</c:v>
                </c:pt>
                <c:pt idx="255">
                  <c:v>60.114868053509156</c:v>
                </c:pt>
                <c:pt idx="256">
                  <c:v>59.886683866073419</c:v>
                </c:pt>
                <c:pt idx="257">
                  <c:v>59.65831807231006</c:v>
                </c:pt>
                <c:pt idx="258">
                  <c:v>59.429773515876484</c:v>
                </c:pt>
                <c:pt idx="259">
                  <c:v>59.201053034627705</c:v>
                </c:pt>
                <c:pt idx="260">
                  <c:v>58.972159460515115</c:v>
                </c:pt>
                <c:pt idx="261">
                  <c:v>58.743095619486425</c:v>
                </c:pt>
                <c:pt idx="262">
                  <c:v>58.513864331385953</c:v>
                </c:pt>
                <c:pt idx="263">
                  <c:v>58.284468409856103</c:v>
                </c:pt>
                <c:pt idx="264">
                  <c:v>58.054910662239479</c:v>
                </c:pt>
                <c:pt idx="265">
                  <c:v>57.825193889481753</c:v>
                </c:pt>
                <c:pt idx="266">
                  <c:v>57.59532088603558</c:v>
                </c:pt>
                <c:pt idx="267">
                  <c:v>57.365294439765023</c:v>
                </c:pt>
                <c:pt idx="268">
                  <c:v>57.135117331851156</c:v>
                </c:pt>
                <c:pt idx="269">
                  <c:v>56.904792336698229</c:v>
                </c:pt>
                <c:pt idx="270">
                  <c:v>56.674322221840782</c:v>
                </c:pt>
                <c:pt idx="271">
                  <c:v>56.443709747851543</c:v>
                </c:pt>
                <c:pt idx="272">
                  <c:v>56.212957668250297</c:v>
                </c:pt>
                <c:pt idx="273">
                  <c:v>55.982068729413406</c:v>
                </c:pt>
                <c:pt idx="274">
                  <c:v>55.751045670484395</c:v>
                </c:pt>
                <c:pt idx="275">
                  <c:v>55.519891223285107</c:v>
                </c:pt>
                <c:pt idx="276">
                  <c:v>55.28860811222809</c:v>
                </c:pt>
                <c:pt idx="277">
                  <c:v>55.057199054229457</c:v>
                </c:pt>
                <c:pt idx="278">
                  <c:v>54.825666758622916</c:v>
                </c:pt>
                <c:pt idx="279">
                  <c:v>54.594013927074379</c:v>
                </c:pt>
                <c:pt idx="280">
                  <c:v>54.362243253497773</c:v>
                </c:pt>
                <c:pt idx="281">
                  <c:v>54.130357423971361</c:v>
                </c:pt>
                <c:pt idx="282">
                  <c:v>53.898359116655215</c:v>
                </c:pt>
                <c:pt idx="283">
                  <c:v>53.666251001709412</c:v>
                </c:pt>
                <c:pt idx="284">
                  <c:v>53.468513255971182</c:v>
                </c:pt>
                <c:pt idx="285">
                  <c:v>53.30516003762822</c:v>
                </c:pt>
                <c:pt idx="286">
                  <c:v>53.1417017819374</c:v>
                </c:pt>
                <c:pt idx="287">
                  <c:v>52.978140227511993</c:v>
                </c:pt>
                <c:pt idx="288">
                  <c:v>52.814477109223184</c:v>
                </c:pt>
                <c:pt idx="289">
                  <c:v>52.650714158152113</c:v>
                </c:pt>
                <c:pt idx="290">
                  <c:v>52.486853101542394</c:v>
                </c:pt>
                <c:pt idx="291">
                  <c:v>52.322895662752771</c:v>
                </c:pt>
                <c:pt idx="292">
                  <c:v>52.158843561210581</c:v>
                </c:pt>
                <c:pt idx="293">
                  <c:v>51.99469851236519</c:v>
                </c:pt>
                <c:pt idx="294">
                  <c:v>51.830462227642144</c:v>
                </c:pt>
                <c:pt idx="295">
                  <c:v>51.666136414397513</c:v>
                </c:pt>
                <c:pt idx="296">
                  <c:v>51.501722775872736</c:v>
                </c:pt>
                <c:pt idx="297">
                  <c:v>51.337223011149852</c:v>
                </c:pt>
                <c:pt idx="298">
                  <c:v>51.172638815107121</c:v>
                </c:pt>
                <c:pt idx="299">
                  <c:v>51.007971878375038</c:v>
                </c:pt>
                <c:pt idx="300">
                  <c:v>50.843223887292794</c:v>
                </c:pt>
                <c:pt idx="301">
                  <c:v>50.678396523865018</c:v>
                </c:pt>
                <c:pt idx="302">
                  <c:v>50.513491465719149</c:v>
                </c:pt>
                <c:pt idx="303">
                  <c:v>50.348510386062998</c:v>
                </c:pt>
                <c:pt idx="304">
                  <c:v>50.183454953642794</c:v>
                </c:pt>
                <c:pt idx="305">
                  <c:v>50.018326832701682</c:v>
                </c:pt>
                <c:pt idx="306">
                  <c:v>49.853127682938606</c:v>
                </c:pt>
                <c:pt idx="307">
                  <c:v>49.687859159467465</c:v>
                </c:pt>
                <c:pt idx="308">
                  <c:v>49.522522912776985</c:v>
                </c:pt>
                <c:pt idx="309">
                  <c:v>49.357120588690677</c:v>
                </c:pt>
                <c:pt idx="310">
                  <c:v>49.191653828327432</c:v>
                </c:pt>
                <c:pt idx="311">
                  <c:v>49.026124268062347</c:v>
                </c:pt>
                <c:pt idx="312">
                  <c:v>48.860533539488117</c:v>
                </c:pt>
                <c:pt idx="313">
                  <c:v>48.694883269376852</c:v>
                </c:pt>
                <c:pt idx="314">
                  <c:v>48.529175079642066</c:v>
                </c:pt>
                <c:pt idx="315">
                  <c:v>48.363410587301402</c:v>
                </c:pt>
                <c:pt idx="316">
                  <c:v>48.197591404439535</c:v>
                </c:pt>
                <c:pt idx="317">
                  <c:v>48.031719138171596</c:v>
                </c:pt>
                <c:pt idx="318">
                  <c:v>47.865795390606991</c:v>
                </c:pt>
                <c:pt idx="319">
                  <c:v>47.699821758813613</c:v>
                </c:pt>
                <c:pt idx="320">
                  <c:v>47.533799834782513</c:v>
                </c:pt>
                <c:pt idx="321">
                  <c:v>47.367731205392886</c:v>
                </c:pt>
                <c:pt idx="322">
                  <c:v>47.201617452377654</c:v>
                </c:pt>
                <c:pt idx="323">
                  <c:v>47.035460152289254</c:v>
                </c:pt>
                <c:pt idx="324">
                  <c:v>46.869260876465987</c:v>
                </c:pt>
                <c:pt idx="325">
                  <c:v>46.703021190998768</c:v>
                </c:pt>
                <c:pt idx="326">
                  <c:v>46.538864064175144</c:v>
                </c:pt>
                <c:pt idx="327">
                  <c:v>46.376791297946689</c:v>
                </c:pt>
                <c:pt idx="328">
                  <c:v>46.214681768582835</c:v>
                </c:pt>
                <c:pt idx="329">
                  <c:v>46.052536975207836</c:v>
                </c:pt>
                <c:pt idx="330">
                  <c:v>45.890358411809004</c:v>
                </c:pt>
                <c:pt idx="331">
                  <c:v>45.72814756720679</c:v>
                </c:pt>
                <c:pt idx="332">
                  <c:v>45.565905925025376</c:v>
                </c:pt>
                <c:pt idx="333">
                  <c:v>45.403634963663606</c:v>
                </c:pt>
                <c:pt idx="334">
                  <c:v>45.241336156266222</c:v>
                </c:pt>
                <c:pt idx="335">
                  <c:v>45.079010970695606</c:v>
                </c:pt>
                <c:pt idx="336">
                  <c:v>44.916660869503886</c:v>
                </c:pt>
                <c:pt idx="337">
                  <c:v>44.754287309905351</c:v>
                </c:pt>
                <c:pt idx="338">
                  <c:v>44.591891743749379</c:v>
                </c:pt>
                <c:pt idx="339">
                  <c:v>44.429475617493658</c:v>
                </c:pt>
                <c:pt idx="340">
                  <c:v>44.267040372177803</c:v>
                </c:pt>
                <c:pt idx="341">
                  <c:v>44.104587443397463</c:v>
                </c:pt>
                <c:pt idx="342">
                  <c:v>43.942118261278729</c:v>
                </c:pt>
                <c:pt idx="343">
                  <c:v>43.779634250452823</c:v>
                </c:pt>
                <c:pt idx="344">
                  <c:v>43.617136830031455</c:v>
                </c:pt>
                <c:pt idx="345">
                  <c:v>43.454627413582273</c:v>
                </c:pt>
                <c:pt idx="346">
                  <c:v>43.292107409104901</c:v>
                </c:pt>
                <c:pt idx="347">
                  <c:v>43.129578219007264</c:v>
                </c:pt>
                <c:pt idx="348">
                  <c:v>42.967041240082324</c:v>
                </c:pt>
                <c:pt idx="349">
                  <c:v>42.804497863485182</c:v>
                </c:pt>
                <c:pt idx="350">
                  <c:v>42.641949474710607</c:v>
                </c:pt>
                <c:pt idx="351">
                  <c:v>42.479397453570826</c:v>
                </c:pt>
                <c:pt idx="352">
                  <c:v>42.316843174173933</c:v>
                </c:pt>
                <c:pt idx="353">
                  <c:v>42.154288004902433</c:v>
                </c:pt>
                <c:pt idx="354">
                  <c:v>41.991733308392213</c:v>
                </c:pt>
                <c:pt idx="355">
                  <c:v>41.829180441512094</c:v>
                </c:pt>
                <c:pt idx="356">
                  <c:v>41.666630755343441</c:v>
                </c:pt>
                <c:pt idx="357">
                  <c:v>41.504085595160412</c:v>
                </c:pt>
                <c:pt idx="358">
                  <c:v>41.341546300410464</c:v>
                </c:pt>
                <c:pt idx="359">
                  <c:v>41.17901420469525</c:v>
                </c:pt>
                <c:pt idx="360">
                  <c:v>41.016490635751893</c:v>
                </c:pt>
                <c:pt idx="361">
                  <c:v>40.853976915434636</c:v>
                </c:pt>
                <c:pt idx="362">
                  <c:v>40.691474359696869</c:v>
                </c:pt>
                <c:pt idx="363">
                  <c:v>40.528984278573461</c:v>
                </c:pt>
                <c:pt idx="364">
                  <c:v>40.366507976163611</c:v>
                </c:pt>
                <c:pt idx="365">
                  <c:v>40.204046750613941</c:v>
                </c:pt>
                <c:pt idx="366">
                  <c:v>40.095455663939347</c:v>
                </c:pt>
                <c:pt idx="367">
                  <c:v>40.040731974575309</c:v>
                </c:pt>
                <c:pt idx="368">
                  <c:v>39.985983201407194</c:v>
                </c:pt>
                <c:pt idx="369">
                  <c:v>39.931209769416114</c:v>
                </c:pt>
                <c:pt idx="370">
                  <c:v>39.87641210282429</c:v>
                </c:pt>
                <c:pt idx="371">
                  <c:v>39.821590625088909</c:v>
                </c:pt>
                <c:pt idx="372">
                  <c:v>39.766745758895958</c:v>
                </c:pt>
                <c:pt idx="373">
                  <c:v>39.711877926154216</c:v>
                </c:pt>
                <c:pt idx="374">
                  <c:v>39.656987547989161</c:v>
                </c:pt>
                <c:pt idx="375">
                  <c:v>39.602075044737077</c:v>
                </c:pt>
                <c:pt idx="376">
                  <c:v>39.547140835939018</c:v>
                </c:pt>
                <c:pt idx="377">
                  <c:v>39.492185340335013</c:v>
                </c:pt>
                <c:pt idx="378">
                  <c:v>39.437208975858098</c:v>
                </c:pt>
                <c:pt idx="379">
                  <c:v>39.382212159628615</c:v>
                </c:pt>
                <c:pt idx="380">
                  <c:v>39.327195307948401</c:v>
                </c:pt>
                <c:pt idx="381">
                  <c:v>39.214005022607573</c:v>
                </c:pt>
                <c:pt idx="382">
                  <c:v>39.0426482693738</c:v>
                </c:pt>
                <c:pt idx="383">
                  <c:v>38.871324643197347</c:v>
                </c:pt>
                <c:pt idx="384">
                  <c:v>38.700035465630101</c:v>
                </c:pt>
                <c:pt idx="385">
                  <c:v>38.528782051407404</c:v>
                </c:pt>
                <c:pt idx="386">
                  <c:v>38.357565708435317</c:v>
                </c:pt>
                <c:pt idx="387">
                  <c:v>38.186387737778297</c:v>
                </c:pt>
                <c:pt idx="388">
                  <c:v>38.015249433647277</c:v>
                </c:pt>
                <c:pt idx="389">
                  <c:v>37.844152083388138</c:v>
                </c:pt>
                <c:pt idx="390">
                  <c:v>37.673096967470542</c:v>
                </c:pt>
                <c:pt idx="391">
                  <c:v>37.502085359477235</c:v>
                </c:pt>
                <c:pt idx="392">
                  <c:v>37.33111852609359</c:v>
                </c:pt>
                <c:pt idx="393">
                  <c:v>37.160197727097696</c:v>
                </c:pt>
                <c:pt idx="394">
                  <c:v>36.989324215350791</c:v>
                </c:pt>
                <c:pt idx="395">
                  <c:v>36.818499236787957</c:v>
                </c:pt>
                <c:pt idx="396">
                  <c:v>36.647724030409371</c:v>
                </c:pt>
                <c:pt idx="397">
                  <c:v>36.476999828271779</c:v>
                </c:pt>
                <c:pt idx="398">
                  <c:v>36.306327855480475</c:v>
                </c:pt>
                <c:pt idx="399">
                  <c:v>36.135709330181598</c:v>
                </c:pt>
                <c:pt idx="400">
                  <c:v>35.965145463554755</c:v>
                </c:pt>
                <c:pt idx="401">
                  <c:v>35.748964469399908</c:v>
                </c:pt>
                <c:pt idx="402">
                  <c:v>35.487177223685642</c:v>
                </c:pt>
                <c:pt idx="403">
                  <c:v>35.225497038543224</c:v>
                </c:pt>
                <c:pt idx="404">
                  <c:v>34.963926028750187</c:v>
                </c:pt>
                <c:pt idx="405">
                  <c:v>34.702466293980642</c:v>
                </c:pt>
                <c:pt idx="406">
                  <c:v>34.441119918798258</c:v>
                </c:pt>
                <c:pt idx="407">
                  <c:v>34.179888972650375</c:v>
                </c:pt>
                <c:pt idx="408">
                  <c:v>33.918775509862996</c:v>
                </c:pt>
                <c:pt idx="409">
                  <c:v>33.657781569636718</c:v>
                </c:pt>
                <c:pt idx="410">
                  <c:v>33.396909176043543</c:v>
                </c:pt>
                <c:pt idx="411">
                  <c:v>32.884011025318223</c:v>
                </c:pt>
                <c:pt idx="412">
                  <c:v>32.119162073713795</c:v>
                </c:pt>
                <c:pt idx="413">
                  <c:v>31.354745123979114</c:v>
                </c:pt>
                <c:pt idx="414">
                  <c:v>30.59077145762086</c:v>
                </c:pt>
                <c:pt idx="415">
                  <c:v>29.82725224161598</c:v>
                </c:pt>
                <c:pt idx="416">
                  <c:v>29.064198528298668</c:v>
                </c:pt>
                <c:pt idx="417">
                  <c:v>28.301621255261928</c:v>
                </c:pt>
                <c:pt idx="418">
                  <c:v>27.539531245273349</c:v>
                </c:pt>
                <c:pt idx="419">
                  <c:v>26.777939206205083</c:v>
                </c:pt>
                <c:pt idx="420">
                  <c:v>25.873533478655819</c:v>
                </c:pt>
                <c:pt idx="421">
                  <c:v>24.826389508367562</c:v>
                </c:pt>
                <c:pt idx="422">
                  <c:v>23.779986557256663</c:v>
                </c:pt>
                <c:pt idx="423">
                  <c:v>22.734343139823967</c:v>
                </c:pt>
                <c:pt idx="424">
                  <c:v>21.689477555727947</c:v>
                </c:pt>
                <c:pt idx="425">
                  <c:v>20.645407889599021</c:v>
                </c:pt>
                <c:pt idx="426">
                  <c:v>19.602152010886698</c:v>
                </c:pt>
                <c:pt idx="427">
                  <c:v>18.559727573739139</c:v>
                </c:pt>
                <c:pt idx="428">
                  <c:v>17.518152016914645</c:v>
                </c:pt>
                <c:pt idx="429">
                  <c:v>16.477442563724999</c:v>
                </c:pt>
                <c:pt idx="430">
                  <c:v>15.437616222009966</c:v>
                </c:pt>
                <c:pt idx="431">
                  <c:v>14.39868978414269</c:v>
                </c:pt>
                <c:pt idx="432">
                  <c:v>13.129954118285735</c:v>
                </c:pt>
                <c:pt idx="433">
                  <c:v>11.631593438180214</c:v>
                </c:pt>
                <c:pt idx="434">
                  <c:v>10.134621758919309</c:v>
                </c:pt>
                <c:pt idx="435">
                  <c:v>8.6390722744196182</c:v>
                </c:pt>
                <c:pt idx="436">
                  <c:v>7.1449777305951852</c:v>
                </c:pt>
                <c:pt idx="437">
                  <c:v>5.652370425031604</c:v>
                </c:pt>
                <c:pt idx="438">
                  <c:v>4.1612822067462485</c:v>
                </c:pt>
                <c:pt idx="439">
                  <c:v>2.671744476033604</c:v>
                </c:pt>
                <c:pt idx="440">
                  <c:v>1.1837881843943094</c:v>
                </c:pt>
                <c:pt idx="441">
                  <c:v>-0.30255616545303177</c:v>
                </c:pt>
                <c:pt idx="442">
                  <c:v>-1.6472253530679977</c:v>
                </c:pt>
                <c:pt idx="443">
                  <c:v>-2.8503340640152635</c:v>
                </c:pt>
                <c:pt idx="444">
                  <c:v>-4.0520727804596754</c:v>
                </c:pt>
                <c:pt idx="445">
                  <c:v>-5.2524231657251708</c:v>
                </c:pt>
                <c:pt idx="446">
                  <c:v>-6.4513671756233801</c:v>
                </c:pt>
                <c:pt idx="447">
                  <c:v>-7.6488870578643331</c:v>
                </c:pt>
                <c:pt idx="448">
                  <c:v>-8.8449653514291562</c:v>
                </c:pt>
                <c:pt idx="449">
                  <c:v>-10.039584885905468</c:v>
                </c:pt>
                <c:pt idx="450">
                  <c:v>-11.232728780786001</c:v>
                </c:pt>
                <c:pt idx="451">
                  <c:v>-12.424380444731431</c:v>
                </c:pt>
                <c:pt idx="452">
                  <c:v>-13.614523574797616</c:v>
                </c:pt>
                <c:pt idx="453">
                  <c:v>-14.60273059349359</c:v>
                </c:pt>
                <c:pt idx="454">
                  <c:v>-15.389240895250577</c:v>
                </c:pt>
                <c:pt idx="455">
                  <c:v>-16.174737319403739</c:v>
                </c:pt>
                <c:pt idx="456">
                  <c:v>-16.959214435628304</c:v>
                </c:pt>
                <c:pt idx="457">
                  <c:v>-17.742666933536881</c:v>
                </c:pt>
                <c:pt idx="458">
                  <c:v>-18.525089622105693</c:v>
                </c:pt>
                <c:pt idx="459">
                  <c:v>-19.306477429094173</c:v>
                </c:pt>
                <c:pt idx="460">
                  <c:v>-20.086825400458203</c:v>
                </c:pt>
                <c:pt idx="461">
                  <c:v>-20.685823091153694</c:v>
                </c:pt>
                <c:pt idx="462">
                  <c:v>-21.103713626442165</c:v>
                </c:pt>
                <c:pt idx="463">
                  <c:v>-21.521060907742601</c:v>
                </c:pt>
                <c:pt idx="464">
                  <c:v>-21.937864693570937</c:v>
                </c:pt>
                <c:pt idx="465">
                  <c:v>-22.354124771474503</c:v>
                </c:pt>
                <c:pt idx="466">
                  <c:v>-22.921294395416474</c:v>
                </c:pt>
                <c:pt idx="467">
                  <c:v>-23.639159831631822</c:v>
                </c:pt>
                <c:pt idx="468">
                  <c:v>-26.042610858524988</c:v>
                </c:pt>
                <c:pt idx="469">
                  <c:v>-28.065215527793022</c:v>
                </c:pt>
                <c:pt idx="470">
                  <c:v>-28.020973802204971</c:v>
                </c:pt>
                <c:pt idx="471">
                  <c:v>-27.976861595412725</c:v>
                </c:pt>
                <c:pt idx="472">
                  <c:v>-27.932878397646199</c:v>
                </c:pt>
                <c:pt idx="473">
                  <c:v>-27.889023701657351</c:v>
                </c:pt>
                <c:pt idx="474">
                  <c:v>-27.845297002705212</c:v>
                </c:pt>
                <c:pt idx="475">
                  <c:v>-27.801697798540815</c:v>
                </c:pt>
                <c:pt idx="476">
                  <c:v>-27.758225589392325</c:v>
                </c:pt>
                <c:pt idx="477">
                  <c:v>-27.714879877950342</c:v>
                </c:pt>
                <c:pt idx="478">
                  <c:v>-27.671660169353107</c:v>
                </c:pt>
                <c:pt idx="479">
                  <c:v>-27.628565971172037</c:v>
                </c:pt>
                <c:pt idx="480">
                  <c:v>-27.58559679339718</c:v>
                </c:pt>
                <c:pt idx="481">
                  <c:v>-27.542752148422888</c:v>
                </c:pt>
                <c:pt idx="482">
                  <c:v>-27.500031551033572</c:v>
                </c:pt>
                <c:pt idx="483">
                  <c:v>-27.457434518389459</c:v>
                </c:pt>
                <c:pt idx="484">
                  <c:v>-27.414960570012553</c:v>
                </c:pt>
                <c:pt idx="485">
                  <c:v>-27.372609227772713</c:v>
                </c:pt>
                <c:pt idx="486">
                  <c:v>-27.330380015873679</c:v>
                </c:pt>
                <c:pt idx="487">
                  <c:v>-27.28827246083938</c:v>
                </c:pt>
                <c:pt idx="488">
                  <c:v>-27.246286091500192</c:v>
                </c:pt>
                <c:pt idx="489">
                  <c:v>-27.204420438979355</c:v>
                </c:pt>
                <c:pt idx="490">
                  <c:v>-27.162675036679502</c:v>
                </c:pt>
                <c:pt idx="491">
                  <c:v>-27.121049420269209</c:v>
                </c:pt>
                <c:pt idx="492">
                  <c:v>-27.079543127669709</c:v>
                </c:pt>
                <c:pt idx="493">
                  <c:v>-27.038155699041674</c:v>
                </c:pt>
                <c:pt idx="494">
                  <c:v>-26.996886676772078</c:v>
                </c:pt>
                <c:pt idx="495">
                  <c:v>-26.955735605461122</c:v>
                </c:pt>
                <c:pt idx="496">
                  <c:v>-26.914702031909357</c:v>
                </c:pt>
                <c:pt idx="497">
                  <c:v>-26.873785505104721</c:v>
                </c:pt>
                <c:pt idx="498">
                  <c:v>-26.832985576209857</c:v>
                </c:pt>
                <c:pt idx="499">
                  <c:v>-26.792301798549346</c:v>
                </c:pt>
                <c:pt idx="500">
                  <c:v>-26.751733727597184</c:v>
                </c:pt>
                <c:pt idx="501">
                  <c:v>-26.711280920964185</c:v>
                </c:pt>
                <c:pt idx="502">
                  <c:v>-26.310616115070946</c:v>
                </c:pt>
                <c:pt idx="503">
                  <c:v>-25.921166623762893</c:v>
                </c:pt>
                <c:pt idx="504">
                  <c:v>-25.542513318536464</c:v>
                </c:pt>
                <c:pt idx="505">
                  <c:v>-25.174256589241416</c:v>
                </c:pt>
                <c:pt idx="506">
                  <c:v>-24.816015251635385</c:v>
                </c:pt>
                <c:pt idx="507">
                  <c:v>-24.467425525790098</c:v>
                </c:pt>
                <c:pt idx="508">
                  <c:v>-24.128140080118399</c:v>
                </c:pt>
                <c:pt idx="509">
                  <c:v>-23.79782713622286</c:v>
                </c:pt>
                <c:pt idx="510">
                  <c:v>-23.47616963015836</c:v>
                </c:pt>
                <c:pt idx="511">
                  <c:v>-23.162864426058448</c:v>
                </c:pt>
                <c:pt idx="512">
                  <c:v>-22.857621578399318</c:v>
                </c:pt>
                <c:pt idx="513">
                  <c:v>-22.560163639472016</c:v>
                </c:pt>
                <c:pt idx="514">
                  <c:v>-22.270225008903115</c:v>
                </c:pt>
                <c:pt idx="515">
                  <c:v>-21.98755132231075</c:v>
                </c:pt>
                <c:pt idx="516">
                  <c:v>-21.711898876408409</c:v>
                </c:pt>
                <c:pt idx="517">
                  <c:v>-21.443034088074519</c:v>
                </c:pt>
                <c:pt idx="518">
                  <c:v>-21.180732985094799</c:v>
                </c:pt>
                <c:pt idx="519">
                  <c:v>-20.924780726456859</c:v>
                </c:pt>
                <c:pt idx="520">
                  <c:v>-20.674971150234818</c:v>
                </c:pt>
                <c:pt idx="521">
                  <c:v>-20.431106347247223</c:v>
                </c:pt>
                <c:pt idx="522">
                  <c:v>-20.192996258804399</c:v>
                </c:pt>
                <c:pt idx="523">
                  <c:v>-19.960458296984367</c:v>
                </c:pt>
                <c:pt idx="524">
                  <c:v>-19.73331698598874</c:v>
                </c:pt>
                <c:pt idx="525">
                  <c:v>-19.511403623233704</c:v>
                </c:pt>
                <c:pt idx="526">
                  <c:v>-19.294555958926619</c:v>
                </c:pt>
                <c:pt idx="527">
                  <c:v>-19.082617892966574</c:v>
                </c:pt>
                <c:pt idx="528">
                  <c:v>-18.875439188088272</c:v>
                </c:pt>
                <c:pt idx="529">
                  <c:v>-18.672875198243403</c:v>
                </c:pt>
                <c:pt idx="530">
                  <c:v>-18.474786611282447</c:v>
                </c:pt>
                <c:pt idx="531">
                  <c:v>-18.281039205063749</c:v>
                </c:pt>
                <c:pt idx="532">
                  <c:v>-18.091503616175508</c:v>
                </c:pt>
                <c:pt idx="533">
                  <c:v>-17.906055120510722</c:v>
                </c:pt>
                <c:pt idx="534">
                  <c:v>-17.724573424985486</c:v>
                </c:pt>
                <c:pt idx="535">
                  <c:v>-17.5469424697378</c:v>
                </c:pt>
                <c:pt idx="536">
                  <c:v>-17.373050240187009</c:v>
                </c:pt>
                <c:pt idx="537">
                  <c:v>-17.202788588374233</c:v>
                </c:pt>
                <c:pt idx="538">
                  <c:v>-17.036053063041081</c:v>
                </c:pt>
                <c:pt idx="539">
                  <c:v>-16.872742747938453</c:v>
                </c:pt>
                <c:pt idx="540">
                  <c:v>-16.712760107889171</c:v>
                </c:pt>
                <c:pt idx="541">
                  <c:v>-16.556010842157754</c:v>
                </c:pt>
                <c:pt idx="542">
                  <c:v>-16.40240374470828</c:v>
                </c:pt>
                <c:pt idx="543">
                  <c:v>-16.251850570956915</c:v>
                </c:pt>
                <c:pt idx="544">
                  <c:v>-16.104265910649215</c:v>
                </c:pt>
                <c:pt idx="545">
                  <c:v>-15.959567066514811</c:v>
                </c:pt>
                <c:pt idx="546">
                  <c:v>-15.817673938372362</c:v>
                </c:pt>
                <c:pt idx="547">
                  <c:v>-15.678508912376905</c:v>
                </c:pt>
                <c:pt idx="548">
                  <c:v>-15.541996755119509</c:v>
                </c:pt>
                <c:pt idx="549">
                  <c:v>-15.408064512305828</c:v>
                </c:pt>
                <c:pt idx="550">
                  <c:v>-15.276641411755371</c:v>
                </c:pt>
                <c:pt idx="551">
                  <c:v>-15.147658770477843</c:v>
                </c:pt>
                <c:pt idx="552">
                  <c:v>-15.021049905596231</c:v>
                </c:pt>
                <c:pt idx="553">
                  <c:v>-14.896750048898689</c:v>
                </c:pt>
                <c:pt idx="554">
                  <c:v>-14.77469626481296</c:v>
                </c:pt>
                <c:pt idx="555">
                  <c:v>-14.654827371607754</c:v>
                </c:pt>
                <c:pt idx="556">
                  <c:v>-14.537083865635648</c:v>
                </c:pt>
                <c:pt idx="557">
                  <c:v>-14.421407848441202</c:v>
                </c:pt>
                <c:pt idx="558">
                  <c:v>-14.307742956566916</c:v>
                </c:pt>
                <c:pt idx="559">
                  <c:v>-14.196034293897414</c:v>
                </c:pt>
                <c:pt idx="560">
                  <c:v>-14.08622836638995</c:v>
                </c:pt>
                <c:pt idx="561">
                  <c:v>-13.978273019046094</c:v>
                </c:pt>
                <c:pt idx="562">
                  <c:v>-13.872117374985942</c:v>
                </c:pt>
                <c:pt idx="563">
                  <c:v>-13.767711776492082</c:v>
                </c:pt>
                <c:pt idx="564">
                  <c:v>-13.665007727896045</c:v>
                </c:pt>
                <c:pt idx="565">
                  <c:v>-13.563957840184989</c:v>
                </c:pt>
                <c:pt idx="566">
                  <c:v>-13.464515777211004</c:v>
                </c:pt>
                <c:pt idx="567">
                  <c:v>-13.366636203389589</c:v>
                </c:pt>
                <c:pt idx="568">
                  <c:v>-13.270274732777867</c:v>
                </c:pt>
                <c:pt idx="569">
                  <c:v>-13.175387879426495</c:v>
                </c:pt>
                <c:pt idx="570">
                  <c:v>-13.081933008902389</c:v>
                </c:pt>
                <c:pt idx="571">
                  <c:v>-12.989868290882354</c:v>
                </c:pt>
                <c:pt idx="572">
                  <c:v>-12.899152652720161</c:v>
                </c:pt>
                <c:pt idx="573">
                  <c:v>-12.809745733891837</c:v>
                </c:pt>
                <c:pt idx="574">
                  <c:v>-12.721607841226007</c:v>
                </c:pt>
                <c:pt idx="575">
                  <c:v>-12.634699904827681</c:v>
                </c:pt>
                <c:pt idx="576">
                  <c:v>-12.548983434605391</c:v>
                </c:pt>
                <c:pt idx="577">
                  <c:v>-12.464420477312624</c:v>
                </c:pt>
                <c:pt idx="578">
                  <c:v>-12.380973574015592</c:v>
                </c:pt>
                <c:pt idx="579">
                  <c:v>-12.298605717899754</c:v>
                </c:pt>
                <c:pt idx="580">
                  <c:v>-12.217280312328269</c:v>
                </c:pt>
                <c:pt idx="581">
                  <c:v>-12.136961129065387</c:v>
                </c:pt>
                <c:pt idx="582">
                  <c:v>-12.05761226657804</c:v>
                </c:pt>
                <c:pt idx="583">
                  <c:v>-11.979198108328513</c:v>
                </c:pt>
                <c:pt idx="584">
                  <c:v>-11.90168328097054</c:v>
                </c:pt>
                <c:pt idx="585">
                  <c:v>-11.825032612360669</c:v>
                </c:pt>
                <c:pt idx="586">
                  <c:v>-11.74921108929572</c:v>
                </c:pt>
                <c:pt idx="587">
                  <c:v>-11.674183814886145</c:v>
                </c:pt>
                <c:pt idx="588">
                  <c:v>-11.599915965473885</c:v>
                </c:pt>
                <c:pt idx="589">
                  <c:v>-11.526372747001854</c:v>
                </c:pt>
                <c:pt idx="590">
                  <c:v>-11.453519350740688</c:v>
                </c:pt>
                <c:pt idx="591">
                  <c:v>-11.381320908276528</c:v>
                </c:pt>
                <c:pt idx="592">
                  <c:v>-11.30974244566201</c:v>
                </c:pt>
                <c:pt idx="593">
                  <c:v>-11.238748836630357</c:v>
                </c:pt>
                <c:pt idx="594">
                  <c:v>-11.168304754770855</c:v>
                </c:pt>
                <c:pt idx="595">
                  <c:v>-11.098374624561405</c:v>
                </c:pt>
                <c:pt idx="596">
                  <c:v>-11.028922571152258</c:v>
                </c:pt>
                <c:pt idx="597">
                  <c:v>-10.9599123687925</c:v>
                </c:pt>
                <c:pt idx="598">
                  <c:v>-10.891307387789116</c:v>
                </c:pt>
                <c:pt idx="599">
                  <c:v>-10.823070539886409</c:v>
                </c:pt>
                <c:pt idx="600">
                  <c:v>-10.755164221951837</c:v>
                </c:pt>
                <c:pt idx="601">
                  <c:v>-10.687550257852889</c:v>
                </c:pt>
                <c:pt idx="602">
                  <c:v>-10.620189838408391</c:v>
                </c:pt>
                <c:pt idx="603">
                  <c:v>-10.553043459297026</c:v>
                </c:pt>
                <c:pt idx="604">
                  <c:v>-10.4860708568056</c:v>
                </c:pt>
                <c:pt idx="605">
                  <c:v>-10.419230941300222</c:v>
                </c:pt>
                <c:pt idx="606">
                  <c:v>-10.352481728304861</c:v>
                </c:pt>
                <c:pt idx="607">
                  <c:v>-10.285780267074257</c:v>
                </c:pt>
                <c:pt idx="608">
                  <c:v>-10.219082566551732</c:v>
                </c:pt>
                <c:pt idx="609">
                  <c:v>-10.152343518607662</c:v>
                </c:pt>
                <c:pt idx="610">
                  <c:v>-10.08551681846123</c:v>
                </c:pt>
                <c:pt idx="611">
                  <c:v>-10.018554882197074</c:v>
                </c:pt>
                <c:pt idx="612">
                  <c:v>-9.9514087612998257</c:v>
                </c:pt>
                <c:pt idx="613">
                  <c:v>-9.8840280541438972</c:v>
                </c:pt>
                <c:pt idx="614">
                  <c:v>-9.8163608143933256</c:v>
                </c:pt>
                <c:pt idx="615">
                  <c:v>-9.7483534562880543</c:v>
                </c:pt>
                <c:pt idx="616">
                  <c:v>-9.6799506568189617</c:v>
                </c:pt>
                <c:pt idx="617">
                  <c:v>-9.6110952548248818</c:v>
                </c:pt>
                <c:pt idx="618">
                  <c:v>-9.5417281470820345</c:v>
                </c:pt>
                <c:pt idx="619">
                  <c:v>-9.4717881814999281</c:v>
                </c:pt>
                <c:pt idx="620">
                  <c:v>-9.4012120475894108</c:v>
                </c:pt>
                <c:pt idx="621">
                  <c:v>-9.3299341644288116</c:v>
                </c:pt>
                <c:pt idx="622">
                  <c:v>-9.25788656642459</c:v>
                </c:pt>
                <c:pt idx="623">
                  <c:v>-9.1849987872444636</c:v>
                </c:pt>
                <c:pt idx="624">
                  <c:v>-9.1111977423955643</c:v>
                </c:pt>
                <c:pt idx="625">
                  <c:v>-9.0364076110288085</c:v>
                </c:pt>
                <c:pt idx="626">
                  <c:v>-8.9605497176755655</c:v>
                </c:pt>
                <c:pt idx="627">
                  <c:v>-8.8835424147651878</c:v>
                </c:pt>
                <c:pt idx="628">
                  <c:v>-8.8053009669343236</c:v>
                </c:pt>
                <c:pt idx="629">
                  <c:v>-8.7257374383229553</c:v>
                </c:pt>
                <c:pt idx="630">
                  <c:v>-8.6447605842598385</c:v>
                </c:pt>
                <c:pt idx="631">
                  <c:v>-8.5622757489735921</c:v>
                </c:pt>
                <c:pt idx="632">
                  <c:v>-8.4781847712271059</c:v>
                </c:pt>
                <c:pt idx="633">
                  <c:v>-8.3923859000638394</c:v>
                </c:pt>
                <c:pt idx="634">
                  <c:v>-8.304773723176968</c:v>
                </c:pt>
                <c:pt idx="635">
                  <c:v>-8.2152391107671221</c:v>
                </c:pt>
                <c:pt idx="636">
                  <c:v>-8.1236691781424533</c:v>
                </c:pt>
                <c:pt idx="637">
                  <c:v>-8.0299472707360682</c:v>
                </c:pt>
                <c:pt idx="638">
                  <c:v>-7.9339529756692686</c:v>
                </c:pt>
                <c:pt idx="639">
                  <c:v>-7.835562164472341</c:v>
                </c:pt>
                <c:pt idx="640">
                  <c:v>-7.7346470720839067</c:v>
                </c:pt>
                <c:pt idx="641">
                  <c:v>-7.6310764177790045</c:v>
                </c:pt>
                <c:pt idx="642">
                  <c:v>-7.5247155742168577</c:v>
                </c:pt>
                <c:pt idx="643">
                  <c:v>-7.415426791339903</c:v>
                </c:pt>
                <c:pt idx="644">
                  <c:v>-7.303069482381372</c:v>
                </c:pt>
                <c:pt idx="645">
                  <c:v>-7.187500579730119</c:v>
                </c:pt>
                <c:pt idx="646">
                  <c:v>-7.0685749688346302</c:v>
                </c:pt>
                <c:pt idx="647">
                  <c:v>-6.9461460086739786</c:v>
                </c:pt>
                <c:pt idx="648">
                  <c:v>-6.8200661475468829</c:v>
                </c:pt>
                <c:pt idx="649">
                  <c:v>-6.6901876429899305</c:v>
                </c:pt>
                <c:pt idx="650">
                  <c:v>-6.5563633944849693</c:v>
                </c:pt>
                <c:pt idx="651">
                  <c:v>-6.4184478972006085</c:v>
                </c:pt>
                <c:pt idx="652">
                  <c:v>-6.2762983242746708</c:v>
                </c:pt>
                <c:pt idx="653">
                  <c:v>-6.1297757440210816</c:v>
                </c:pt>
                <c:pt idx="654">
                  <c:v>-5.9787464768709802</c:v>
                </c:pt>
                <c:pt idx="655">
                  <c:v>-5.8230835947700692</c:v>
                </c:pt>
                <c:pt idx="656">
                  <c:v>-5.6626685630931464</c:v>
                </c:pt>
                <c:pt idx="657">
                  <c:v>-5.4973930218529565</c:v>
                </c:pt>
                <c:pt idx="658">
                  <c:v>-5.3271606990401352</c:v>
                </c:pt>
                <c:pt idx="659">
                  <c:v>-5.1518894443236753</c:v>
                </c:pt>
                <c:pt idx="660">
                  <c:v>-4.9715133660871587</c:v>
                </c:pt>
                <c:pt idx="661">
                  <c:v>-4.7859850489349149</c:v>
                </c:pt>
                <c:pt idx="662">
                  <c:v>-4.5952778224820028</c:v>
                </c:pt>
                <c:pt idx="663">
                  <c:v>-4.3993880456053533</c:v>
                </c:pt>
                <c:pt idx="664">
                  <c:v>-4.1983373636040913</c:v>
                </c:pt>
                <c:pt idx="665">
                  <c:v>-3.9921748891814715</c:v>
                </c:pt>
                <c:pt idx="666">
                  <c:v>-3.7809792521655989</c:v>
                </c:pt>
                <c:pt idx="667">
                  <c:v>-3.5648604578305165</c:v>
                </c:pt>
                <c:pt idx="668">
                  <c:v>-3.3439614899991166</c:v>
                </c:pt>
                <c:pt idx="669">
                  <c:v>-3.1184595932558081</c:v>
                </c:pt>
                <c:pt idx="670">
                  <c:v>-2.8885671690049133</c:v>
                </c:pt>
                <c:pt idx="671">
                  <c:v>-2.6545322231640474</c:v>
                </c:pt>
                <c:pt idx="672">
                  <c:v>-2.4166383092712196</c:v>
                </c:pt>
                <c:pt idx="673">
                  <c:v>-2.1752039198672342</c:v>
                </c:pt>
                <c:pt idx="674">
                  <c:v>-1.9305812911761535</c:v>
                </c:pt>
                <c:pt idx="675">
                  <c:v>-1.6831546011290774</c:v>
                </c:pt>
                <c:pt idx="676">
                  <c:v>-1.4333375582248495</c:v>
                </c:pt>
                <c:pt idx="677">
                  <c:v>-1.181570397943065</c:v>
                </c:pt>
                <c:pt idx="678">
                  <c:v>-0.92831632357280003</c:v>
                </c:pt>
                <c:pt idx="679">
                  <c:v>-0.67405744839729076</c:v>
                </c:pt>
                <c:pt idx="680">
                  <c:v>-0.4192903150965076</c:v>
                </c:pt>
                <c:pt idx="681">
                  <c:v>-0.16452108490557713</c:v>
                </c:pt>
                <c:pt idx="682">
                  <c:v>8.9739497512857092E-2</c:v>
                </c:pt>
                <c:pt idx="683">
                  <c:v>0.34298124820321846</c:v>
                </c:pt>
                <c:pt idx="684">
                  <c:v>0.59469967715882466</c:v>
                </c:pt>
                <c:pt idx="685">
                  <c:v>0.84440099115490685</c:v>
                </c:pt>
                <c:pt idx="686">
                  <c:v>1.0916068520226025</c:v>
                </c:pt>
                <c:pt idx="687">
                  <c:v>1.335858786215538</c:v>
                </c:pt>
                <c:pt idx="688">
                  <c:v>1.5767221555203259</c:v>
                </c:pt>
                <c:pt idx="689">
                  <c:v>1.8137896158879583</c:v>
                </c:pt>
                <c:pt idx="690">
                  <c:v>2.0466840105862749</c:v>
                </c:pt>
                <c:pt idx="691">
                  <c:v>2.2750606640966495</c:v>
                </c:pt>
                <c:pt idx="692">
                  <c:v>2.4986090633205631</c:v>
                </c:pt>
                <c:pt idx="693">
                  <c:v>2.7170539317397759</c:v>
                </c:pt>
                <c:pt idx="694">
                  <c:v>2.9301557193610321</c:v>
                </c:pt>
                <c:pt idx="695">
                  <c:v>3.1377105459463936</c:v>
                </c:pt>
                <c:pt idx="696">
                  <c:v>3.3395496467763417</c:v>
                </c:pt>
                <c:pt idx="697">
                  <c:v>3.535538378826506</c:v>
                </c:pt>
                <c:pt idx="698">
                  <c:v>3.7255748507716149</c:v>
                </c:pt>
                <c:pt idx="699">
                  <c:v>3.9095882428422319</c:v>
                </c:pt>
                <c:pt idx="700">
                  <c:v>4.0875368825604621</c:v>
                </c:pt>
                <c:pt idx="701">
                  <c:v>4.2594061401668579</c:v>
                </c:pt>
                <c:pt idx="702">
                  <c:v>4.4252062035658684</c:v>
                </c:pt>
                <c:pt idx="703">
                  <c:v>4.5849697873159885</c:v>
                </c:pt>
                <c:pt idx="704">
                  <c:v>4.7387498240093526</c:v>
                </c:pt>
                <c:pt idx="705">
                  <c:v>4.8866171797197957</c:v>
                </c:pt>
                <c:pt idx="706">
                  <c:v>5.0286584283899858</c:v>
                </c:pt>
                <c:pt idx="707">
                  <c:v>5.1649737133566092</c:v>
                </c:pt>
                <c:pt idx="708">
                  <c:v>5.2956747178941859</c:v>
                </c:pt>
                <c:pt idx="709">
                  <c:v>5.420882760848035</c:v>
                </c:pt>
                <c:pt idx="710">
                  <c:v>5.5407270282259864</c:v>
                </c:pt>
                <c:pt idx="711">
                  <c:v>5.6553429470798244</c:v>
                </c:pt>
                <c:pt idx="712">
                  <c:v>5.7648707041457588</c:v>
                </c:pt>
                <c:pt idx="713">
                  <c:v>5.8694539085131163</c:v>
                </c:pt>
                <c:pt idx="714">
                  <c:v>5.969238395014191</c:v>
                </c:pt>
                <c:pt idx="715">
                  <c:v>6.0643711630234325</c:v>
                </c:pt>
                <c:pt idx="716">
                  <c:v>6.1549994438594302</c:v>
                </c:pt>
                <c:pt idx="717">
                  <c:v>6.2412698889329778</c:v>
                </c:pt>
                <c:pt idx="718">
                  <c:v>6.323327870113217</c:v>
                </c:pt>
                <c:pt idx="719">
                  <c:v>6.4013168834284455</c:v>
                </c:pt>
                <c:pt idx="720">
                  <c:v>6.4753780471195519</c:v>
                </c:pt>
                <c:pt idx="721">
                  <c:v>6.545649685169443</c:v>
                </c:pt>
                <c:pt idx="722">
                  <c:v>6.6122669876939648</c:v>
                </c:pt>
                <c:pt idx="723">
                  <c:v>6.6753617399582161</c:v>
                </c:pt>
                <c:pt idx="724">
                  <c:v>6.7350621122423551</c:v>
                </c:pt>
                <c:pt idx="725">
                  <c:v>6.7914925032942826</c:v>
                </c:pt>
                <c:pt idx="726">
                  <c:v>6.8447734306496866</c:v>
                </c:pt>
                <c:pt idx="727">
                  <c:v>6.8950214616542169</c:v>
                </c:pt>
                <c:pt idx="728">
                  <c:v>6.942349179573581</c:v>
                </c:pt>
                <c:pt idx="729">
                  <c:v>6.9868651797138934</c:v>
                </c:pt>
                <c:pt idx="730">
                  <c:v>7.0286740909891172</c:v>
                </c:pt>
                <c:pt idx="731">
                  <c:v>7.0678766188587829</c:v>
                </c:pt>
                <c:pt idx="732">
                  <c:v>7.1045696060142767</c:v>
                </c:pt>
                <c:pt idx="733">
                  <c:v>7.1388461076134853</c:v>
                </c:pt>
                <c:pt idx="734">
                  <c:v>7.1707954782510104</c:v>
                </c:pt>
                <c:pt idx="735">
                  <c:v>7.20050346820448</c:v>
                </c:pt>
                <c:pt idx="736">
                  <c:v>7.2280523268177328</c:v>
                </c:pt>
                <c:pt idx="737">
                  <c:v>7.2535209111702619</c:v>
                </c:pt>
                <c:pt idx="738">
                  <c:v>7.2769847984408358</c:v>
                </c:pt>
                <c:pt idx="739">
                  <c:v>7.2985164006039192</c:v>
                </c:pt>
                <c:pt idx="740">
                  <c:v>7.3181850803021842</c:v>
                </c:pt>
                <c:pt idx="741">
                  <c:v>7.3360572669193784</c:v>
                </c:pt>
                <c:pt idx="742">
                  <c:v>7.3521965720369922</c:v>
                </c:pt>
                <c:pt idx="743">
                  <c:v>7.3666639035978649</c:v>
                </c:pt>
                <c:pt idx="744">
                  <c:v>7.3795175782215541</c:v>
                </c:pt>
                <c:pt idx="745">
                  <c:v>7.3908134312223766</c:v>
                </c:pt>
                <c:pt idx="746">
                  <c:v>7.4006049239727059</c:v>
                </c:pt>
                <c:pt idx="747">
                  <c:v>7.4089432483332009</c:v>
                </c:pt>
                <c:pt idx="748">
                  <c:v>7.4158774279396091</c:v>
                </c:pt>
                <c:pt idx="749">
                  <c:v>7.4214544161937956</c:v>
                </c:pt>
                <c:pt idx="750">
                  <c:v>7.4257191908559372</c:v>
                </c:pt>
                <c:pt idx="751">
                  <c:v>7.4287148451766152</c:v>
                </c:pt>
                <c:pt idx="752">
                  <c:v>7.4304826755425522</c:v>
                </c:pt>
                <c:pt idx="753">
                  <c:v>7.4310622656389</c:v>
                </c:pt>
                <c:pt idx="754">
                  <c:v>7.4304915671553067</c:v>
                </c:pt>
                <c:pt idx="755">
                  <c:v>7.4288069770826901</c:v>
                </c:pt>
                <c:pt idx="756">
                  <c:v>7.4260434116637173</c:v>
                </c:pt>
                <c:pt idx="757">
                  <c:v>7.4222343770728214</c:v>
                </c:pt>
                <c:pt idx="758">
                  <c:v>7.4174120369115402</c:v>
                </c:pt>
                <c:pt idx="759">
                  <c:v>7.4116072766126244</c:v>
                </c:pt>
                <c:pt idx="760">
                  <c:v>7.4048497648519893</c:v>
                </c:pt>
                <c:pt idx="761">
                  <c:v>7.397168012071405</c:v>
                </c:pt>
                <c:pt idx="762">
                  <c:v>7.3885894262174103</c:v>
                </c:pt>
                <c:pt idx="763">
                  <c:v>7.3791403658030355</c:v>
                </c:pt>
                <c:pt idx="764">
                  <c:v>7.3688461903992879</c:v>
                </c:pt>
                <c:pt idx="765">
                  <c:v>7.3577313086626752</c:v>
                </c:pt>
                <c:pt idx="766">
                  <c:v>7.3458192240038436</c:v>
                </c:pt>
                <c:pt idx="767">
                  <c:v>7.3331325780005434</c:v>
                </c:pt>
                <c:pt idx="768">
                  <c:v>7.3196931916559222</c:v>
                </c:pt>
                <c:pt idx="769">
                  <c:v>7.3055221046005174</c:v>
                </c:pt>
                <c:pt idx="770">
                  <c:v>7.2906396123334858</c:v>
                </c:pt>
                <c:pt idx="771">
                  <c:v>7.2750653015955322</c:v>
                </c:pt>
                <c:pt idx="772">
                  <c:v>7.2588180839628231</c:v>
                </c:pt>
                <c:pt idx="773">
                  <c:v>7.2419162277479163</c:v>
                </c:pt>
                <c:pt idx="774">
                  <c:v>7.2243773882903373</c:v>
                </c:pt>
                <c:pt idx="775">
                  <c:v>7.2062186367161996</c:v>
                </c:pt>
                <c:pt idx="776">
                  <c:v>7.1874564872428612</c:v>
                </c:pt>
                <c:pt idx="777">
                  <c:v>7.1681069231013357</c:v>
                </c:pt>
                <c:pt idx="778">
                  <c:v>7.1481854211459757</c:v>
                </c:pt>
                <c:pt idx="779">
                  <c:v>7.1277069752177855</c:v>
                </c:pt>
                <c:pt idx="780">
                  <c:v>7.1066861183245464</c:v>
                </c:pt>
                <c:pt idx="781">
                  <c:v>7.0851369436980765</c:v>
                </c:pt>
                <c:pt idx="782">
                  <c:v>7.0630731247860083</c:v>
                </c:pt>
                <c:pt idx="783">
                  <c:v>7.0405079342325454</c:v>
                </c:pt>
                <c:pt idx="784">
                  <c:v>7.0174542619002196</c:v>
                </c:pt>
                <c:pt idx="785">
                  <c:v>6.9939246319818444</c:v>
                </c:pt>
                <c:pt idx="786">
                  <c:v>6.9699312192494993</c:v>
                </c:pt>
                <c:pt idx="787">
                  <c:v>6.9454858644850326</c:v>
                </c:pt>
                <c:pt idx="788">
                  <c:v>6.9206000891341812</c:v>
                </c:pt>
                <c:pt idx="789">
                  <c:v>6.8952851092243677</c:v>
                </c:pt>
                <c:pt idx="790">
                  <c:v>6.8695518485841038</c:v>
                </c:pt>
                <c:pt idx="791">
                  <c:v>6.8434109513999495</c:v>
                </c:pt>
                <c:pt idx="792">
                  <c:v>6.8168727941451319</c:v>
                </c:pt>
                <c:pt idx="793">
                  <c:v>6.7899474969121663</c:v>
                </c:pt>
                <c:pt idx="794">
                  <c:v>6.7626449341800665</c:v>
                </c:pt>
                <c:pt idx="795">
                  <c:v>6.7349747450451858</c:v>
                </c:pt>
                <c:pt idx="796">
                  <c:v>6.7069463429431586</c:v>
                </c:pt>
                <c:pt idx="797">
                  <c:v>6.6785689248879976</c:v>
                </c:pt>
                <c:pt idx="798">
                  <c:v>6.649851480253016</c:v>
                </c:pt>
                <c:pt idx="799">
                  <c:v>6.6208027991169462</c:v>
                </c:pt>
                <c:pt idx="800">
                  <c:v>6.5914314801973841</c:v>
                </c:pt>
                <c:pt idx="801">
                  <c:v>6.5617459383925318</c:v>
                </c:pt>
                <c:pt idx="802">
                  <c:v>6.5317544119511339</c:v>
                </c:pt>
                <c:pt idx="803">
                  <c:v>6.5014649692893691</c:v>
                </c:pt>
                <c:pt idx="804">
                  <c:v>6.4708855154726095</c:v>
                </c:pt>
                <c:pt idx="805">
                  <c:v>6.440023798378852</c:v>
                </c:pt>
                <c:pt idx="806">
                  <c:v>6.4088874145599117</c:v>
                </c:pt>
                <c:pt idx="807">
                  <c:v>6.3774838148155037</c:v>
                </c:pt>
                <c:pt idx="808">
                  <c:v>6.3458203094946031</c:v>
                </c:pt>
                <c:pt idx="809">
                  <c:v>6.3139040735377137</c:v>
                </c:pt>
                <c:pt idx="810">
                  <c:v>6.2817421512729563</c:v>
                </c:pt>
                <c:pt idx="811">
                  <c:v>6.2493414609782585</c:v>
                </c:pt>
                <c:pt idx="812">
                  <c:v>6.2167087992212036</c:v>
                </c:pt>
                <c:pt idx="813">
                  <c:v>6.1838508449876253</c:v>
                </c:pt>
                <c:pt idx="814">
                  <c:v>6.1507741636093201</c:v>
                </c:pt>
                <c:pt idx="815">
                  <c:v>6.1174852105008544</c:v>
                </c:pt>
                <c:pt idx="816">
                  <c:v>6.0839903347148496</c:v>
                </c:pt>
                <c:pt idx="817">
                  <c:v>6.0502957823246426</c:v>
                </c:pt>
                <c:pt idx="818">
                  <c:v>6.0164076996428282</c:v>
                </c:pt>
                <c:pt idx="819">
                  <c:v>5.9823321362837163</c:v>
                </c:pt>
                <c:pt idx="820">
                  <c:v>5.9480750480773219</c:v>
                </c:pt>
                <c:pt idx="821">
                  <c:v>5.9136422998421576</c:v>
                </c:pt>
                <c:pt idx="822">
                  <c:v>5.8790396680237116</c:v>
                </c:pt>
                <c:pt idx="823">
                  <c:v>5.844272843205145</c:v>
                </c:pt>
                <c:pt idx="824">
                  <c:v>5.8093474324964118</c:v>
                </c:pt>
                <c:pt idx="825">
                  <c:v>5.7742689618077634</c:v>
                </c:pt>
                <c:pt idx="826">
                  <c:v>5.7390428780131835</c:v>
                </c:pt>
                <c:pt idx="827">
                  <c:v>5.7036745510091427</c:v>
                </c:pt>
                <c:pt idx="828">
                  <c:v>5.6681692756737041</c:v>
                </c:pt>
                <c:pt idx="829">
                  <c:v>5.6325322737308721</c:v>
                </c:pt>
                <c:pt idx="830">
                  <c:v>5.5967686955247187</c:v>
                </c:pt>
                <c:pt idx="831">
                  <c:v>5.5608836217076592</c:v>
                </c:pt>
                <c:pt idx="832">
                  <c:v>5.5248820648470955</c:v>
                </c:pt>
                <c:pt idx="833">
                  <c:v>5.4887689709543146</c:v>
                </c:pt>
                <c:pt idx="834">
                  <c:v>5.4525492209394315</c:v>
                </c:pt>
                <c:pt idx="835">
                  <c:v>5.4162276319960201</c:v>
                </c:pt>
                <c:pt idx="836">
                  <c:v>5.3798089589187397</c:v>
                </c:pt>
                <c:pt idx="837">
                  <c:v>5.3432978953573125</c:v>
                </c:pt>
                <c:pt idx="838">
                  <c:v>5.3066990750099237</c:v>
                </c:pt>
                <c:pt idx="839">
                  <c:v>5.2700170727589422</c:v>
                </c:pt>
                <c:pt idx="840">
                  <c:v>5.2332564057518809</c:v>
                </c:pt>
                <c:pt idx="841">
                  <c:v>5.1964215344301925</c:v>
                </c:pt>
                <c:pt idx="842">
                  <c:v>5.1595168635085047</c:v>
                </c:pt>
                <c:pt idx="843">
                  <c:v>5.1225467429067226</c:v>
                </c:pt>
                <c:pt idx="844">
                  <c:v>5.085515468637329</c:v>
                </c:pt>
                <c:pt idx="845">
                  <c:v>5.0484272836501001</c:v>
                </c:pt>
                <c:pt idx="846">
                  <c:v>5.0112863786363597</c:v>
                </c:pt>
                <c:pt idx="847">
                  <c:v>4.9740968927947904</c:v>
                </c:pt>
                <c:pt idx="848">
                  <c:v>4.9368629145607175</c:v>
                </c:pt>
                <c:pt idx="849">
                  <c:v>4.8995884823007438</c:v>
                </c:pt>
                <c:pt idx="850">
                  <c:v>4.8622775849744233</c:v>
                </c:pt>
                <c:pt idx="851">
                  <c:v>4.824934162764758</c:v>
                </c:pt>
                <c:pt idx="852">
                  <c:v>4.7875621076789914</c:v>
                </c:pt>
                <c:pt idx="853">
                  <c:v>4.7501652641213372</c:v>
                </c:pt>
                <c:pt idx="854">
                  <c:v>4.7127474294390428</c:v>
                </c:pt>
                <c:pt idx="855">
                  <c:v>4.6753123544432009</c:v>
                </c:pt>
                <c:pt idx="856">
                  <c:v>4.6378637439056449</c:v>
                </c:pt>
                <c:pt idx="857">
                  <c:v>4.600405257033179</c:v>
                </c:pt>
                <c:pt idx="858">
                  <c:v>4.5629405079204144</c:v>
                </c:pt>
                <c:pt idx="859">
                  <c:v>4.5254730659822791</c:v>
                </c:pt>
                <c:pt idx="860">
                  <c:v>4.4880064563674278</c:v>
                </c:pt>
                <c:pt idx="861">
                  <c:v>4.4505441603534965</c:v>
                </c:pt>
                <c:pt idx="862">
                  <c:v>4.4130896157253225</c:v>
                </c:pt>
                <c:pt idx="863">
                  <c:v>4.3756462171369952</c:v>
                </c:pt>
                <c:pt idx="864">
                  <c:v>4.3382173164587554</c:v>
                </c:pt>
                <c:pt idx="865">
                  <c:v>4.3008062231095625</c:v>
                </c:pt>
                <c:pt idx="866">
                  <c:v>4.2634162043761936</c:v>
                </c:pt>
                <c:pt idx="867">
                  <c:v>4.2260504857197052</c:v>
                </c:pt>
                <c:pt idx="868">
                  <c:v>4.1887122510699966</c:v>
                </c:pt>
                <c:pt idx="869">
                  <c:v>4.1514046431092124</c:v>
                </c:pt>
                <c:pt idx="870">
                  <c:v>4.1141307635447326</c:v>
                </c:pt>
                <c:pt idx="871">
                  <c:v>4.0768936733723349</c:v>
                </c:pt>
                <c:pt idx="872">
                  <c:v>4.0396963931302805</c:v>
                </c:pt>
                <c:pt idx="873">
                  <c:v>4.0025419031448441</c:v>
                </c:pt>
                <c:pt idx="874">
                  <c:v>3.9654331437679318</c:v>
                </c:pt>
                <c:pt idx="875">
                  <c:v>3.9283730156073124</c:v>
                </c:pt>
                <c:pt idx="876">
                  <c:v>3.8913643797499979</c:v>
                </c:pt>
                <c:pt idx="877">
                  <c:v>3.8544100579793241</c:v>
                </c:pt>
                <c:pt idx="878">
                  <c:v>3.8175128329861492</c:v>
                </c:pt>
                <c:pt idx="879">
                  <c:v>3.7806754485746881</c:v>
                </c:pt>
                <c:pt idx="880">
                  <c:v>3.7439006098633998</c:v>
                </c:pt>
                <c:pt idx="881">
                  <c:v>3.7071909834813654</c:v>
                </c:pt>
                <c:pt idx="882">
                  <c:v>3.670549197760514</c:v>
                </c:pt>
                <c:pt idx="883">
                  <c:v>3.6339778429241543</c:v>
                </c:pt>
                <c:pt idx="884">
                  <c:v>3.5974794712721057</c:v>
                </c:pt>
                <c:pt idx="885">
                  <c:v>3.5610565973628017</c:v>
                </c:pt>
                <c:pt idx="886">
                  <c:v>3.524711698192708</c:v>
                </c:pt>
                <c:pt idx="887">
                  <c:v>3.4884472133733491</c:v>
                </c:pt>
                <c:pt idx="888">
                  <c:v>3.4522655453062709</c:v>
                </c:pt>
                <c:pt idx="889">
                  <c:v>3.4161690593561298</c:v>
                </c:pt>
                <c:pt idx="890">
                  <c:v>3.380160084022358</c:v>
                </c:pt>
                <c:pt idx="891">
                  <c:v>3.3442409111094502</c:v>
                </c:pt>
                <c:pt idx="892">
                  <c:v>3.3084137958962412</c:v>
                </c:pt>
                <c:pt idx="893">
                  <c:v>3.2726809573044129</c:v>
                </c:pt>
                <c:pt idx="894">
                  <c:v>3.2370445780663504</c:v>
                </c:pt>
                <c:pt idx="895">
                  <c:v>3.2015068048926363</c:v>
                </c:pt>
                <c:pt idx="896">
                  <c:v>3.1660697486393481</c:v>
                </c:pt>
                <c:pt idx="897">
                  <c:v>3.130735484475335</c:v>
                </c:pt>
                <c:pt idx="898">
                  <c:v>3.095506052049668</c:v>
                </c:pt>
                <c:pt idx="899">
                  <c:v>3.0603834556593608</c:v>
                </c:pt>
                <c:pt idx="900">
                  <c:v>3.0253696644176351</c:v>
                </c:pt>
                <c:pt idx="901">
                  <c:v>2.990466612422729</c:v>
                </c:pt>
                <c:pt idx="902">
                  <c:v>2.9556761989274953</c:v>
                </c:pt>
                <c:pt idx="903">
                  <c:v>2.9210002885098616</c:v>
                </c:pt>
                <c:pt idx="904">
                  <c:v>2.8864407112442523</c:v>
                </c:pt>
                <c:pt idx="905">
                  <c:v>2.8519992628741484</c:v>
                </c:pt>
                <c:pt idx="906">
                  <c:v>2.8176777049858019</c:v>
                </c:pt>
                <c:pt idx="907">
                  <c:v>2.7834777651832701</c:v>
                </c:pt>
                <c:pt idx="908">
                  <c:v>2.7494011372648002</c:v>
                </c:pt>
                <c:pt idx="909">
                  <c:v>2.7154494814006931</c:v>
                </c:pt>
                <c:pt idx="910">
                  <c:v>2.6816244243126581</c:v>
                </c:pt>
                <c:pt idx="911">
                  <c:v>2.6479275594548142</c:v>
                </c:pt>
                <c:pt idx="912">
                  <c:v>2.6143604471962671</c:v>
                </c:pt>
                <c:pt idx="913">
                  <c:v>2.5809246150054692</c:v>
                </c:pt>
                <c:pt idx="914">
                  <c:v>2.5476215576362833</c:v>
                </c:pt>
                <c:pt idx="915">
                  <c:v>2.5144527373158612</c:v>
                </c:pt>
                <c:pt idx="916">
                  <c:v>2.4814195839343496</c:v>
                </c:pt>
                <c:pt idx="917">
                  <c:v>2.4485234952364863</c:v>
                </c:pt>
                <c:pt idx="918">
                  <c:v>2.4157658370150497</c:v>
                </c:pt>
                <c:pt idx="919">
                  <c:v>2.3831479433062617</c:v>
                </c:pt>
                <c:pt idx="920">
                  <c:v>2.3506711165871206</c:v>
                </c:pt>
                <c:pt idx="921">
                  <c:v>2.3183366279746647</c:v>
                </c:pt>
                <c:pt idx="922">
                  <c:v>2.2861457174272282</c:v>
                </c:pt>
                <c:pt idx="923">
                  <c:v>2.2540995939476405</c:v>
                </c:pt>
                <c:pt idx="924">
                  <c:v>2.2221994357884087</c:v>
                </c:pt>
                <c:pt idx="925">
                  <c:v>2.1904463906588623</c:v>
                </c:pt>
                <c:pt idx="926">
                  <c:v>2.1588415759342672</c:v>
                </c:pt>
                <c:pt idx="927">
                  <c:v>2.127386078866901</c:v>
                </c:pt>
                <c:pt idx="928">
                  <c:v>2.0960809567990646</c:v>
                </c:pt>
                <c:pt idx="929">
                  <c:v>2.0649272373780398</c:v>
                </c:pt>
                <c:pt idx="930">
                  <c:v>2.0339259187729519</c:v>
                </c:pt>
                <c:pt idx="931">
                  <c:v>2.0030779698935319</c:v>
                </c:pt>
                <c:pt idx="932">
                  <c:v>1.97238433061076</c:v>
                </c:pt>
                <c:pt idx="933">
                  <c:v>1.9418459119793532</c:v>
                </c:pt>
                <c:pt idx="934">
                  <c:v>1.9114635964620605</c:v>
                </c:pt>
                <c:pt idx="935">
                  <c:v>1.881238238155805</c:v>
                </c:pt>
                <c:pt idx="936">
                  <c:v>1.8511706630195155</c:v>
                </c:pt>
                <c:pt idx="937">
                  <c:v>1.8212616691037473</c:v>
                </c:pt>
                <c:pt idx="938">
                  <c:v>1.7915120267819749</c:v>
                </c:pt>
                <c:pt idx="939">
                  <c:v>1.7619224789835242</c:v>
                </c:pt>
                <c:pt idx="940">
                  <c:v>1.7324937414281703</c:v>
                </c:pt>
                <c:pt idx="941">
                  <c:v>1.7032265028622646</c:v>
                </c:pt>
                <c:pt idx="942">
                  <c:v>1.6741214252964323</c:v>
                </c:pt>
                <c:pt idx="943">
                  <c:v>1.6451791442447483</c:v>
                </c:pt>
                <c:pt idx="944">
                  <c:v>1.6451504240388726</c:v>
                </c:pt>
                <c:pt idx="945">
                  <c:v>1.6451217039951533</c:v>
                </c:pt>
                <c:pt idx="946">
                  <c:v>1.64509298411358</c:v>
                </c:pt>
                <c:pt idx="947">
                  <c:v>1.6450642643941649</c:v>
                </c:pt>
                <c:pt idx="948">
                  <c:v>1.6450355448368938</c:v>
                </c:pt>
                <c:pt idx="949">
                  <c:v>1.6450068254417811</c:v>
                </c:pt>
                <c:pt idx="950">
                  <c:v>1.6449781062088107</c:v>
                </c:pt>
                <c:pt idx="951">
                  <c:v>1.6449493871380056</c:v>
                </c:pt>
                <c:pt idx="952">
                  <c:v>1.6449206682293465</c:v>
                </c:pt>
                <c:pt idx="953">
                  <c:v>1.6448919494828438</c:v>
                </c:pt>
                <c:pt idx="954">
                  <c:v>1.6448632308984976</c:v>
                </c:pt>
                <c:pt idx="955">
                  <c:v>1.644834512476308</c:v>
                </c:pt>
                <c:pt idx="956">
                  <c:v>1.6448057942162713</c:v>
                </c:pt>
                <c:pt idx="957">
                  <c:v>1.6447770761183911</c:v>
                </c:pt>
                <c:pt idx="958">
                  <c:v>1.6447483581826727</c:v>
                </c:pt>
                <c:pt idx="959">
                  <c:v>1.6447196404091091</c:v>
                </c:pt>
                <c:pt idx="960">
                  <c:v>1.6446909227977056</c:v>
                </c:pt>
                <c:pt idx="961">
                  <c:v>1.6446622053484621</c:v>
                </c:pt>
                <c:pt idx="962">
                  <c:v>1.6446334880613769</c:v>
                </c:pt>
                <c:pt idx="963">
                  <c:v>1.6446047709364553</c:v>
                </c:pt>
                <c:pt idx="964">
                  <c:v>1.6445760539736902</c:v>
                </c:pt>
                <c:pt idx="965">
                  <c:v>1.6445473371730852</c:v>
                </c:pt>
                <c:pt idx="966">
                  <c:v>1.6445186205346474</c:v>
                </c:pt>
                <c:pt idx="967">
                  <c:v>1.6444899040583696</c:v>
                </c:pt>
                <c:pt idx="968">
                  <c:v>1.6444611877442554</c:v>
                </c:pt>
                <c:pt idx="969">
                  <c:v>1.6444324715922995</c:v>
                </c:pt>
                <c:pt idx="970">
                  <c:v>1.6444037556025162</c:v>
                </c:pt>
                <c:pt idx="971">
                  <c:v>1.6443750397748946</c:v>
                </c:pt>
                <c:pt idx="972">
                  <c:v>1.6443463241094367</c:v>
                </c:pt>
                <c:pt idx="973">
                  <c:v>1.6443176086061495</c:v>
                </c:pt>
                <c:pt idx="974">
                  <c:v>1.6442888932650241</c:v>
                </c:pt>
                <c:pt idx="975">
                  <c:v>1.6442601780860713</c:v>
                </c:pt>
                <c:pt idx="976">
                  <c:v>1.6442314630692767</c:v>
                </c:pt>
                <c:pt idx="977">
                  <c:v>1.6442027482146599</c:v>
                </c:pt>
                <c:pt idx="978">
                  <c:v>1.6441740335222086</c:v>
                </c:pt>
                <c:pt idx="979">
                  <c:v>1.644145318991928</c:v>
                </c:pt>
                <c:pt idx="980">
                  <c:v>1.6441166046238145</c:v>
                </c:pt>
                <c:pt idx="981">
                  <c:v>1.6440878904178771</c:v>
                </c:pt>
                <c:pt idx="982">
                  <c:v>1.6440591763741104</c:v>
                </c:pt>
                <c:pt idx="983">
                  <c:v>1.6440304624925144</c:v>
                </c:pt>
                <c:pt idx="984">
                  <c:v>1.6440017487730909</c:v>
                </c:pt>
                <c:pt idx="985">
                  <c:v>1.6439730352158382</c:v>
                </c:pt>
                <c:pt idx="986">
                  <c:v>1.6439443218207614</c:v>
                </c:pt>
                <c:pt idx="987">
                  <c:v>1.6439156085878626</c:v>
                </c:pt>
                <c:pt idx="988">
                  <c:v>1.6438868955171362</c:v>
                </c:pt>
                <c:pt idx="989">
                  <c:v>1.6438581826085823</c:v>
                </c:pt>
                <c:pt idx="990">
                  <c:v>1.6438294698622045</c:v>
                </c:pt>
                <c:pt idx="991">
                  <c:v>1.6438007572780045</c:v>
                </c:pt>
                <c:pt idx="992">
                  <c:v>1.6437720448559858</c:v>
                </c:pt>
                <c:pt idx="993">
                  <c:v>1.6437433325961379</c:v>
                </c:pt>
                <c:pt idx="994">
                  <c:v>1.6437146204984767</c:v>
                </c:pt>
                <c:pt idx="995">
                  <c:v>1.6436859085629862</c:v>
                </c:pt>
                <c:pt idx="996">
                  <c:v>1.6436571967896789</c:v>
                </c:pt>
                <c:pt idx="997">
                  <c:v>1.643628485178553</c:v>
                </c:pt>
                <c:pt idx="998">
                  <c:v>1.6435997737296066</c:v>
                </c:pt>
                <c:pt idx="999">
                  <c:v>1.6435710624428381</c:v>
                </c:pt>
                <c:pt idx="1000">
                  <c:v>1.6435423513182581</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Calculs!$AH$4:$AH$1004</c:f>
              <c:numCache>
                <c:formatCode>0.00</c:formatCode>
                <c:ptCount val="1001"/>
                <c:pt idx="0">
                  <c:v>0</c:v>
                </c:pt>
                <c:pt idx="1">
                  <c:v>18.492798986670824</c:v>
                </c:pt>
                <c:pt idx="2">
                  <c:v>38.895759921020755</c:v>
                </c:pt>
                <c:pt idx="3">
                  <c:v>47.364976884211615</c:v>
                </c:pt>
                <c:pt idx="4">
                  <c:v>55.840510941661563</c:v>
                </c:pt>
                <c:pt idx="5">
                  <c:v>64.323399756272892</c:v>
                </c:pt>
                <c:pt idx="6">
                  <c:v>72.814673745698059</c:v>
                </c:pt>
                <c:pt idx="7">
                  <c:v>81.315356467144312</c:v>
                </c:pt>
                <c:pt idx="8">
                  <c:v>89.826464992576277</c:v>
                </c:pt>
                <c:pt idx="9">
                  <c:v>98.34901027469536</c:v>
                </c:pt>
                <c:pt idx="10">
                  <c:v>106.88399750406018</c:v>
                </c:pt>
                <c:pt idx="11">
                  <c:v>110.55830376092432</c:v>
                </c:pt>
                <c:pt idx="12">
                  <c:v>109.36141703975497</c:v>
                </c:pt>
                <c:pt idx="13">
                  <c:v>108.12497754520047</c:v>
                </c:pt>
                <c:pt idx="14">
                  <c:v>106.84894399946562</c:v>
                </c:pt>
                <c:pt idx="15">
                  <c:v>105.57043375513931</c:v>
                </c:pt>
                <c:pt idx="16">
                  <c:v>104.28948649745585</c:v>
                </c:pt>
                <c:pt idx="17">
                  <c:v>103.00614190195796</c:v>
                </c:pt>
                <c:pt idx="18">
                  <c:v>101.72043962919912</c:v>
                </c:pt>
                <c:pt idx="19">
                  <c:v>100.43241931947267</c:v>
                </c:pt>
                <c:pt idx="20">
                  <c:v>99.142120587568826</c:v>
                </c:pt>
                <c:pt idx="21">
                  <c:v>97.849583017560462</c:v>
                </c:pt>
                <c:pt idx="22">
                  <c:v>96.554846157619025</c:v>
                </c:pt>
                <c:pt idx="23">
                  <c:v>95.257949514861792</c:v>
                </c:pt>
                <c:pt idx="24">
                  <c:v>93.958932550230728</c:v>
                </c:pt>
                <c:pt idx="25">
                  <c:v>92.657834673405119</c:v>
                </c:pt>
                <c:pt idx="26">
                  <c:v>91.354695237748061</c:v>
                </c:pt>
                <c:pt idx="27">
                  <c:v>90.704578549260177</c:v>
                </c:pt>
                <c:pt idx="28">
                  <c:v>90.708628987126843</c:v>
                </c:pt>
                <c:pt idx="29">
                  <c:v>90.712352227402818</c:v>
                </c:pt>
                <c:pt idx="30">
                  <c:v>90.71574785072707</c:v>
                </c:pt>
                <c:pt idx="31">
                  <c:v>90.718815443966136</c:v>
                </c:pt>
                <c:pt idx="32">
                  <c:v>90.721554600236018</c:v>
                </c:pt>
                <c:pt idx="33">
                  <c:v>90.723964918923983</c:v>
                </c:pt>
                <c:pt idx="34">
                  <c:v>90.726046005710174</c:v>
                </c:pt>
                <c:pt idx="35">
                  <c:v>90.727797472588861</c:v>
                </c:pt>
                <c:pt idx="36">
                  <c:v>90.729218869356885</c:v>
                </c:pt>
                <c:pt idx="37">
                  <c:v>90.73030974093345</c:v>
                </c:pt>
                <c:pt idx="38">
                  <c:v>90.731069708991598</c:v>
                </c:pt>
                <c:pt idx="39">
                  <c:v>90.73149840177264</c:v>
                </c:pt>
                <c:pt idx="40">
                  <c:v>90.731595454098169</c:v>
                </c:pt>
                <c:pt idx="41">
                  <c:v>90.731360507381822</c:v>
                </c:pt>
                <c:pt idx="42">
                  <c:v>90.730793209641305</c:v>
                </c:pt>
                <c:pt idx="43">
                  <c:v>90.729893215510813</c:v>
                </c:pt>
                <c:pt idx="44">
                  <c:v>90.728660186253535</c:v>
                </c:pt>
                <c:pt idx="45">
                  <c:v>90.727093789774401</c:v>
                </c:pt>
                <c:pt idx="46">
                  <c:v>90.725193700633099</c:v>
                </c:pt>
                <c:pt idx="47">
                  <c:v>90.722959600056754</c:v>
                </c:pt>
                <c:pt idx="48">
                  <c:v>90.720391175953239</c:v>
                </c:pt>
                <c:pt idx="49">
                  <c:v>90.717488122924124</c:v>
                </c:pt>
                <c:pt idx="50">
                  <c:v>90.714250142277805</c:v>
                </c:pt>
                <c:pt idx="51">
                  <c:v>90.710676942042468</c:v>
                </c:pt>
                <c:pt idx="52">
                  <c:v>90.706768236979286</c:v>
                </c:pt>
                <c:pt idx="53">
                  <c:v>90.702523748595326</c:v>
                </c:pt>
                <c:pt idx="54">
                  <c:v>90.697943205156378</c:v>
                </c:pt>
                <c:pt idx="55">
                  <c:v>90.693026341699934</c:v>
                </c:pt>
                <c:pt idx="56">
                  <c:v>90.687772900047747</c:v>
                </c:pt>
                <c:pt idx="57">
                  <c:v>90.682182628818595</c:v>
                </c:pt>
                <c:pt idx="58">
                  <c:v>90.676255283440653</c:v>
                </c:pt>
                <c:pt idx="59">
                  <c:v>90.669990626163795</c:v>
                </c:pt>
                <c:pt idx="60">
                  <c:v>90.663388426071862</c:v>
                </c:pt>
                <c:pt idx="61">
                  <c:v>90.656448459094648</c:v>
                </c:pt>
                <c:pt idx="62">
                  <c:v>90.649170508019722</c:v>
                </c:pt>
                <c:pt idx="63">
                  <c:v>90.641554362504138</c:v>
                </c:pt>
                <c:pt idx="64">
                  <c:v>90.633599819085887</c:v>
                </c:pt>
                <c:pt idx="65">
                  <c:v>90.625306681195184</c:v>
                </c:pt>
                <c:pt idx="66">
                  <c:v>90.616674759165562</c:v>
                </c:pt>
                <c:pt idx="67">
                  <c:v>90.607703870244777</c:v>
                </c:pt>
                <c:pt idx="68">
                  <c:v>90.598393838605404</c:v>
                </c:pt>
                <c:pt idx="69">
                  <c:v>90.588744495355328</c:v>
                </c:pt>
                <c:pt idx="70">
                  <c:v>90.578755678548006</c:v>
                </c:pt>
                <c:pt idx="71">
                  <c:v>90.568427233192352</c:v>
                </c:pt>
                <c:pt idx="72">
                  <c:v>90.550263687030096</c:v>
                </c:pt>
                <c:pt idx="73">
                  <c:v>90.524253341086151</c:v>
                </c:pt>
                <c:pt idx="74">
                  <c:v>90.497886800492111</c:v>
                </c:pt>
                <c:pt idx="75">
                  <c:v>90.471164112112547</c:v>
                </c:pt>
                <c:pt idx="76">
                  <c:v>90.444085330351626</c:v>
                </c:pt>
                <c:pt idx="77">
                  <c:v>90.416650517154025</c:v>
                </c:pt>
                <c:pt idx="78">
                  <c:v>90.388859742005764</c:v>
                </c:pt>
                <c:pt idx="79">
                  <c:v>90.360713081934819</c:v>
                </c:pt>
                <c:pt idx="80">
                  <c:v>90.332210621511095</c:v>
                </c:pt>
                <c:pt idx="81">
                  <c:v>90.303352452846511</c:v>
                </c:pt>
                <c:pt idx="82">
                  <c:v>90.274138675594486</c:v>
                </c:pt>
                <c:pt idx="83">
                  <c:v>90.244569396949188</c:v>
                </c:pt>
                <c:pt idx="84">
                  <c:v>90.21464473164454</c:v>
                </c:pt>
                <c:pt idx="85">
                  <c:v>90.184364801952825</c:v>
                </c:pt>
                <c:pt idx="86">
                  <c:v>90.153729737683094</c:v>
                </c:pt>
                <c:pt idx="87">
                  <c:v>90.122739676179037</c:v>
                </c:pt>
                <c:pt idx="88">
                  <c:v>90.091394762316853</c:v>
                </c:pt>
                <c:pt idx="89">
                  <c:v>90.05969514850247</c:v>
                </c:pt>
                <c:pt idx="90">
                  <c:v>90.027640994668673</c:v>
                </c:pt>
                <c:pt idx="91">
                  <c:v>89.995232468271894</c:v>
                </c:pt>
                <c:pt idx="92">
                  <c:v>89.962469744288484</c:v>
                </c:pt>
                <c:pt idx="93">
                  <c:v>89.929353005210956</c:v>
                </c:pt>
                <c:pt idx="94">
                  <c:v>89.895882441043653</c:v>
                </c:pt>
                <c:pt idx="95">
                  <c:v>89.862058249298187</c:v>
                </c:pt>
                <c:pt idx="96">
                  <c:v>89.827880634988603</c:v>
                </c:pt>
                <c:pt idx="97">
                  <c:v>89.79334981062614</c:v>
                </c:pt>
                <c:pt idx="98">
                  <c:v>89.758465996213673</c:v>
                </c:pt>
                <c:pt idx="99">
                  <c:v>89.723229419239829</c:v>
                </c:pt>
                <c:pt idx="100">
                  <c:v>89.68764031467289</c:v>
                </c:pt>
                <c:pt idx="101">
                  <c:v>89.651698924954133</c:v>
                </c:pt>
                <c:pt idx="102">
                  <c:v>89.615405499991056</c:v>
                </c:pt>
                <c:pt idx="103">
                  <c:v>89.578760297150126</c:v>
                </c:pt>
                <c:pt idx="104">
                  <c:v>89.541763581249384</c:v>
                </c:pt>
                <c:pt idx="105">
                  <c:v>89.504415624550433</c:v>
                </c:pt>
                <c:pt idx="106">
                  <c:v>89.46671670675039</c:v>
                </c:pt>
                <c:pt idx="107">
                  <c:v>89.428667114973308</c:v>
                </c:pt>
                <c:pt idx="108">
                  <c:v>89.390267143761378</c:v>
                </c:pt>
                <c:pt idx="109">
                  <c:v>89.351517095065759</c:v>
                </c:pt>
                <c:pt idx="110">
                  <c:v>89.312417278237021</c:v>
                </c:pt>
                <c:pt idx="111">
                  <c:v>89.272968010015404</c:v>
                </c:pt>
                <c:pt idx="112">
                  <c:v>89.23316961452052</c:v>
                </c:pt>
                <c:pt idx="113">
                  <c:v>89.193022423241089</c:v>
                </c:pt>
                <c:pt idx="114">
                  <c:v>89.152526775023901</c:v>
                </c:pt>
                <c:pt idx="115">
                  <c:v>89.111683016062699</c:v>
                </c:pt>
                <c:pt idx="116">
                  <c:v>89.070491499886856</c:v>
                </c:pt>
                <c:pt idx="117">
                  <c:v>89.02895258734938</c:v>
                </c:pt>
                <c:pt idx="118">
                  <c:v>88.987066646614892</c:v>
                </c:pt>
                <c:pt idx="119">
                  <c:v>88.944834053147076</c:v>
                </c:pt>
                <c:pt idx="120">
                  <c:v>88.902255189696007</c:v>
                </c:pt>
                <c:pt idx="121">
                  <c:v>88.859330446284901</c:v>
                </c:pt>
                <c:pt idx="122">
                  <c:v>88.816060220196746</c:v>
                </c:pt>
                <c:pt idx="123">
                  <c:v>88.77244491596052</c:v>
                </c:pt>
                <c:pt idx="124">
                  <c:v>88.72848494533703</c:v>
                </c:pt>
                <c:pt idx="125">
                  <c:v>88.684180727304593</c:v>
                </c:pt>
                <c:pt idx="126">
                  <c:v>88.639532688044227</c:v>
                </c:pt>
                <c:pt idx="127">
                  <c:v>88.594541260924572</c:v>
                </c:pt>
                <c:pt idx="128">
                  <c:v>88.54920688648653</c:v>
                </c:pt>
                <c:pt idx="129">
                  <c:v>88.468907104226162</c:v>
                </c:pt>
                <c:pt idx="130">
                  <c:v>88.353597678933042</c:v>
                </c:pt>
                <c:pt idx="131">
                  <c:v>88.237889483223384</c:v>
                </c:pt>
                <c:pt idx="132">
                  <c:v>88.121783917961352</c:v>
                </c:pt>
                <c:pt idx="133">
                  <c:v>88.005282391780597</c:v>
                </c:pt>
                <c:pt idx="134">
                  <c:v>87.888386321020135</c:v>
                </c:pt>
                <c:pt idx="135">
                  <c:v>87.771097129659822</c:v>
                </c:pt>
                <c:pt idx="136">
                  <c:v>87.65341624925567</c:v>
                </c:pt>
                <c:pt idx="137">
                  <c:v>87.535345118874702</c:v>
                </c:pt>
                <c:pt idx="138">
                  <c:v>87.416885185029642</c:v>
                </c:pt>
                <c:pt idx="139">
                  <c:v>87.298037901613228</c:v>
                </c:pt>
                <c:pt idx="140">
                  <c:v>87.178804729832251</c:v>
                </c:pt>
                <c:pt idx="141">
                  <c:v>87.059187138141368</c:v>
                </c:pt>
                <c:pt idx="142">
                  <c:v>86.939186602176548</c:v>
                </c:pt>
                <c:pt idx="143">
                  <c:v>86.818804604688268</c:v>
                </c:pt>
                <c:pt idx="144">
                  <c:v>86.69804263547455</c:v>
                </c:pt>
                <c:pt idx="145">
                  <c:v>86.576902191313536</c:v>
                </c:pt>
                <c:pt idx="146">
                  <c:v>86.455384775896007</c:v>
                </c:pt>
                <c:pt idx="147">
                  <c:v>86.33349189975749</c:v>
                </c:pt>
                <c:pt idx="148">
                  <c:v>86.211225080210198</c:v>
                </c:pt>
                <c:pt idx="149">
                  <c:v>86.088585841274778</c:v>
                </c:pt>
                <c:pt idx="150">
                  <c:v>85.965575713611656</c:v>
                </c:pt>
                <c:pt idx="151">
                  <c:v>85.842196234452345</c:v>
                </c:pt>
                <c:pt idx="152">
                  <c:v>85.718448947530362</c:v>
                </c:pt>
                <c:pt idx="153">
                  <c:v>85.594335403012082</c:v>
                </c:pt>
                <c:pt idx="154">
                  <c:v>85.469857157427185</c:v>
                </c:pt>
                <c:pt idx="155">
                  <c:v>85.345015773599116</c:v>
                </c:pt>
                <c:pt idx="156">
                  <c:v>85.219812820575129</c:v>
                </c:pt>
                <c:pt idx="157">
                  <c:v>85.094249873556322</c:v>
                </c:pt>
                <c:pt idx="158">
                  <c:v>84.968328513827331</c:v>
                </c:pt>
                <c:pt idx="159">
                  <c:v>84.842050328685801</c:v>
                </c:pt>
                <c:pt idx="160">
                  <c:v>84.715416911371989</c:v>
                </c:pt>
                <c:pt idx="161">
                  <c:v>84.588429860997707</c:v>
                </c:pt>
                <c:pt idx="162">
                  <c:v>84.461090782475566</c:v>
                </c:pt>
                <c:pt idx="163">
                  <c:v>84.333401286447696</c:v>
                </c:pt>
                <c:pt idx="164">
                  <c:v>84.20536298921445</c:v>
                </c:pt>
                <c:pt idx="165">
                  <c:v>84.076977512663035</c:v>
                </c:pt>
                <c:pt idx="166">
                  <c:v>83.94824648419582</c:v>
                </c:pt>
                <c:pt idx="167">
                  <c:v>83.819171536658644</c:v>
                </c:pt>
                <c:pt idx="168">
                  <c:v>83.689754308268874</c:v>
                </c:pt>
                <c:pt idx="169">
                  <c:v>83.559996442543365</c:v>
                </c:pt>
                <c:pt idx="170">
                  <c:v>83.429899588226363</c:v>
                </c:pt>
                <c:pt idx="171">
                  <c:v>83.299465399217212</c:v>
                </c:pt>
                <c:pt idx="172">
                  <c:v>83.168695534497928</c:v>
                </c:pt>
                <c:pt idx="173">
                  <c:v>83.037591658060677</c:v>
                </c:pt>
                <c:pt idx="174">
                  <c:v>82.906155438835185</c:v>
                </c:pt>
                <c:pt idx="175">
                  <c:v>82.774388550616024</c:v>
                </c:pt>
                <c:pt idx="176">
                  <c:v>82.642292671989821</c:v>
                </c:pt>
                <c:pt idx="177">
                  <c:v>82.509869486262232</c:v>
                </c:pt>
                <c:pt idx="178">
                  <c:v>82.377120681385136</c:v>
                </c:pt>
                <c:pt idx="179">
                  <c:v>82.244047949883338</c:v>
                </c:pt>
                <c:pt idx="180">
                  <c:v>82.110652988781638</c:v>
                </c:pt>
                <c:pt idx="181">
                  <c:v>81.976937499531488</c:v>
                </c:pt>
                <c:pt idx="182">
                  <c:v>81.842903187937779</c:v>
                </c:pt>
                <c:pt idx="183">
                  <c:v>81.708551764085414</c:v>
                </c:pt>
                <c:pt idx="184">
                  <c:v>81.573884942265977</c:v>
                </c:pt>
                <c:pt idx="185">
                  <c:v>81.438904440904324</c:v>
                </c:pt>
                <c:pt idx="186">
                  <c:v>81.303611982485009</c:v>
                </c:pt>
                <c:pt idx="187">
                  <c:v>81.168009293478846</c:v>
                </c:pt>
                <c:pt idx="188">
                  <c:v>81.032098104269338</c:v>
                </c:pt>
                <c:pt idx="189">
                  <c:v>80.895880149079034</c:v>
                </c:pt>
                <c:pt idx="190">
                  <c:v>80.75935716589602</c:v>
                </c:pt>
                <c:pt idx="191">
                  <c:v>80.622530896400249</c:v>
                </c:pt>
                <c:pt idx="192">
                  <c:v>80.485403085889942</c:v>
                </c:pt>
                <c:pt idx="193">
                  <c:v>80.347975483207904</c:v>
                </c:pt>
                <c:pt idx="194">
                  <c:v>80.210249840667984</c:v>
                </c:pt>
                <c:pt idx="195">
                  <c:v>80.072227913981337</c:v>
                </c:pt>
                <c:pt idx="196">
                  <c:v>79.933911462182863</c:v>
                </c:pt>
                <c:pt idx="197">
                  <c:v>79.795302247557629</c:v>
                </c:pt>
                <c:pt idx="198">
                  <c:v>79.656402035567254</c:v>
                </c:pt>
                <c:pt idx="199">
                  <c:v>79.517212594776296</c:v>
                </c:pt>
                <c:pt idx="200">
                  <c:v>79.377735696778885</c:v>
                </c:pt>
                <c:pt idx="201">
                  <c:v>79.237973116125005</c:v>
                </c:pt>
                <c:pt idx="202">
                  <c:v>79.097926630247258</c:v>
                </c:pt>
                <c:pt idx="203">
                  <c:v>78.957598019387319</c:v>
                </c:pt>
                <c:pt idx="204">
                  <c:v>78.81698906652268</c:v>
                </c:pt>
                <c:pt idx="205">
                  <c:v>78.676101557293222</c:v>
                </c:pt>
                <c:pt idx="206">
                  <c:v>78.526471769906749</c:v>
                </c:pt>
                <c:pt idx="207">
                  <c:v>78.368094370526933</c:v>
                </c:pt>
                <c:pt idx="208">
                  <c:v>78.209436898911335</c:v>
                </c:pt>
                <c:pt idx="209">
                  <c:v>78.050501390413345</c:v>
                </c:pt>
                <c:pt idx="210">
                  <c:v>77.891289882153913</c:v>
                </c:pt>
                <c:pt idx="211">
                  <c:v>77.731804412937265</c:v>
                </c:pt>
                <c:pt idx="212">
                  <c:v>77.572047023166917</c:v>
                </c:pt>
                <c:pt idx="213">
                  <c:v>77.412019754761744</c:v>
                </c:pt>
                <c:pt idx="214">
                  <c:v>77.25172465107228</c:v>
                </c:pt>
                <c:pt idx="215">
                  <c:v>77.091163756797172</c:v>
                </c:pt>
                <c:pt idx="216">
                  <c:v>76.930339117899806</c:v>
                </c:pt>
                <c:pt idx="217">
                  <c:v>76.769252781525225</c:v>
                </c:pt>
                <c:pt idx="218">
                  <c:v>76.607906795917145</c:v>
                </c:pt>
                <c:pt idx="219">
                  <c:v>76.446303210335174</c:v>
                </c:pt>
                <c:pt idx="220">
                  <c:v>76.284444074972313</c:v>
                </c:pt>
                <c:pt idx="221">
                  <c:v>76.122331440872671</c:v>
                </c:pt>
                <c:pt idx="222">
                  <c:v>75.959967359849244</c:v>
                </c:pt>
                <c:pt idx="223">
                  <c:v>75.797353884402128</c:v>
                </c:pt>
                <c:pt idx="224">
                  <c:v>75.634493067636853</c:v>
                </c:pt>
                <c:pt idx="225">
                  <c:v>75.471386963182951</c:v>
                </c:pt>
                <c:pt idx="226">
                  <c:v>75.308037625112803</c:v>
                </c:pt>
                <c:pt idx="227">
                  <c:v>75.144447107860728</c:v>
                </c:pt>
                <c:pt idx="228">
                  <c:v>74.980617466142249</c:v>
                </c:pt>
                <c:pt idx="229">
                  <c:v>74.816550754873703</c:v>
                </c:pt>
                <c:pt idx="230">
                  <c:v>74.652249029092133</c:v>
                </c:pt>
                <c:pt idx="231">
                  <c:v>74.487714343875268</c:v>
                </c:pt>
                <c:pt idx="232">
                  <c:v>74.322948754262029</c:v>
                </c:pt>
                <c:pt idx="233">
                  <c:v>74.157954315173086</c:v>
                </c:pt>
                <c:pt idx="234">
                  <c:v>73.992733081331821</c:v>
                </c:pt>
                <c:pt idx="235">
                  <c:v>73.827287107185569</c:v>
                </c:pt>
                <c:pt idx="236">
                  <c:v>73.661618446827063</c:v>
                </c:pt>
                <c:pt idx="237">
                  <c:v>73.495729153916258</c:v>
                </c:pt>
                <c:pt idx="238">
                  <c:v>73.3296212816024</c:v>
                </c:pt>
                <c:pt idx="239">
                  <c:v>73.163296882446446</c:v>
                </c:pt>
                <c:pt idx="240">
                  <c:v>72.996758008343789</c:v>
                </c:pt>
                <c:pt idx="241">
                  <c:v>72.830006710447194</c:v>
                </c:pt>
                <c:pt idx="242">
                  <c:v>72.633731876807701</c:v>
                </c:pt>
                <c:pt idx="243">
                  <c:v>72.407917264800787</c:v>
                </c:pt>
                <c:pt idx="244">
                  <c:v>72.181884196145447</c:v>
                </c:pt>
                <c:pt idx="245">
                  <c:v>71.955635573881793</c:v>
                </c:pt>
                <c:pt idx="246">
                  <c:v>71.729174296709544</c:v>
                </c:pt>
                <c:pt idx="247">
                  <c:v>71.502503258875663</c:v>
                </c:pt>
                <c:pt idx="248">
                  <c:v>71.275625350062825</c:v>
                </c:pt>
                <c:pt idx="249">
                  <c:v>71.048543455278462</c:v>
                </c:pt>
                <c:pt idx="250">
                  <c:v>70.821260454744746</c:v>
                </c:pt>
                <c:pt idx="251">
                  <c:v>70.59377922378934</c:v>
                </c:pt>
                <c:pt idx="252">
                  <c:v>70.366102632736855</c:v>
                </c:pt>
                <c:pt idx="253">
                  <c:v>70.138233546801075</c:v>
                </c:pt>
                <c:pt idx="254">
                  <c:v>69.910174825978061</c:v>
                </c:pt>
                <c:pt idx="255">
                  <c:v>69.681929324939958</c:v>
                </c:pt>
                <c:pt idx="256">
                  <c:v>69.453499892929699</c:v>
                </c:pt>
                <c:pt idx="257">
                  <c:v>69.224889373656382</c:v>
                </c:pt>
                <c:pt idx="258">
                  <c:v>68.996100605191572</c:v>
                </c:pt>
                <c:pt idx="259">
                  <c:v>68.767136419866389</c:v>
                </c:pt>
                <c:pt idx="260">
                  <c:v>68.537999644169275</c:v>
                </c:pt>
                <c:pt idx="261">
                  <c:v>68.308693098644881</c:v>
                </c:pt>
                <c:pt idx="262">
                  <c:v>68.079219597793397</c:v>
                </c:pt>
                <c:pt idx="263">
                  <c:v>67.849581949971039</c:v>
                </c:pt>
                <c:pt idx="264">
                  <c:v>67.619782957291207</c:v>
                </c:pt>
                <c:pt idx="265">
                  <c:v>67.389825415526445</c:v>
                </c:pt>
                <c:pt idx="266">
                  <c:v>67.159712114011427</c:v>
                </c:pt>
                <c:pt idx="267">
                  <c:v>66.92944583554646</c:v>
                </c:pt>
                <c:pt idx="268">
                  <c:v>66.699029356302262</c:v>
                </c:pt>
                <c:pt idx="269">
                  <c:v>66.468465445725215</c:v>
                </c:pt>
                <c:pt idx="270">
                  <c:v>66.237756866443647</c:v>
                </c:pt>
                <c:pt idx="271">
                  <c:v>66.006906374174918</c:v>
                </c:pt>
                <c:pt idx="272">
                  <c:v>65.775916717633464</c:v>
                </c:pt>
                <c:pt idx="273">
                  <c:v>65.544790638439522</c:v>
                </c:pt>
                <c:pt idx="274">
                  <c:v>65.313530871028917</c:v>
                </c:pt>
                <c:pt idx="275">
                  <c:v>65.082140142563475</c:v>
                </c:pt>
                <c:pt idx="276">
                  <c:v>64.850621172842651</c:v>
                </c:pt>
                <c:pt idx="277">
                  <c:v>64.618976674215645</c:v>
                </c:pt>
                <c:pt idx="278">
                  <c:v>64.38720935149469</c:v>
                </c:pt>
                <c:pt idx="279">
                  <c:v>64.155321901869002</c:v>
                </c:pt>
                <c:pt idx="280">
                  <c:v>63.92331701481983</c:v>
                </c:pt>
                <c:pt idx="281">
                  <c:v>63.691197372036143</c:v>
                </c:pt>
                <c:pt idx="282">
                  <c:v>63.458965647331397</c:v>
                </c:pt>
                <c:pt idx="283">
                  <c:v>63.226624506561087</c:v>
                </c:pt>
                <c:pt idx="284">
                  <c:v>63.028654122299251</c:v>
                </c:pt>
                <c:pt idx="285">
                  <c:v>62.865068648895409</c:v>
                </c:pt>
                <c:pt idx="286">
                  <c:v>62.701378518186708</c:v>
                </c:pt>
                <c:pt idx="287">
                  <c:v>62.537585465397392</c:v>
                </c:pt>
                <c:pt idx="288">
                  <c:v>62.373691222039888</c:v>
                </c:pt>
                <c:pt idx="289">
                  <c:v>62.209697515866466</c:v>
                </c:pt>
                <c:pt idx="290">
                  <c:v>62.045606070821322</c:v>
                </c:pt>
                <c:pt idx="291">
                  <c:v>61.881418606992888</c:v>
                </c:pt>
                <c:pt idx="292">
                  <c:v>61.717136840566837</c:v>
                </c:pt>
                <c:pt idx="293">
                  <c:v>61.552762483779212</c:v>
                </c:pt>
                <c:pt idx="294">
                  <c:v>61.388297244870152</c:v>
                </c:pt>
                <c:pt idx="295">
                  <c:v>61.223742828037885</c:v>
                </c:pt>
                <c:pt idx="296">
                  <c:v>61.059100933393211</c:v>
                </c:pt>
                <c:pt idx="297">
                  <c:v>60.894373256914363</c:v>
                </c:pt>
                <c:pt idx="298">
                  <c:v>60.72956149040229</c:v>
                </c:pt>
                <c:pt idx="299">
                  <c:v>60.564667321436318</c:v>
                </c:pt>
                <c:pt idx="300">
                  <c:v>60.399692433330266</c:v>
                </c:pt>
                <c:pt idx="301">
                  <c:v>60.234638505088867</c:v>
                </c:pt>
                <c:pt idx="302">
                  <c:v>60.069507211364794</c:v>
                </c:pt>
                <c:pt idx="303">
                  <c:v>59.904300222415905</c:v>
                </c:pt>
                <c:pt idx="304">
                  <c:v>59.73901920406297</c:v>
                </c:pt>
                <c:pt idx="305">
                  <c:v>59.573665817647843</c:v>
                </c:pt>
                <c:pt idx="306">
                  <c:v>59.408241719992063</c:v>
                </c:pt>
                <c:pt idx="307">
                  <c:v>59.242748563355654</c:v>
                </c:pt>
                <c:pt idx="308">
                  <c:v>59.077187995396763</c:v>
                </c:pt>
                <c:pt idx="309">
                  <c:v>58.911561659131273</c:v>
                </c:pt>
                <c:pt idx="310">
                  <c:v>58.745871192893105</c:v>
                </c:pt>
                <c:pt idx="311">
                  <c:v>58.580118230294786</c:v>
                </c:pt>
                <c:pt idx="312">
                  <c:v>58.41430440018857</c:v>
                </c:pt>
                <c:pt idx="313">
                  <c:v>58.248431326627902</c:v>
                </c:pt>
                <c:pt idx="314">
                  <c:v>58.082500628829223</c:v>
                </c:pt>
                <c:pt idx="315">
                  <c:v>57.916513921134374</c:v>
                </c:pt>
                <c:pt idx="316">
                  <c:v>57.750472812973236</c:v>
                </c:pt>
                <c:pt idx="317">
                  <c:v>57.584378908826906</c:v>
                </c:pt>
                <c:pt idx="318">
                  <c:v>57.418233808191253</c:v>
                </c:pt>
                <c:pt idx="319">
                  <c:v>57.252039105540867</c:v>
                </c:pt>
                <c:pt idx="320">
                  <c:v>57.085796390293517</c:v>
                </c:pt>
                <c:pt idx="321">
                  <c:v>56.91950724677482</c:v>
                </c:pt>
                <c:pt idx="322">
                  <c:v>56.75317325418365</c:v>
                </c:pt>
                <c:pt idx="323">
                  <c:v>56.586795986557647</c:v>
                </c:pt>
                <c:pt idx="324">
                  <c:v>56.420377012739337</c:v>
                </c:pt>
                <c:pt idx="325">
                  <c:v>56.253917896342671</c:v>
                </c:pt>
                <c:pt idx="326">
                  <c:v>56.089541603196786</c:v>
                </c:pt>
                <c:pt idx="327">
                  <c:v>55.927249932833419</c:v>
                </c:pt>
                <c:pt idx="328">
                  <c:v>55.764921759140307</c:v>
                </c:pt>
                <c:pt idx="329">
                  <c:v>55.602558578877542</c:v>
                </c:pt>
                <c:pt idx="330">
                  <c:v>55.44016188368559</c:v>
                </c:pt>
                <c:pt idx="331">
                  <c:v>55.277733160055185</c:v>
                </c:pt>
                <c:pt idx="332">
                  <c:v>55.115273889297711</c:v>
                </c:pt>
                <c:pt idx="333">
                  <c:v>54.952785547515916</c:v>
                </c:pt>
                <c:pt idx="334">
                  <c:v>54.79026960557497</c:v>
                </c:pt>
                <c:pt idx="335">
                  <c:v>54.627727529074008</c:v>
                </c:pt>
                <c:pt idx="336">
                  <c:v>54.465160778318022</c:v>
                </c:pt>
                <c:pt idx="337">
                  <c:v>54.302570808290128</c:v>
                </c:pt>
                <c:pt idx="338">
                  <c:v>54.139959068624258</c:v>
                </c:pt>
                <c:pt idx="339">
                  <c:v>53.977327003578232</c:v>
                </c:pt>
                <c:pt idx="340">
                  <c:v>53.814676052007179</c:v>
                </c:pt>
                <c:pt idx="341">
                  <c:v>53.652007647337456</c:v>
                </c:pt>
                <c:pt idx="342">
                  <c:v>53.489323217540893</c:v>
                </c:pt>
                <c:pt idx="343">
                  <c:v>53.32662418510931</c:v>
                </c:pt>
                <c:pt idx="344">
                  <c:v>53.163911967029691</c:v>
                </c:pt>
                <c:pt idx="345">
                  <c:v>53.001187974759439</c:v>
                </c:pt>
                <c:pt idx="346">
                  <c:v>52.838453614202315</c:v>
                </c:pt>
                <c:pt idx="347">
                  <c:v>52.675710285684524</c:v>
                </c:pt>
                <c:pt idx="348">
                  <c:v>52.512959383931324</c:v>
                </c:pt>
                <c:pt idx="349">
                  <c:v>52.350202298043975</c:v>
                </c:pt>
                <c:pt idx="350">
                  <c:v>52.187440411477077</c:v>
                </c:pt>
                <c:pt idx="351">
                  <c:v>52.024675102016232</c:v>
                </c:pt>
                <c:pt idx="352">
                  <c:v>51.861907741756276</c:v>
                </c:pt>
                <c:pt idx="353">
                  <c:v>51.699139697079687</c:v>
                </c:pt>
                <c:pt idx="354">
                  <c:v>51.536372328635395</c:v>
                </c:pt>
                <c:pt idx="355">
                  <c:v>51.373606991318198</c:v>
                </c:pt>
                <c:pt idx="356">
                  <c:v>51.210845034248209</c:v>
                </c:pt>
                <c:pt idx="357">
                  <c:v>51.048087800750956</c:v>
                </c:pt>
                <c:pt idx="358">
                  <c:v>50.885336628337761</c:v>
                </c:pt>
                <c:pt idx="359">
                  <c:v>50.722592848686503</c:v>
                </c:pt>
                <c:pt idx="360">
                  <c:v>50.559857787622718</c:v>
                </c:pt>
                <c:pt idx="361">
                  <c:v>50.397132765101141</c:v>
                </c:pt>
                <c:pt idx="362">
                  <c:v>50.23441909518759</c:v>
                </c:pt>
                <c:pt idx="363">
                  <c:v>50.071718086041152</c:v>
                </c:pt>
                <c:pt idx="364">
                  <c:v>49.909031039896917</c:v>
                </c:pt>
                <c:pt idx="365">
                  <c:v>49.746359253048936</c:v>
                </c:pt>
                <c:pt idx="366">
                  <c:v>49.637557785670928</c:v>
                </c:pt>
                <c:pt idx="367">
                  <c:v>49.582623894827471</c:v>
                </c:pt>
                <c:pt idx="368">
                  <c:v>49.527665098498936</c:v>
                </c:pt>
                <c:pt idx="369">
                  <c:v>49.472681820766113</c:v>
                </c:pt>
                <c:pt idx="370">
                  <c:v>49.417674484955519</c:v>
                </c:pt>
                <c:pt idx="371">
                  <c:v>49.36264351363323</c:v>
                </c:pt>
                <c:pt idx="372">
                  <c:v>49.307589328598667</c:v>
                </c:pt>
                <c:pt idx="373">
                  <c:v>49.252512350878582</c:v>
                </c:pt>
                <c:pt idx="374">
                  <c:v>49.197413000720893</c:v>
                </c:pt>
                <c:pt idx="375">
                  <c:v>49.142291697588796</c:v>
                </c:pt>
                <c:pt idx="376">
                  <c:v>49.087148860154691</c:v>
                </c:pt>
                <c:pt idx="377">
                  <c:v>49.031984906294326</c:v>
                </c:pt>
                <c:pt idx="378">
                  <c:v>48.976800253080825</c:v>
                </c:pt>
                <c:pt idx="379">
                  <c:v>48.921595316778955</c:v>
                </c:pt>
                <c:pt idx="380">
                  <c:v>48.866370512839268</c:v>
                </c:pt>
                <c:pt idx="381">
                  <c:v>48.752972442204872</c:v>
                </c:pt>
                <c:pt idx="382">
                  <c:v>48.581408069322649</c:v>
                </c:pt>
                <c:pt idx="383">
                  <c:v>48.409876987352447</c:v>
                </c:pt>
                <c:pt idx="384">
                  <c:v>48.238380516066258</c:v>
                </c:pt>
                <c:pt idx="385">
                  <c:v>48.066919968429914</c:v>
                </c:pt>
                <c:pt idx="386">
                  <c:v>47.895496650590253</c:v>
                </c:pt>
                <c:pt idx="387">
                  <c:v>47.724111861862674</c:v>
                </c:pt>
                <c:pt idx="388">
                  <c:v>47.552766894719099</c:v>
                </c:pt>
                <c:pt idx="389">
                  <c:v>47.381463034776338</c:v>
                </c:pt>
                <c:pt idx="390">
                  <c:v>47.210201560784803</c:v>
                </c:pt>
                <c:pt idx="391">
                  <c:v>47.03898374461771</c:v>
                </c:pt>
                <c:pt idx="392">
                  <c:v>46.867810851260508</c:v>
                </c:pt>
                <c:pt idx="393">
                  <c:v>46.696684138800855</c:v>
                </c:pt>
                <c:pt idx="394">
                  <c:v>46.525604858418951</c:v>
                </c:pt>
                <c:pt idx="395">
                  <c:v>46.354574254378129</c:v>
                </c:pt>
                <c:pt idx="396">
                  <c:v>46.183593564016</c:v>
                </c:pt>
                <c:pt idx="397">
                  <c:v>46.012664017735815</c:v>
                </c:pt>
                <c:pt idx="398">
                  <c:v>45.84178683899836</c:v>
                </c:pt>
                <c:pt idx="399">
                  <c:v>45.670963244314137</c:v>
                </c:pt>
                <c:pt idx="400">
                  <c:v>45.500194443235905</c:v>
                </c:pt>
                <c:pt idx="401">
                  <c:v>45.283808647945449</c:v>
                </c:pt>
                <c:pt idx="402">
                  <c:v>45.021816732442311</c:v>
                </c:pt>
                <c:pt idx="403">
                  <c:v>44.759932006540481</c:v>
                </c:pt>
                <c:pt idx="404">
                  <c:v>44.498156582712681</c:v>
                </c:pt>
                <c:pt idx="405">
                  <c:v>44.236492558340508</c:v>
                </c:pt>
                <c:pt idx="406">
                  <c:v>43.974942015707249</c:v>
                </c:pt>
                <c:pt idx="407">
                  <c:v>43.713507021991809</c:v>
                </c:pt>
                <c:pt idx="408">
                  <c:v>43.452189629263522</c:v>
                </c:pt>
                <c:pt idx="409">
                  <c:v>43.190991874477888</c:v>
                </c:pt>
                <c:pt idx="410">
                  <c:v>42.929915779473276</c:v>
                </c:pt>
                <c:pt idx="411">
                  <c:v>42.416814038262025</c:v>
                </c:pt>
                <c:pt idx="412">
                  <c:v>41.651761602938677</c:v>
                </c:pt>
                <c:pt idx="413">
                  <c:v>40.887141270170069</c:v>
                </c:pt>
                <c:pt idx="414">
                  <c:v>40.122964315410691</c:v>
                </c:pt>
                <c:pt idx="415">
                  <c:v>39.359241899614098</c:v>
                </c:pt>
                <c:pt idx="416">
                  <c:v>38.595985069118782</c:v>
                </c:pt>
                <c:pt idx="417">
                  <c:v>37.833204755548678</c:v>
                </c:pt>
                <c:pt idx="418">
                  <c:v>37.070911775727893</c:v>
                </c:pt>
                <c:pt idx="419">
                  <c:v>36.309116831609636</c:v>
                </c:pt>
                <c:pt idx="420">
                  <c:v>35.404508257897163</c:v>
                </c:pt>
                <c:pt idx="421">
                  <c:v>34.357161493367371</c:v>
                </c:pt>
                <c:pt idx="422">
                  <c:v>33.310555791905585</c:v>
                </c:pt>
                <c:pt idx="423">
                  <c:v>32.264709660009146</c:v>
                </c:pt>
                <c:pt idx="424">
                  <c:v>31.219641389358671</c:v>
                </c:pt>
                <c:pt idx="425">
                  <c:v>30.17536905663059</c:v>
                </c:pt>
                <c:pt idx="426">
                  <c:v>29.131910523342501</c:v>
                </c:pt>
                <c:pt idx="427">
                  <c:v>28.089283435730934</c:v>
                </c:pt>
                <c:pt idx="428">
                  <c:v>27.047505224661094</c:v>
                </c:pt>
                <c:pt idx="429">
                  <c:v>26.006593105568435</c:v>
                </c:pt>
                <c:pt idx="430">
                  <c:v>24.966564078431439</c:v>
                </c:pt>
                <c:pt idx="431">
                  <c:v>23.92743492777527</c:v>
                </c:pt>
                <c:pt idx="432">
                  <c:v>22.658496513926107</c:v>
                </c:pt>
                <c:pt idx="433">
                  <c:v>21.159933041055311</c:v>
                </c:pt>
                <c:pt idx="434">
                  <c:v>19.662758512952554</c:v>
                </c:pt>
                <c:pt idx="435">
                  <c:v>18.167006112238692</c:v>
                </c:pt>
                <c:pt idx="436">
                  <c:v>16.672708573536287</c:v>
                </c:pt>
                <c:pt idx="437">
                  <c:v>15.179898183140203</c:v>
                </c:pt>
                <c:pt idx="438">
                  <c:v>13.688606778774327</c:v>
                </c:pt>
                <c:pt idx="439">
                  <c:v>12.198865749433402</c:v>
                </c:pt>
                <c:pt idx="440">
                  <c:v>10.710706035308579</c:v>
                </c:pt>
                <c:pt idx="441">
                  <c:v>9.2241581277957287</c:v>
                </c:pt>
                <c:pt idx="442">
                  <c:v>7.8792852359957815</c:v>
                </c:pt>
                <c:pt idx="443">
                  <c:v>6.6759726640459816</c:v>
                </c:pt>
                <c:pt idx="444">
                  <c:v>5.4740299205249121</c:v>
                </c:pt>
                <c:pt idx="445">
                  <c:v>4.2734753328306887</c:v>
                </c:pt>
                <c:pt idx="446">
                  <c:v>3.0743269358499905</c:v>
                </c:pt>
                <c:pt idx="447">
                  <c:v>1.8766024725450314</c:v>
                </c:pt>
                <c:pt idx="448">
                  <c:v>0.68031939457847679</c:v>
                </c:pt>
                <c:pt idx="449">
                  <c:v>-0.51450513702431866</c:v>
                </c:pt>
                <c:pt idx="450">
                  <c:v>-1.7078542511763273</c:v>
                </c:pt>
                <c:pt idx="451">
                  <c:v>-2.8997113659940914</c:v>
                </c:pt>
                <c:pt idx="452">
                  <c:v>-4.090060188027377</c:v>
                </c:pt>
                <c:pt idx="453">
                  <c:v>-5.0784731493196409</c:v>
                </c:pt>
                <c:pt idx="454">
                  <c:v>-5.8651896523370466</c:v>
                </c:pt>
                <c:pt idx="455">
                  <c:v>-6.6508925429419863</c:v>
                </c:pt>
                <c:pt idx="456">
                  <c:v>-7.4355763973683544</c:v>
                </c:pt>
                <c:pt idx="457">
                  <c:v>-8.2192359118200393</c:v>
                </c:pt>
                <c:pt idx="458">
                  <c:v>-9.0018659018983396</c:v>
                </c:pt>
                <c:pt idx="459">
                  <c:v>-9.7834613020227525</c:v>
                </c:pt>
                <c:pt idx="460">
                  <c:v>-10.564017164845424</c:v>
                </c:pt>
                <c:pt idx="461">
                  <c:v>-11.163223052055944</c:v>
                </c:pt>
                <c:pt idx="462">
                  <c:v>-11.581322094277317</c:v>
                </c:pt>
                <c:pt idx="463">
                  <c:v>-11.998878196906931</c:v>
                </c:pt>
                <c:pt idx="464">
                  <c:v>-12.415891122461945</c:v>
                </c:pt>
                <c:pt idx="465">
                  <c:v>-12.832360662514219</c:v>
                </c:pt>
                <c:pt idx="466">
                  <c:v>-13.399740075075176</c:v>
                </c:pt>
                <c:pt idx="467">
                  <c:v>-14.117815631651373</c:v>
                </c:pt>
                <c:pt idx="468">
                  <c:v>-16.521477117153754</c:v>
                </c:pt>
                <c:pt idx="469">
                  <c:v>-18.544292603250092</c:v>
                </c:pt>
                <c:pt idx="470">
                  <c:v>-18.500262069811292</c:v>
                </c:pt>
                <c:pt idx="471">
                  <c:v>-18.456361431199159</c:v>
                </c:pt>
                <c:pt idx="472">
                  <c:v>-18.412590178355426</c:v>
                </c:pt>
                <c:pt idx="473">
                  <c:v>-18.368947804745776</c:v>
                </c:pt>
                <c:pt idx="474">
                  <c:v>-18.325433806344876</c:v>
                </c:pt>
                <c:pt idx="475">
                  <c:v>-18.282047681621322</c:v>
                </c:pt>
                <c:pt idx="476">
                  <c:v>-18.238788931522762</c:v>
                </c:pt>
                <c:pt idx="477">
                  <c:v>-18.195657059461219</c:v>
                </c:pt>
                <c:pt idx="478">
                  <c:v>-18.152651571298282</c:v>
                </c:pt>
                <c:pt idx="479">
                  <c:v>-18.109771975330666</c:v>
                </c:pt>
                <c:pt idx="480">
                  <c:v>-18.06701778227567</c:v>
                </c:pt>
                <c:pt idx="481">
                  <c:v>-18.024388505256834</c:v>
                </c:pt>
                <c:pt idx="482">
                  <c:v>-17.98188365978973</c:v>
                </c:pt>
                <c:pt idx="483">
                  <c:v>-17.939502763767717</c:v>
                </c:pt>
                <c:pt idx="484">
                  <c:v>-17.897245337447888</c:v>
                </c:pt>
                <c:pt idx="485">
                  <c:v>-17.855110903437176</c:v>
                </c:pt>
                <c:pt idx="486">
                  <c:v>-17.813098986678366</c:v>
                </c:pt>
                <c:pt idx="487">
                  <c:v>-17.771209114436449</c:v>
                </c:pt>
                <c:pt idx="488">
                  <c:v>-17.729440816284818</c:v>
                </c:pt>
                <c:pt idx="489">
                  <c:v>-17.687793624091768</c:v>
                </c:pt>
                <c:pt idx="490">
                  <c:v>-17.646267072006964</c:v>
                </c:pt>
                <c:pt idx="491">
                  <c:v>-17.604860696448043</c:v>
                </c:pt>
                <c:pt idx="492">
                  <c:v>-17.56357403608731</c:v>
                </c:pt>
                <c:pt idx="493">
                  <c:v>-17.522406631838535</c:v>
                </c:pt>
                <c:pt idx="494">
                  <c:v>-17.481358026843822</c:v>
                </c:pt>
                <c:pt idx="495">
                  <c:v>-17.44042776646053</c:v>
                </c:pt>
                <c:pt idx="496">
                  <c:v>-17.399615398248415</c:v>
                </c:pt>
                <c:pt idx="497">
                  <c:v>-17.358920471956676</c:v>
                </c:pt>
                <c:pt idx="498">
                  <c:v>-17.318342539511249</c:v>
                </c:pt>
                <c:pt idx="499">
                  <c:v>-17.277881155002095</c:v>
                </c:pt>
                <c:pt idx="500">
                  <c:v>-17.23753587467063</c:v>
                </c:pt>
                <c:pt idx="501">
                  <c:v>-17.197306256897186</c:v>
                </c:pt>
                <c:pt idx="502">
                  <c:v>-16.798902348517039</c:v>
                </c:pt>
                <c:pt idx="503">
                  <c:v>-16.411754690142221</c:v>
                </c:pt>
                <c:pt idx="504">
                  <c:v>-16.035444964319893</c:v>
                </c:pt>
                <c:pt idx="505">
                  <c:v>-15.669574394336983</c:v>
                </c:pt>
                <c:pt idx="506">
                  <c:v>-15.31376265245887</c:v>
                </c:pt>
                <c:pt idx="507">
                  <c:v>-14.967646839045198</c:v>
                </c:pt>
                <c:pt idx="508">
                  <c:v>-14.63088052731308</c:v>
                </c:pt>
                <c:pt idx="509">
                  <c:v>-14.303132868949509</c:v>
                </c:pt>
                <c:pt idx="510">
                  <c:v>-13.984087756166492</c:v>
                </c:pt>
                <c:pt idx="511">
                  <c:v>-13.673443036149862</c:v>
                </c:pt>
                <c:pt idx="512">
                  <c:v>-13.370909774176944</c:v>
                </c:pt>
                <c:pt idx="513">
                  <c:v>-13.076211561974841</c:v>
                </c:pt>
                <c:pt idx="514">
                  <c:v>-12.789083868161066</c:v>
                </c:pt>
                <c:pt idx="515">
                  <c:v>-12.509273427854774</c:v>
                </c:pt>
                <c:pt idx="516">
                  <c:v>-12.236537668772437</c:v>
                </c:pt>
                <c:pt idx="517">
                  <c:v>-11.970644171327677</c:v>
                </c:pt>
                <c:pt idx="518">
                  <c:v>-11.711370160443726</c:v>
                </c:pt>
                <c:pt idx="519">
                  <c:v>-11.458502026959827</c:v>
                </c:pt>
                <c:pt idx="520">
                  <c:v>-11.211834876671052</c:v>
                </c:pt>
                <c:pt idx="521">
                  <c:v>-10.971172105186785</c:v>
                </c:pt>
                <c:pt idx="522">
                  <c:v>-10.736324996925871</c:v>
                </c:pt>
                <c:pt idx="523">
                  <c:v>-10.507112346689761</c:v>
                </c:pt>
                <c:pt idx="524">
                  <c:v>-10.283360102367135</c:v>
                </c:pt>
                <c:pt idx="525">
                  <c:v>-10.064901027427446</c:v>
                </c:pt>
                <c:pt idx="526">
                  <c:v>-9.8515743819562633</c:v>
                </c:pt>
                <c:pt idx="527">
                  <c:v>-9.6432256210733378</c:v>
                </c:pt>
                <c:pt idx="528">
                  <c:v>-9.439706109655301</c:v>
                </c:pt>
                <c:pt idx="529">
                  <c:v>-9.2408728523599901</c:v>
                </c:pt>
                <c:pt idx="530">
                  <c:v>-9.0465882380182148</c:v>
                </c:pt>
                <c:pt idx="531">
                  <c:v>-8.8567197975228957</c:v>
                </c:pt>
                <c:pt idx="532">
                  <c:v>-8.6711399744043529</c:v>
                </c:pt>
                <c:pt idx="533">
                  <c:v>-8.4897259073351901</c:v>
                </c:pt>
                <c:pt idx="534">
                  <c:v>-8.312359223858742</c:v>
                </c:pt>
                <c:pt idx="535">
                  <c:v>-8.1389258446818982</c:v>
                </c:pt>
                <c:pt idx="536">
                  <c:v>-7.9693157979163436</c:v>
                </c:pt>
                <c:pt idx="537">
                  <c:v>-7.8034230426927209</c:v>
                </c:pt>
                <c:pt idx="538">
                  <c:v>-7.6411453016092761</c:v>
                </c:pt>
                <c:pt idx="539">
                  <c:v>-7.4823839015113895</c:v>
                </c:pt>
                <c:pt idx="540">
                  <c:v>-7.3270436221304198</c:v>
                </c:pt>
                <c:pt idx="541">
                  <c:v>-7.1750325521403244</c:v>
                </c:pt>
                <c:pt idx="542">
                  <c:v>-7.0262619522181824</c:v>
                </c:pt>
                <c:pt idx="543">
                  <c:v>-6.8806461247208137</c:v>
                </c:pt>
                <c:pt idx="544">
                  <c:v>-6.7381022896134706</c:v>
                </c:pt>
                <c:pt idx="545">
                  <c:v>-6.5985504663093488</c:v>
                </c:pt>
                <c:pt idx="546">
                  <c:v>-6.4619133610993158</c:v>
                </c:pt>
                <c:pt idx="547">
                  <c:v>-6.3281162598708169</c:v>
                </c:pt>
                <c:pt idx="548">
                  <c:v>-6.1970869258331014</c:v>
                </c:pt>
                <c:pt idx="549">
                  <c:v>-6.0687555019829036</c:v>
                </c:pt>
                <c:pt idx="550">
                  <c:v>-5.943054418060429</c:v>
                </c:pt>
                <c:pt idx="551">
                  <c:v>-5.8199183017604481</c:v>
                </c:pt>
                <c:pt idx="552">
                  <c:v>-5.6992838939769825</c:v>
                </c:pt>
                <c:pt idx="553">
                  <c:v>-5.5810899678731003</c:v>
                </c:pt>
                <c:pt idx="554">
                  <c:v>-5.4652772515793293</c:v>
                </c:pt>
                <c:pt idx="555">
                  <c:v>-5.3517883543356159</c:v>
                </c:pt>
                <c:pt idx="556">
                  <c:v>-5.2405676959022811</c:v>
                </c:pt>
                <c:pt idx="557">
                  <c:v>-5.1315614390753224</c:v>
                </c:pt>
                <c:pt idx="558">
                  <c:v>-5.0247174251508486</c:v>
                </c:pt>
                <c:pt idx="559">
                  <c:v>-4.9199851121919433</c:v>
                </c:pt>
                <c:pt idx="560">
                  <c:v>-4.8173155159596375</c:v>
                </c:pt>
                <c:pt idx="561">
                  <c:v>-4.7166611533771725</c:v>
                </c:pt>
                <c:pt idx="562">
                  <c:v>-4.6179759884040816</c:v>
                </c:pt>
                <c:pt idx="563">
                  <c:v>-4.5212153802032304</c:v>
                </c:pt>
                <c:pt idx="564">
                  <c:v>-4.4263360334904505</c:v>
                </c:pt>
                <c:pt idx="565">
                  <c:v>-4.3332959509622722</c:v>
                </c:pt>
                <c:pt idx="566">
                  <c:v>-4.242054387702936</c:v>
                </c:pt>
                <c:pt idx="567">
                  <c:v>-4.1525718074770657</c:v>
                </c:pt>
                <c:pt idx="568">
                  <c:v>-4.064809840819458</c:v>
                </c:pt>
                <c:pt idx="569">
                  <c:v>-3.9787312448380368</c:v>
                </c:pt>
                <c:pt idx="570">
                  <c:v>-3.8942998646504385</c:v>
                </c:pt>
                <c:pt idx="571">
                  <c:v>-3.8114805963788503</c:v>
                </c:pt>
                <c:pt idx="572">
                  <c:v>-3.7302393516316674</c:v>
                </c:pt>
                <c:pt idx="573">
                  <c:v>-3.6505430234041096</c:v>
                </c:pt>
                <c:pt idx="574">
                  <c:v>-3.5723594533335534</c:v>
                </c:pt>
                <c:pt idx="575">
                  <c:v>-3.4956574002484877</c:v>
                </c:pt>
                <c:pt idx="576">
                  <c:v>-3.4204065099531675</c:v>
                </c:pt>
                <c:pt idx="577">
                  <c:v>-3.3465772861929093</c:v>
                </c:pt>
                <c:pt idx="578">
                  <c:v>-3.2741410627477974</c:v>
                </c:pt>
                <c:pt idx="579">
                  <c:v>-3.2030699766050441</c:v>
                </c:pt>
                <c:pt idx="580">
                  <c:v>-3.1333369421628832</c:v>
                </c:pt>
                <c:pt idx="581">
                  <c:v>-3.0649156264210129</c:v>
                </c:pt>
                <c:pt idx="582">
                  <c:v>-2.9977804251149522</c:v>
                </c:pt>
                <c:pt idx="583">
                  <c:v>-2.9319064397536496</c:v>
                </c:pt>
                <c:pt idx="584">
                  <c:v>-2.8672694555217233</c:v>
                </c:pt>
                <c:pt idx="585">
                  <c:v>-2.8038459200095125</c:v>
                </c:pt>
                <c:pt idx="586">
                  <c:v>-2.7416129227359072</c:v>
                </c:pt>
                <c:pt idx="587">
                  <c:v>-2.6805481754306202</c:v>
                </c:pt>
                <c:pt idx="588">
                  <c:v>-2.6206299930440529</c:v>
                </c:pt>
                <c:pt idx="589">
                  <c:v>-2.5618372754545313</c:v>
                </c:pt>
                <c:pt idx="590">
                  <c:v>-2.5041494898439867</c:v>
                </c:pt>
                <c:pt idx="591">
                  <c:v>-2.4475466537145718</c:v>
                </c:pt>
                <c:pt idx="592">
                  <c:v>-2.392009318519956</c:v>
                </c:pt>
                <c:pt idx="593">
                  <c:v>-2.3375185538862278</c:v>
                </c:pt>
                <c:pt idx="594">
                  <c:v>-2.284055932398553</c:v>
                </c:pt>
                <c:pt idx="595">
                  <c:v>-2.2316035149307045</c:v>
                </c:pt>
                <c:pt idx="596">
                  <c:v>-2.1801438364957511</c:v>
                </c:pt>
                <c:pt idx="597">
                  <c:v>-2.1296598925970454</c:v>
                </c:pt>
                <c:pt idx="598">
                  <c:v>-2.0801351260596777</c:v>
                </c:pt>
                <c:pt idx="599">
                  <c:v>-2.0315534143233895</c:v>
                </c:pt>
                <c:pt idx="600">
                  <c:v>-1.9838990571787964</c:v>
                </c:pt>
                <c:pt idx="601">
                  <c:v>-1.9371567649295827</c:v>
                </c:pt>
                <c:pt idx="602">
                  <c:v>-1.8913116469640554</c:v>
                </c:pt>
                <c:pt idx="603">
                  <c:v>-1.8463492007201969</c:v>
                </c:pt>
                <c:pt idx="604">
                  <c:v>-1.8022553010290201</c:v>
                </c:pt>
                <c:pt idx="605">
                  <c:v>-1.7590161898216856</c:v>
                </c:pt>
                <c:pt idx="606">
                  <c:v>-1.7166184661864665</c:v>
                </c:pt>
                <c:pt idx="607">
                  <c:v>-1.6750490767622124</c:v>
                </c:pt>
                <c:pt idx="608">
                  <c:v>-1.6342953064555619</c:v>
                </c:pt>
                <c:pt idx="609">
                  <c:v>-1.5943447694696242</c:v>
                </c:pt>
                <c:pt idx="610">
                  <c:v>-1.5551854006324293</c:v>
                </c:pt>
                <c:pt idx="611">
                  <c:v>-1.5168054470138579</c:v>
                </c:pt>
                <c:pt idx="612">
                  <c:v>-1.4791934598202625</c:v>
                </c:pt>
                <c:pt idx="613">
                  <c:v>-1.4423382865564056</c:v>
                </c:pt>
                <c:pt idx="614">
                  <c:v>-1.4062290634447543</c:v>
                </c:pt>
                <c:pt idx="615">
                  <c:v>-1.3708552080925698</c:v>
                </c:pt>
                <c:pt idx="616">
                  <c:v>-1.3362064123975923</c:v>
                </c:pt>
                <c:pt idx="617">
                  <c:v>-1.3022726356834757</c:v>
                </c:pt>
                <c:pt idx="618">
                  <c:v>-1.2690440980564628</c:v>
                </c:pt>
                <c:pt idx="619">
                  <c:v>-1.2365112739751136</c:v>
                </c:pt>
                <c:pt idx="620">
                  <c:v>-1.2046648860251814</c:v>
                </c:pt>
                <c:pt idx="621">
                  <c:v>-1.173495898892037</c:v>
                </c:pt>
                <c:pt idx="622">
                  <c:v>-1.142995513523293</c:v>
                </c:pt>
                <c:pt idx="623">
                  <c:v>-1.1131551614745414</c:v>
                </c:pt>
                <c:pt idx="624">
                  <c:v>-1.0839664994313523</c:v>
                </c:pt>
                <c:pt idx="625">
                  <c:v>-1.0554214039009018</c:v>
                </c:pt>
                <c:pt idx="626">
                  <c:v>-1.0275119660668299</c:v>
                </c:pt>
                <c:pt idx="627">
                  <c:v>-1.0002304868010863</c:v>
                </c:pt>
                <c:pt idx="628">
                  <c:v>-0.97356947182674014</c:v>
                </c:pt>
                <c:pt idx="629">
                  <c:v>-0.94752162702589871</c:v>
                </c:pt>
                <c:pt idx="630">
                  <c:v>-0.92207985388701186</c:v>
                </c:pt>
                <c:pt idx="631">
                  <c:v>-0.89723724508601732</c:v>
                </c:pt>
                <c:pt idx="632">
                  <c:v>-0.87298708019590243</c:v>
                </c:pt>
                <c:pt idx="633">
                  <c:v>-0.84932282151937744</c:v>
                </c:pt>
                <c:pt idx="634">
                  <c:v>-0.826238110039475</c:v>
                </c:pt>
                <c:pt idx="635">
                  <c:v>-0.80372676148298905</c:v>
                </c:pt>
                <c:pt idx="636">
                  <c:v>-0.78178276249175482</c:v>
                </c:pt>
                <c:pt idx="637">
                  <c:v>-0.76040026689684448</c:v>
                </c:pt>
                <c:pt idx="638">
                  <c:v>-0.73957359209083118</c:v>
                </c:pt>
                <c:pt idx="639">
                  <c:v>-0.71929721549332093</c:v>
                </c:pt>
                <c:pt idx="640">
                  <c:v>-0.69956577110500973</c:v>
                </c:pt>
                <c:pt idx="641">
                  <c:v>-0.6803740461455422</c:v>
                </c:pt>
                <c:pt idx="642">
                  <c:v>-0.66171697777049954</c:v>
                </c:pt>
                <c:pt idx="643">
                  <c:v>-0.64358964986284339</c:v>
                </c:pt>
                <c:pt idx="644">
                  <c:v>-0.6259872898941562</c:v>
                </c:pt>
                <c:pt idx="645">
                  <c:v>-0.60890526585103211</c:v>
                </c:pt>
                <c:pt idx="646">
                  <c:v>-0.59233908322195172</c:v>
                </c:pt>
                <c:pt idx="647">
                  <c:v>-0.57628438203997479</c:v>
                </c:pt>
                <c:pt idx="648">
                  <c:v>-0.56073693397655811</c:v>
                </c:pt>
                <c:pt idx="649">
                  <c:v>-0.54569263948180569</c:v>
                </c:pt>
                <c:pt idx="650">
                  <c:v>-0.5311475249664116</c:v>
                </c:pt>
                <c:pt idx="651">
                  <c:v>-0.51709774002055708</c:v>
                </c:pt>
                <c:pt idx="652">
                  <c:v>-0.50353955466499123</c:v>
                </c:pt>
                <c:pt idx="653">
                  <c:v>-0.49046935662952151</c:v>
                </c:pt>
                <c:pt idx="654">
                  <c:v>-0.47788364865412158</c:v>
                </c:pt>
                <c:pt idx="655">
                  <c:v>-0.46577904580787782</c:v>
                </c:pt>
                <c:pt idx="656">
                  <c:v>-0.45415227282101417</c:v>
                </c:pt>
                <c:pt idx="657">
                  <c:v>-0.44300016142526272</c:v>
                </c:pt>
                <c:pt idx="658">
                  <c:v>-0.43231964769792053</c:v>
                </c:pt>
                <c:pt idx="659">
                  <c:v>-0.42210776940500805</c:v>
                </c:pt>
                <c:pt idx="660">
                  <c:v>-0.41236166333906366</c:v>
                </c:pt>
                <c:pt idx="661">
                  <c:v>-0.40307856264726533</c:v>
                </c:pt>
                <c:pt idx="662">
                  <c:v>-0.39425579414576384</c:v>
                </c:pt>
                <c:pt idx="663">
                  <c:v>-0.3858907756163466</c:v>
                </c:pt>
                <c:pt idx="664">
                  <c:v>-0.37798101308184273</c:v>
                </c:pt>
                <c:pt idx="665">
                  <c:v>-0.37052409805702263</c:v>
                </c:pt>
                <c:pt idx="666">
                  <c:v>-0.36351770477214107</c:v>
                </c:pt>
                <c:pt idx="667">
                  <c:v>-0.35695958736672234</c:v>
                </c:pt>
                <c:pt idx="668">
                  <c:v>-0.35084757705171316</c:v>
                </c:pt>
                <c:pt idx="669">
                  <c:v>-0.34517957923867953</c:v>
                </c:pt>
                <c:pt idx="670">
                  <c:v>-0.33995357063536591</c:v>
                </c:pt>
                <c:pt idx="671">
                  <c:v>-0.33516759630759591</c:v>
                </c:pt>
                <c:pt idx="672">
                  <c:v>-0.33081976670821872</c:v>
                </c:pt>
                <c:pt idx="673">
                  <c:v>-0.32690825467454671</c:v>
                </c:pt>
                <c:pt idx="674">
                  <c:v>-0.32343129239651225</c:v>
                </c:pt>
                <c:pt idx="675">
                  <c:v>-0.32038716835854136</c:v>
                </c:pt>
                <c:pt idx="676">
                  <c:v>-0.3177742242589276</c:v>
                </c:pt>
                <c:pt idx="677">
                  <c:v>-0.31559085191123759</c:v>
                </c:pt>
                <c:pt idx="678">
                  <c:v>-0.31383549013299761</c:v>
                </c:pt>
                <c:pt idx="679">
                  <c:v>-0.31250662162756909</c:v>
                </c:pt>
                <c:pt idx="680">
                  <c:v>-0.31160276986570884</c:v>
                </c:pt>
                <c:pt idx="681">
                  <c:v>-0.31112249597381297</c:v>
                </c:pt>
                <c:pt idx="682">
                  <c:v>-0.31106439563623145</c:v>
                </c:pt>
                <c:pt idx="683">
                  <c:v>-0.31142709601934243</c:v>
                </c:pt>
                <c:pt idx="684">
                  <c:v>-0.31220925272522809</c:v>
                </c:pt>
                <c:pt idx="685">
                  <c:v>-0.31340954678284155</c:v>
                </c:pt>
                <c:pt idx="686">
                  <c:v>-0.31502668168447157</c:v>
                </c:pt>
                <c:pt idx="687">
                  <c:v>-0.3170593804751054</c:v>
                </c:pt>
                <c:pt idx="688">
                  <c:v>-0.31950638290196803</c:v>
                </c:pt>
                <c:pt idx="689">
                  <c:v>-0.32236644263109071</c:v>
                </c:pt>
                <c:pt idx="690">
                  <c:v>-0.32563832453724695</c:v>
                </c:pt>
                <c:pt idx="691">
                  <c:v>-0.32932080207298703</c:v>
                </c:pt>
                <c:pt idx="692">
                  <c:v>-0.33341265472185555</c:v>
                </c:pt>
                <c:pt idx="693">
                  <c:v>-0.33791266554016725</c:v>
                </c:pt>
                <c:pt idx="694">
                  <c:v>-0.34281961879098755</c:v>
                </c:pt>
                <c:pt idx="695">
                  <c:v>-0.34813229767322751</c:v>
                </c:pt>
                <c:pt idx="696">
                  <c:v>-0.35384948214802553</c:v>
                </c:pt>
                <c:pt idx="697">
                  <c:v>-0.35996994686387751</c:v>
                </c:pt>
                <c:pt idx="698">
                  <c:v>-0.36649245918128931</c:v>
                </c:pt>
                <c:pt idx="699">
                  <c:v>-0.37341577729708669</c:v>
                </c:pt>
                <c:pt idx="700">
                  <c:v>-0.38073864846792926</c:v>
                </c:pt>
                <c:pt idx="701">
                  <c:v>-0.3884598073320284</c:v>
                </c:pt>
                <c:pt idx="702">
                  <c:v>-0.39657797432760239</c:v>
                </c:pt>
                <c:pt idx="703">
                  <c:v>-0.40509185420617749</c:v>
                </c:pt>
                <c:pt idx="704">
                  <c:v>-0.41400013463848673</c:v>
                </c:pt>
                <c:pt idx="705">
                  <c:v>-0.42330148491042197</c:v>
                </c:pt>
                <c:pt idx="706">
                  <c:v>-0.43299455470625486</c:v>
                </c:pt>
                <c:pt idx="707">
                  <c:v>-0.44307797297614954</c:v>
                </c:pt>
                <c:pt idx="708">
                  <c:v>-0.45355034688485391</c:v>
                </c:pt>
                <c:pt idx="709">
                  <c:v>-0.4644102608383619</c:v>
                </c:pt>
                <c:pt idx="710">
                  <c:v>-0.47565627558528423</c:v>
                </c:pt>
                <c:pt idx="711">
                  <c:v>-0.48728692738964352</c:v>
                </c:pt>
                <c:pt idx="712">
                  <c:v>-0.49930072727182734</c:v>
                </c:pt>
                <c:pt idx="713">
                  <c:v>-0.5116961603144633</c:v>
                </c:pt>
                <c:pt idx="714">
                  <c:v>-0.52447168503004293</c:v>
                </c:pt>
                <c:pt idx="715">
                  <c:v>-0.53762573278719961</c:v>
                </c:pt>
                <c:pt idx="716">
                  <c:v>-0.55115670729263311</c:v>
                </c:pt>
                <c:pt idx="717">
                  <c:v>-0.56506298412578082</c:v>
                </c:pt>
                <c:pt idx="718">
                  <c:v>-0.57934291032344432</c:v>
                </c:pt>
                <c:pt idx="719">
                  <c:v>-0.59399480401169247</c:v>
                </c:pt>
                <c:pt idx="720">
                  <c:v>-0.60901695408249079</c:v>
                </c:pt>
                <c:pt idx="721">
                  <c:v>-0.62440761991262572</c:v>
                </c:pt>
                <c:pt idx="722">
                  <c:v>-0.64016503112260359</c:v>
                </c:pt>
                <c:pt idx="723">
                  <c:v>-0.6562873873733468</c:v>
                </c:pt>
                <c:pt idx="724">
                  <c:v>-0.67277285819860833</c:v>
                </c:pt>
                <c:pt idx="725">
                  <c:v>-0.68961958287114977</c:v>
                </c:pt>
                <c:pt idx="726">
                  <c:v>-0.70682567030084476</c:v>
                </c:pt>
                <c:pt idx="727">
                  <c:v>-0.7243891989629675</c:v>
                </c:pt>
                <c:pt idx="728">
                  <c:v>-0.74230821685503834</c:v>
                </c:pt>
                <c:pt idx="729">
                  <c:v>-0.76058074148069421</c:v>
                </c:pt>
                <c:pt idx="730">
                  <c:v>-0.77920475985914195</c:v>
                </c:pt>
                <c:pt idx="731">
                  <c:v>-0.79817822855885101</c:v>
                </c:pt>
                <c:pt idx="732">
                  <c:v>-0.81749907375421926</c:v>
                </c:pt>
                <c:pt idx="733">
                  <c:v>-0.83716519130401945</c:v>
                </c:pt>
                <c:pt idx="734">
                  <c:v>-0.85717444685052857</c:v>
                </c:pt>
                <c:pt idx="735">
                  <c:v>-0.87752467593828853</c:v>
                </c:pt>
                <c:pt idx="736">
                  <c:v>-0.89821368415152936</c:v>
                </c:pt>
                <c:pt idx="737">
                  <c:v>-0.91923924726934081</c:v>
                </c:pt>
                <c:pt idx="738">
                  <c:v>-0.94059911143773478</c:v>
                </c:pt>
                <c:pt idx="739">
                  <c:v>-0.96229099335779555</c:v>
                </c:pt>
                <c:pt idx="740">
                  <c:v>-0.98431258048917225</c:v>
                </c:pt>
                <c:pt idx="741">
                  <c:v>-1.0066615312681975</c:v>
                </c:pt>
                <c:pt idx="742">
                  <c:v>-1.0293354753399793</c:v>
                </c:pt>
                <c:pt idx="743">
                  <c:v>-1.0523320138038281</c:v>
                </c:pt>
                <c:pt idx="744">
                  <c:v>-1.0756487194714599</c:v>
                </c:pt>
                <c:pt idx="745">
                  <c:v>-1.0992831371373923</c:v>
                </c:pt>
                <c:pt idx="746">
                  <c:v>-1.1232327838610381</c:v>
                </c:pt>
                <c:pt idx="747">
                  <c:v>-1.1474951492599967</c:v>
                </c:pt>
                <c:pt idx="748">
                  <c:v>-1.1720676958140825</c:v>
                </c:pt>
                <c:pt idx="749">
                  <c:v>-1.1969478591796507</c:v>
                </c:pt>
                <c:pt idx="750">
                  <c:v>-1.222133048513814</c:v>
                </c:pt>
                <c:pt idx="751">
                  <c:v>-1.2476206468081539</c:v>
                </c:pt>
                <c:pt idx="752">
                  <c:v>-1.2734080112315447</c:v>
                </c:pt>
                <c:pt idx="753">
                  <c:v>-1.2994924734817634</c:v>
                </c:pt>
                <c:pt idx="754">
                  <c:v>-1.3258713401455122</c:v>
                </c:pt>
                <c:pt idx="755">
                  <c:v>-1.35254189306657</c:v>
                </c:pt>
                <c:pt idx="756">
                  <c:v>-1.3795013897217376</c:v>
                </c:pt>
                <c:pt idx="757">
                  <c:v>-1.4067470636042954</c:v>
                </c:pt>
                <c:pt idx="758">
                  <c:v>-1.4342761246147002</c:v>
                </c:pt>
                <c:pt idx="759">
                  <c:v>-1.4620857594582317</c:v>
                </c:pt>
                <c:pt idx="760">
                  <c:v>-1.4901731320493508</c:v>
                </c:pt>
                <c:pt idx="761">
                  <c:v>-1.5185353839225086</c:v>
                </c:pt>
                <c:pt idx="762">
                  <c:v>-1.5471696346491626</c:v>
                </c:pt>
                <c:pt idx="763">
                  <c:v>-1.5760729822607806</c:v>
                </c:pt>
                <c:pt idx="764">
                  <c:v>-1.6052425036775937</c:v>
                </c:pt>
                <c:pt idx="765">
                  <c:v>-1.6346752551428863</c:v>
                </c:pt>
                <c:pt idx="766">
                  <c:v>-1.6643682726626117</c:v>
                </c:pt>
                <c:pt idx="767">
                  <c:v>-1.69431857245013</c:v>
                </c:pt>
                <c:pt idx="768">
                  <c:v>-1.7245231513758514</c:v>
                </c:pt>
                <c:pt idx="769">
                  <c:v>-1.7549789874216151</c:v>
                </c:pt>
                <c:pt idx="770">
                  <c:v>-1.7856830401395878</c:v>
                </c:pt>
                <c:pt idx="771">
                  <c:v>-1.8166322511155104</c:v>
                </c:pt>
                <c:pt idx="772">
                  <c:v>-1.8478235444361009</c:v>
                </c:pt>
                <c:pt idx="773">
                  <c:v>-1.8792538271604324</c:v>
                </c:pt>
                <c:pt idx="774">
                  <c:v>-1.9109199897951163</c:v>
                </c:pt>
                <c:pt idx="775">
                  <c:v>-1.9428189067731156</c:v>
                </c:pt>
                <c:pt idx="776">
                  <c:v>-1.9749474369360012</c:v>
                </c:pt>
                <c:pt idx="777">
                  <c:v>-2.0073024240195054</c:v>
                </c:pt>
                <c:pt idx="778">
                  <c:v>-2.0398806971421921</c:v>
                </c:pt>
                <c:pt idx="779">
                  <c:v>-2.07267907129707</c:v>
                </c:pt>
                <c:pt idx="780">
                  <c:v>-2.1056943478460135</c:v>
                </c:pt>
                <c:pt idx="781">
                  <c:v>-2.1389233150167999</c:v>
                </c:pt>
                <c:pt idx="782">
                  <c:v>-2.172362748402616</c:v>
                </c:pt>
                <c:pt idx="783">
                  <c:v>-2.2060094114638833</c:v>
                </c:pt>
                <c:pt idx="784">
                  <c:v>-2.2398600560322239</c:v>
                </c:pt>
                <c:pt idx="785">
                  <c:v>-2.2739114228164392</c:v>
                </c:pt>
                <c:pt idx="786">
                  <c:v>-2.308160241910318</c:v>
                </c:pt>
                <c:pt idx="787">
                  <c:v>-2.3426032333021358</c:v>
                </c:pt>
                <c:pt idx="788">
                  <c:v>-2.3772371073856946</c:v>
                </c:pt>
                <c:pt idx="789">
                  <c:v>-2.412058565472746</c:v>
                </c:pt>
                <c:pt idx="790">
                  <c:v>-2.447064300306641</c:v>
                </c:pt>
                <c:pt idx="791">
                  <c:v>-2.4822509965770632</c:v>
                </c:pt>
                <c:pt idx="792">
                  <c:v>-2.5176153314357079</c:v>
                </c:pt>
                <c:pt idx="793">
                  <c:v>-2.5531539750127319</c:v>
                </c:pt>
                <c:pt idx="794">
                  <c:v>-2.58886359093384</c:v>
                </c:pt>
                <c:pt idx="795">
                  <c:v>-2.6247408368378711</c:v>
                </c:pt>
                <c:pt idx="796">
                  <c:v>-2.6607823648947178</c:v>
                </c:pt>
                <c:pt idx="797">
                  <c:v>-2.6969848223234494</c:v>
                </c:pt>
                <c:pt idx="798">
                  <c:v>-2.7333448519104788</c:v>
                </c:pt>
                <c:pt idx="799">
                  <c:v>-2.7698590925276445</c:v>
                </c:pt>
                <c:pt idx="800">
                  <c:v>-2.8065241796500531</c:v>
                </c:pt>
                <c:pt idx="801">
                  <c:v>-2.8433367458735384</c:v>
                </c:pt>
                <c:pt idx="802">
                  <c:v>-2.8802934214316007</c:v>
                </c:pt>
                <c:pt idx="803">
                  <c:v>-2.9173908347116879</c:v>
                </c:pt>
                <c:pt idx="804">
                  <c:v>-2.9546256127706556</c:v>
                </c:pt>
                <c:pt idx="805">
                  <c:v>-2.9919943818492944</c:v>
                </c:pt>
                <c:pt idx="806">
                  <c:v>-3.0294937678857798</c:v>
                </c:pt>
                <c:pt idx="807">
                  <c:v>-3.0671203970278653</c:v>
                </c:pt>
                <c:pt idx="808">
                  <c:v>-3.1048708961437557</c:v>
                </c:pt>
                <c:pt idx="809">
                  <c:v>-3.1427418933314475</c:v>
                </c:pt>
                <c:pt idx="810">
                  <c:v>-3.1807300184264515</c:v>
                </c:pt>
                <c:pt idx="811">
                  <c:v>-3.2188319035077422</c:v>
                </c:pt>
                <c:pt idx="812">
                  <c:v>-3.2570441834017938</c:v>
                </c:pt>
                <c:pt idx="813">
                  <c:v>-3.2953634961845895</c:v>
                </c:pt>
                <c:pt idx="814">
                  <c:v>-3.333786483681449</c:v>
                </c:pt>
                <c:pt idx="815">
                  <c:v>-3.3723097919645677</c:v>
                </c:pt>
                <c:pt idx="816">
                  <c:v>-3.4109300718480995</c:v>
                </c:pt>
                <c:pt idx="817">
                  <c:v>-3.4496439793807077</c:v>
                </c:pt>
                <c:pt idx="818">
                  <c:v>-3.4884481763354045</c:v>
                </c:pt>
                <c:pt idx="819">
                  <c:v>-3.527339330696575</c:v>
                </c:pt>
                <c:pt idx="820">
                  <c:v>-3.566314117144084</c:v>
                </c:pt>
                <c:pt idx="821">
                  <c:v>-3.6053692175342742</c:v>
                </c:pt>
                <c:pt idx="822">
                  <c:v>-3.6445013213778203</c:v>
                </c:pt>
                <c:pt idx="823">
                  <c:v>-3.6837071263142351</c:v>
                </c:pt>
                <c:pt idx="824">
                  <c:v>-3.7229833385829805</c:v>
                </c:pt>
                <c:pt idx="825">
                  <c:v>-3.7623266734909961</c:v>
                </c:pt>
                <c:pt idx="826">
                  <c:v>-3.8017338558765839</c:v>
                </c:pt>
                <c:pt idx="827">
                  <c:v>-3.8412016205695041</c:v>
                </c:pt>
                <c:pt idx="828">
                  <c:v>-3.8807267128471823</c:v>
                </c:pt>
                <c:pt idx="829">
                  <c:v>-3.9203058888868991</c:v>
                </c:pt>
                <c:pt idx="830">
                  <c:v>-3.9599359162138628</c:v>
                </c:pt>
                <c:pt idx="831">
                  <c:v>-3.9996135741450756</c:v>
                </c:pt>
                <c:pt idx="832">
                  <c:v>-4.0393356542288315</c:v>
                </c:pt>
                <c:pt idx="833">
                  <c:v>-4.0790989606798043</c:v>
                </c:pt>
                <c:pt idx="834">
                  <c:v>-4.1189003108095896</c:v>
                </c:pt>
                <c:pt idx="835">
                  <c:v>-4.1587365354525785</c:v>
                </c:pt>
                <c:pt idx="836">
                  <c:v>-4.1986044793871242</c:v>
                </c:pt>
                <c:pt idx="837">
                  <c:v>-4.2385010017518505</c:v>
                </c:pt>
                <c:pt idx="838">
                  <c:v>-4.2784229764570032</c:v>
                </c:pt>
                <c:pt idx="839">
                  <c:v>-4.3183672925908256</c:v>
                </c:pt>
                <c:pt idx="840">
                  <c:v>-4.3583308548207516</c:v>
                </c:pt>
                <c:pt idx="841">
                  <c:v>-4.3983105837894287</c:v>
                </c:pt>
                <c:pt idx="842">
                  <c:v>-4.4383034165054331</c:v>
                </c:pt>
                <c:pt idx="843">
                  <c:v>-4.478306306728598</c:v>
                </c:pt>
                <c:pt idx="844">
                  <c:v>-4.5183162253498796</c:v>
                </c:pt>
                <c:pt idx="845">
                  <c:v>-4.5583301607656805</c:v>
                </c:pt>
                <c:pt idx="846">
                  <c:v>-4.5983451192465434</c:v>
                </c:pt>
                <c:pt idx="847">
                  <c:v>-4.6383581253001438</c:v>
                </c:pt>
                <c:pt idx="848">
                  <c:v>-4.6783662220285196</c:v>
                </c:pt>
                <c:pt idx="849">
                  <c:v>-4.7183664714794427</c:v>
                </c:pt>
                <c:pt idx="850">
                  <c:v>-4.7583559549918935</c:v>
                </c:pt>
                <c:pt idx="851">
                  <c:v>-4.7983317735355309</c:v>
                </c:pt>
                <c:pt idx="852">
                  <c:v>-4.8382910480441419</c:v>
                </c:pt>
                <c:pt idx="853">
                  <c:v>-4.8782309197429772</c:v>
                </c:pt>
                <c:pt idx="854">
                  <c:v>-4.9181485504699118</c:v>
                </c:pt>
                <c:pt idx="855">
                  <c:v>-4.9580411229904007</c:v>
                </c:pt>
                <c:pt idx="856">
                  <c:v>-4.9979058413061432</c:v>
                </c:pt>
                <c:pt idx="857">
                  <c:v>-5.0377399309574447</c:v>
                </c:pt>
                <c:pt idx="858">
                  <c:v>-5.0775406393191531</c:v>
                </c:pt>
                <c:pt idx="859">
                  <c:v>-5.1173052358902407</c:v>
                </c:pt>
                <c:pt idx="860">
                  <c:v>-5.1570310125768515</c:v>
                </c:pt>
                <c:pt idx="861">
                  <c:v>-5.1967152839688922</c:v>
                </c:pt>
                <c:pt idx="862">
                  <c:v>-5.2363553876100379</c:v>
                </c:pt>
                <c:pt idx="863">
                  <c:v>-5.2759486842611727</c:v>
                </c:pt>
                <c:pt idx="864">
                  <c:v>-5.315492558157211</c:v>
                </c:pt>
                <c:pt idx="865">
                  <c:v>-5.3549844172572705</c:v>
                </c:pt>
                <c:pt idx="866">
                  <c:v>-5.3944216934881606</c:v>
                </c:pt>
                <c:pt idx="867">
                  <c:v>-5.4338018429811719</c:v>
                </c:pt>
                <c:pt idx="868">
                  <c:v>-5.4731223463021292</c:v>
                </c:pt>
                <c:pt idx="869">
                  <c:v>-5.5123807086747254</c:v>
                </c:pt>
                <c:pt idx="870">
                  <c:v>-5.5515744601970365</c:v>
                </c:pt>
                <c:pt idx="871">
                  <c:v>-5.5907011560513107</c:v>
                </c:pt>
                <c:pt idx="872">
                  <c:v>-5.6297583767069304</c:v>
                </c:pt>
                <c:pt idx="873">
                  <c:v>-5.6687437281165627</c:v>
                </c:pt>
                <c:pt idx="874">
                  <c:v>-5.7076548419055175</c:v>
                </c:pt>
                <c:pt idx="875">
                  <c:v>-5.7464893755542592</c:v>
                </c:pt>
                <c:pt idx="876">
                  <c:v>-5.7852450125741317</c:v>
                </c:pt>
                <c:pt idx="877">
                  <c:v>-5.8239194626762085</c:v>
                </c:pt>
                <c:pt idx="878">
                  <c:v>-5.8625104619333674</c:v>
                </c:pt>
                <c:pt idx="879">
                  <c:v>-5.9010157729355219</c:v>
                </c:pt>
                <c:pt idx="880">
                  <c:v>-5.9394331849380455</c:v>
                </c:pt>
                <c:pt idx="881">
                  <c:v>-5.9777605140033936</c:v>
                </c:pt>
                <c:pt idx="882">
                  <c:v>-6.0159956031359405</c:v>
                </c:pt>
                <c:pt idx="883">
                  <c:v>-6.0541363224100264</c:v>
                </c:pt>
                <c:pt idx="884">
                  <c:v>-6.0921805690912549</c:v>
                </c:pt>
                <c:pt idx="885">
                  <c:v>-6.1301262677510522</c:v>
                </c:pt>
                <c:pt idx="886">
                  <c:v>-6.1679713703744872</c:v>
                </c:pt>
                <c:pt idx="887">
                  <c:v>-6.2057138564614105</c:v>
                </c:pt>
                <c:pt idx="888">
                  <c:v>-6.243351733120897</c:v>
                </c:pt>
                <c:pt idx="889">
                  <c:v>-6.280883035159099</c:v>
                </c:pt>
                <c:pt idx="890">
                  <c:v>-6.318305825160393</c:v>
                </c:pt>
                <c:pt idx="891">
                  <c:v>-6.3556181935620302</c:v>
                </c:pt>
                <c:pt idx="892">
                  <c:v>-6.3928182587222029</c:v>
                </c:pt>
                <c:pt idx="893">
                  <c:v>-6.4299041669815722</c:v>
                </c:pt>
                <c:pt idx="894">
                  <c:v>-6.4668740927183661</c:v>
                </c:pt>
                <c:pt idx="895">
                  <c:v>-6.5037262383970145</c:v>
                </c:pt>
                <c:pt idx="896">
                  <c:v>-6.540458834610396</c:v>
                </c:pt>
                <c:pt idx="897">
                  <c:v>-6.5770701401157465</c:v>
                </c:pt>
                <c:pt idx="898">
                  <c:v>-6.6135584418642477</c:v>
                </c:pt>
                <c:pt idx="899">
                  <c:v>-6.6499220550243869</c:v>
                </c:pt>
                <c:pt idx="900">
                  <c:v>-6.6861593229990763</c:v>
                </c:pt>
                <c:pt idx="901">
                  <c:v>-6.7222686174366615</c:v>
                </c:pt>
                <c:pt idx="902">
                  <c:v>-6.7582483382357914</c:v>
                </c:pt>
                <c:pt idx="903">
                  <c:v>-6.7940969135442613</c:v>
                </c:pt>
                <c:pt idx="904">
                  <c:v>-6.8298127997518803</c:v>
                </c:pt>
                <c:pt idx="905">
                  <c:v>-6.8653944814773755</c:v>
                </c:pt>
                <c:pt idx="906">
                  <c:v>-6.9008404715494676</c:v>
                </c:pt>
                <c:pt idx="907">
                  <c:v>-6.9361493109820946</c:v>
                </c:pt>
                <c:pt idx="908">
                  <c:v>-6.9713195689439305</c:v>
                </c:pt>
                <c:pt idx="909">
                  <c:v>-7.0063498427221873</c:v>
                </c:pt>
                <c:pt idx="910">
                  <c:v>-7.0412387576808397</c:v>
                </c:pt>
                <c:pt idx="911">
                  <c:v>-7.0759849672132518</c:v>
                </c:pt>
                <c:pt idx="912">
                  <c:v>-7.1105871526893818</c:v>
                </c:pt>
                <c:pt idx="913">
                  <c:v>-7.1450440233975305</c:v>
                </c:pt>
                <c:pt idx="914">
                  <c:v>-7.1793543164807669</c:v>
                </c:pt>
                <c:pt idx="915">
                  <c:v>-7.2135167968680962</c:v>
                </c:pt>
                <c:pt idx="916">
                  <c:v>-7.2475302572004265</c:v>
                </c:pt>
                <c:pt idx="917">
                  <c:v>-7.2813935177513969</c:v>
                </c:pt>
                <c:pt idx="918">
                  <c:v>-7.3151054263432069</c:v>
                </c:pt>
                <c:pt idx="919">
                  <c:v>-7.3486648582574317</c:v>
                </c:pt>
                <c:pt idx="920">
                  <c:v>-7.3820707161409711</c:v>
                </c:pt>
                <c:pt idx="921">
                  <c:v>-7.4153219299071953</c:v>
                </c:pt>
                <c:pt idx="922">
                  <c:v>-7.4484174566323258</c:v>
                </c:pt>
                <c:pt idx="923">
                  <c:v>-7.4813562804471934</c:v>
                </c:pt>
                <c:pt idx="924">
                  <c:v>-7.5141374124244154</c:v>
                </c:pt>
                <c:pt idx="925">
                  <c:v>-7.5467598904610762</c:v>
                </c:pt>
                <c:pt idx="926">
                  <c:v>-7.5792227791570062</c:v>
                </c:pt>
                <c:pt idx="927">
                  <c:v>-7.6115251696887212</c:v>
                </c:pt>
                <c:pt idx="928">
                  <c:v>-7.6436661796791503</c:v>
                </c:pt>
                <c:pt idx="929">
                  <c:v>-7.675644953063161</c:v>
                </c:pt>
                <c:pt idx="930">
                  <c:v>-7.7074606599490485</c:v>
                </c:pt>
                <c:pt idx="931">
                  <c:v>-7.739112496476011</c:v>
                </c:pt>
                <c:pt idx="932">
                  <c:v>-7.7705996846677365</c:v>
                </c:pt>
                <c:pt idx="933">
                  <c:v>-7.8019214722821477</c:v>
                </c:pt>
                <c:pt idx="934">
                  <c:v>-7.8330771326574622</c:v>
                </c:pt>
                <c:pt idx="935">
                  <c:v>-7.8640659645545261</c:v>
                </c:pt>
                <c:pt idx="936">
                  <c:v>-7.8948872919956647</c:v>
                </c:pt>
                <c:pt idx="937">
                  <c:v>-7.9255404641000231</c:v>
                </c:pt>
                <c:pt idx="938">
                  <c:v>-7.9560248549155119</c:v>
                </c:pt>
                <c:pt idx="939">
                  <c:v>-7.9863398632474789</c:v>
                </c:pt>
                <c:pt idx="940">
                  <c:v>-8.0164849124841329</c:v>
                </c:pt>
                <c:pt idx="941">
                  <c:v>-8.0464594504188796</c:v>
                </c:pt>
                <c:pt idx="942">
                  <c:v>-8.0762629490695748</c:v>
                </c:pt>
                <c:pt idx="943">
                  <c:v>-8.1058949044948641</c:v>
                </c:pt>
                <c:pt idx="944">
                  <c:v>-8.1059243083949379</c:v>
                </c:pt>
                <c:pt idx="945">
                  <c:v>-8.1059537121242808</c:v>
                </c:pt>
                <c:pt idx="946">
                  <c:v>-8.1059831156828999</c:v>
                </c:pt>
                <c:pt idx="947">
                  <c:v>-8.1060125190707879</c:v>
                </c:pt>
                <c:pt idx="948">
                  <c:v>-8.1060419222879538</c:v>
                </c:pt>
                <c:pt idx="949">
                  <c:v>-8.1060713253343888</c:v>
                </c:pt>
                <c:pt idx="950">
                  <c:v>-8.1061007282101034</c:v>
                </c:pt>
                <c:pt idx="951">
                  <c:v>-8.1061301309150782</c:v>
                </c:pt>
                <c:pt idx="952">
                  <c:v>-8.1061595334493326</c:v>
                </c:pt>
                <c:pt idx="953">
                  <c:v>-8.106188935812856</c:v>
                </c:pt>
                <c:pt idx="954">
                  <c:v>-8.1062183380056467</c:v>
                </c:pt>
                <c:pt idx="955">
                  <c:v>-8.1062477400277064</c:v>
                </c:pt>
                <c:pt idx="956">
                  <c:v>-8.1062771418790405</c:v>
                </c:pt>
                <c:pt idx="957">
                  <c:v>-8.1063065435596418</c:v>
                </c:pt>
                <c:pt idx="958">
                  <c:v>-8.1063359450695085</c:v>
                </c:pt>
                <c:pt idx="959">
                  <c:v>-8.1063653464086478</c:v>
                </c:pt>
                <c:pt idx="960">
                  <c:v>-8.1063947475770508</c:v>
                </c:pt>
                <c:pt idx="961">
                  <c:v>-8.1064241485747193</c:v>
                </c:pt>
                <c:pt idx="962">
                  <c:v>-8.1064535494016567</c:v>
                </c:pt>
                <c:pt idx="963">
                  <c:v>-8.1064829500578561</c:v>
                </c:pt>
                <c:pt idx="964">
                  <c:v>-8.1065123505433263</c:v>
                </c:pt>
                <c:pt idx="965">
                  <c:v>-8.1065417508580637</c:v>
                </c:pt>
                <c:pt idx="966">
                  <c:v>-8.1065711510020595</c:v>
                </c:pt>
                <c:pt idx="967">
                  <c:v>-8.1066005509753243</c:v>
                </c:pt>
                <c:pt idx="968">
                  <c:v>-8.1066299507778492</c:v>
                </c:pt>
                <c:pt idx="969">
                  <c:v>-8.1066593504096449</c:v>
                </c:pt>
                <c:pt idx="970">
                  <c:v>-8.1066887498706954</c:v>
                </c:pt>
                <c:pt idx="971">
                  <c:v>-8.1067181491610114</c:v>
                </c:pt>
                <c:pt idx="972">
                  <c:v>-8.1067475482805911</c:v>
                </c:pt>
                <c:pt idx="973">
                  <c:v>-8.1067769472294273</c:v>
                </c:pt>
                <c:pt idx="974">
                  <c:v>-8.1068063460075308</c:v>
                </c:pt>
                <c:pt idx="975">
                  <c:v>-8.1068357446148891</c:v>
                </c:pt>
                <c:pt idx="976">
                  <c:v>-8.1068651430515164</c:v>
                </c:pt>
                <c:pt idx="977">
                  <c:v>-8.106894541317395</c:v>
                </c:pt>
                <c:pt idx="978">
                  <c:v>-8.1069239394125354</c:v>
                </c:pt>
                <c:pt idx="979">
                  <c:v>-8.1069533373369342</c:v>
                </c:pt>
                <c:pt idx="980">
                  <c:v>-8.1069827350905932</c:v>
                </c:pt>
                <c:pt idx="981">
                  <c:v>-8.107012132673507</c:v>
                </c:pt>
                <c:pt idx="982">
                  <c:v>-8.1070415300856791</c:v>
                </c:pt>
                <c:pt idx="983">
                  <c:v>-8.1070709273271078</c:v>
                </c:pt>
                <c:pt idx="984">
                  <c:v>-8.1071003243977948</c:v>
                </c:pt>
                <c:pt idx="985">
                  <c:v>-8.1071297212977367</c:v>
                </c:pt>
                <c:pt idx="986">
                  <c:v>-8.1071591180269351</c:v>
                </c:pt>
                <c:pt idx="987">
                  <c:v>-8.107188514585383</c:v>
                </c:pt>
                <c:pt idx="988">
                  <c:v>-8.1072179109730911</c:v>
                </c:pt>
                <c:pt idx="989">
                  <c:v>-8.1072473071900539</c:v>
                </c:pt>
                <c:pt idx="990">
                  <c:v>-8.1072767032362698</c:v>
                </c:pt>
                <c:pt idx="991">
                  <c:v>-8.1073060991117405</c:v>
                </c:pt>
                <c:pt idx="992">
                  <c:v>-8.1073354948164589</c:v>
                </c:pt>
                <c:pt idx="993">
                  <c:v>-8.1073648903504356</c:v>
                </c:pt>
                <c:pt idx="994">
                  <c:v>-8.1073942857136565</c:v>
                </c:pt>
                <c:pt idx="995">
                  <c:v>-8.1074236809061375</c:v>
                </c:pt>
                <c:pt idx="996">
                  <c:v>-8.1074530759278662</c:v>
                </c:pt>
                <c:pt idx="997">
                  <c:v>-8.1074824707788444</c:v>
                </c:pt>
                <c:pt idx="998">
                  <c:v>-8.1075118654590721</c:v>
                </c:pt>
                <c:pt idx="999">
                  <c:v>-8.1075412599685546</c:v>
                </c:pt>
                <c:pt idx="1000">
                  <c:v>-8.1075706543072794</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Calculs!$J$4:$J$1004</c:f>
              <c:numCache>
                <c:formatCode>0.00</c:formatCode>
                <c:ptCount val="1001"/>
                <c:pt idx="0">
                  <c:v>0</c:v>
                </c:pt>
                <c:pt idx="1">
                  <c:v>7.6673831667516202E-5</c:v>
                </c:pt>
                <c:pt idx="2">
                  <c:v>4.8383360293073624E-4</c:v>
                </c:pt>
                <c:pt idx="3">
                  <c:v>1.4721472360017343E-3</c:v>
                </c:pt>
                <c:pt idx="4">
                  <c:v>3.1887288676949424E-3</c:v>
                </c:pt>
                <c:pt idx="5">
                  <c:v>5.780811333606346E-3</c:v>
                </c:pt>
                <c:pt idx="6">
                  <c:v>9.3957641231225131E-3</c:v>
                </c:pt>
                <c:pt idx="7">
                  <c:v>1.4181111211955319E-2</c:v>
                </c:pt>
                <c:pt idx="8">
                  <c:v>2.0284548778800676E-2</c:v>
                </c:pt>
                <c:pt idx="9">
                  <c:v>2.7853962812556095E-2</c:v>
                </c:pt>
                <c:pt idx="10">
                  <c:v>3.7037446616374953E-2</c:v>
                </c:pt>
                <c:pt idx="11">
                  <c:v>4.7941001136512881E-2</c:v>
                </c:pt>
                <c:pt idx="12">
                  <c:v>6.0586135299065633E-2</c:v>
                </c:pt>
                <c:pt idx="13">
                  <c:v>7.495172299058106E-2</c:v>
                </c:pt>
                <c:pt idx="14">
                  <c:v>9.1015950945402491E-2</c:v>
                </c:pt>
                <c:pt idx="15">
                  <c:v>0.10875664063974662</c:v>
                </c:pt>
                <c:pt idx="16">
                  <c:v>0.1281515708887013</c:v>
                </c:pt>
                <c:pt idx="17">
                  <c:v>0.14917847853524946</c:v>
                </c:pt>
                <c:pt idx="18">
                  <c:v>0.17181505913907877</c:v>
                </c:pt>
                <c:pt idx="19">
                  <c:v>0.196038967665085</c:v>
                </c:pt>
                <c:pt idx="20">
                  <c:v>0.22182781917147815</c:v>
                </c:pt>
                <c:pt idx="21">
                  <c:v>0.24915918949740007</c:v>
                </c:pt>
                <c:pt idx="22">
                  <c:v>0.27801061594996379</c:v>
                </c:pt>
                <c:pt idx="23">
                  <c:v>0.30835959799062457</c:v>
                </c:pt>
                <c:pt idx="24">
                  <c:v>0.34018359792079328</c:v>
                </c:pt>
                <c:pt idx="25">
                  <c:v>0.3734600415666039</c:v>
                </c:pt>
                <c:pt idx="26">
                  <c:v>0.40816631896274685</c:v>
                </c:pt>
                <c:pt idx="27">
                  <c:v>0.44428547195504947</c:v>
                </c:pt>
                <c:pt idx="28">
                  <c:v>0.48181189139684971</c:v>
                </c:pt>
                <c:pt idx="29">
                  <c:v>0.52074564477211105</c:v>
                </c:pt>
                <c:pt idx="30">
                  <c:v>0.56108679387943117</c:v>
                </c:pt>
                <c:pt idx="31">
                  <c:v>0.60283539482481396</c:v>
                </c:pt>
                <c:pt idx="32">
                  <c:v>0.64599149801454947</c:v>
                </c:pt>
                <c:pt idx="33">
                  <c:v>0.69055514814820318</c:v>
                </c:pt>
                <c:pt idx="34">
                  <c:v>0.73652638421171424</c:v>
                </c:pt>
                <c:pt idx="35">
                  <c:v>0.78398915810674985</c:v>
                </c:pt>
                <c:pt idx="36">
                  <c:v>0.83303012262499021</c:v>
                </c:pt>
                <c:pt idx="37">
                  <c:v>0.88365468514045031</c:v>
                </c:pt>
                <c:pt idx="38">
                  <c:v>0.93586815411548419</c:v>
                </c:pt>
                <c:pt idx="39">
                  <c:v>0.98967570454246256</c:v>
                </c:pt>
                <c:pt idx="40">
                  <c:v>1.0450823842677934</c:v>
                </c:pt>
                <c:pt idx="41">
                  <c:v>1.1020931198427062</c:v>
                </c:pt>
                <c:pt idx="42">
                  <c:v>1.1607127219471622</c:v>
                </c:pt>
                <c:pt idx="43">
                  <c:v>1.2209458904276811</c:v>
                </c:pt>
                <c:pt idx="44">
                  <c:v>1.282797218985096</c:v>
                </c:pt>
                <c:pt idx="45">
                  <c:v>1.3462711995441288</c:v>
                </c:pt>
                <c:pt idx="46">
                  <c:v>1.4113722263331046</c:v>
                </c:pt>
                <c:pt idx="47">
                  <c:v>1.4781045996990361</c:v>
                </c:pt>
                <c:pt idx="48">
                  <c:v>1.5464725296806028</c:v>
                </c:pt>
                <c:pt idx="49">
                  <c:v>1.6164801393591988</c:v>
                </c:pt>
                <c:pt idx="50">
                  <c:v>1.688131468006151</c:v>
                </c:pt>
                <c:pt idx="51">
                  <c:v>1.7614304740423981</c:v>
                </c:pt>
                <c:pt idx="52">
                  <c:v>1.8363810378253125</c:v>
                </c:pt>
                <c:pt idx="53">
                  <c:v>1.9129869642759387</c:v>
                </c:pt>
                <c:pt idx="54">
                  <c:v>1.9912519853586621</c:v>
                </c:pt>
                <c:pt idx="55">
                  <c:v>2.0711797624242112</c:v>
                </c:pt>
                <c:pt idx="56">
                  <c:v>2.1527738884258998</c:v>
                </c:pt>
                <c:pt idx="57">
                  <c:v>2.2360378900181375</c:v>
                </c:pt>
                <c:pt idx="58">
                  <c:v>2.3209752295454367</c:v>
                </c:pt>
                <c:pt idx="59">
                  <c:v>2.4075893069294412</c:v>
                </c:pt>
                <c:pt idx="60">
                  <c:v>2.4958834614608603</c:v>
                </c:pt>
                <c:pt idx="61">
                  <c:v>2.5858609735026228</c:v>
                </c:pt>
                <c:pt idx="62">
                  <c:v>2.6775250661100438</c:v>
                </c:pt>
                <c:pt idx="63">
                  <c:v>2.7708789065733352</c:v>
                </c:pt>
                <c:pt idx="64">
                  <c:v>2.8659256078873661</c:v>
                </c:pt>
                <c:pt idx="65">
                  <c:v>2.9626682301531955</c:v>
                </c:pt>
                <c:pt idx="66">
                  <c:v>3.0611097819155582</c:v>
                </c:pt>
                <c:pt idx="67">
                  <c:v>3.1612532214401603</c:v>
                </c:pt>
                <c:pt idx="68">
                  <c:v>3.2631014579343662</c:v>
                </c:pt>
                <c:pt idx="69">
                  <c:v>3.3666573527145793</c:v>
                </c:pt>
                <c:pt idx="70">
                  <c:v>3.4719237203234008</c:v>
                </c:pt>
                <c:pt idx="71">
                  <c:v>3.5789033295994104</c:v>
                </c:pt>
                <c:pt idx="72">
                  <c:v>3.6875988336324155</c:v>
                </c:pt>
                <c:pt idx="73">
                  <c:v>3.7980126992124759</c:v>
                </c:pt>
                <c:pt idx="74">
                  <c:v>3.9101472782265718</c:v>
                </c:pt>
                <c:pt idx="75">
                  <c:v>4.024004879494095</c:v>
                </c:pt>
                <c:pt idx="76">
                  <c:v>4.1395877696609196</c:v>
                </c:pt>
                <c:pt idx="77">
                  <c:v>4.2568981740585814</c:v>
                </c:pt>
                <c:pt idx="78">
                  <c:v>4.3759382775303797</c:v>
                </c:pt>
                <c:pt idx="79">
                  <c:v>4.4967102252261038</c:v>
                </c:pt>
                <c:pt idx="80">
                  <c:v>4.6192161233669626</c:v>
                </c:pt>
                <c:pt idx="81">
                  <c:v>4.7434580399822224</c:v>
                </c:pt>
                <c:pt idx="82">
                  <c:v>4.8694380056189379</c:v>
                </c:pt>
                <c:pt idx="83">
                  <c:v>4.9971580140260965</c:v>
                </c:pt>
                <c:pt idx="84">
                  <c:v>5.1266200228144099</c:v>
                </c:pt>
                <c:pt idx="85">
                  <c:v>5.2578259540929153</c:v>
                </c:pt>
                <c:pt idx="86">
                  <c:v>5.3907776950834707</c:v>
                </c:pt>
                <c:pt idx="87">
                  <c:v>5.5254770987141866</c:v>
                </c:pt>
                <c:pt idx="88">
                  <c:v>5.6619259841927532</c:v>
                </c:pt>
                <c:pt idx="89">
                  <c:v>5.8001261375605848</c:v>
                </c:pt>
                <c:pt idx="90">
                  <c:v>5.9400793122286428</c:v>
                </c:pt>
                <c:pt idx="91">
                  <c:v>6.0817872294957542</c:v>
                </c:pt>
                <c:pt idx="92">
                  <c:v>6.2252515790502008</c:v>
                </c:pt>
                <c:pt idx="93">
                  <c:v>6.3704740194552985</c:v>
                </c:pt>
                <c:pt idx="94">
                  <c:v>6.5174561786196712</c:v>
                </c:pt>
                <c:pt idx="95">
                  <c:v>6.6661996542528614</c:v>
                </c:pt>
                <c:pt idx="96">
                  <c:v>6.8167060143069067</c:v>
                </c:pt>
                <c:pt idx="97">
                  <c:v>6.9689767974044603</c:v>
                </c:pt>
                <c:pt idx="98">
                  <c:v>7.1230135132540209</c:v>
                </c:pt>
                <c:pt idx="99">
                  <c:v>7.2788176430527978</c:v>
                </c:pt>
                <c:pt idx="100">
                  <c:v>7.4363906398777129</c:v>
                </c:pt>
                <c:pt idx="101">
                  <c:v>7.5957339290650214</c:v>
                </c:pt>
                <c:pt idx="102">
                  <c:v>7.7568489085789967</c:v>
                </c:pt>
                <c:pt idx="103">
                  <c:v>7.9197369493701224</c:v>
                </c:pt>
                <c:pt idx="104">
                  <c:v>8.0843993957231906</c:v>
                </c:pt>
                <c:pt idx="105">
                  <c:v>8.2508375655957078</c:v>
                </c:pt>
                <c:pt idx="106">
                  <c:v>8.4190527509469799</c:v>
                </c:pt>
                <c:pt idx="107">
                  <c:v>8.5890462180582183</c:v>
                </c:pt>
                <c:pt idx="108">
                  <c:v>8.7608192078440297</c:v>
                </c:pt>
                <c:pt idx="109">
                  <c:v>8.9343729361555884</c:v>
                </c:pt>
                <c:pt idx="110">
                  <c:v>9.1097085940758156</c:v>
                </c:pt>
                <c:pt idx="111">
                  <c:v>9.286827348206856</c:v>
                </c:pt>
                <c:pt idx="112">
                  <c:v>9.4657303409501257</c:v>
                </c:pt>
                <c:pt idx="113">
                  <c:v>9.6464186907792175</c:v>
                </c:pt>
                <c:pt idx="114">
                  <c:v>9.8288934925058999</c:v>
                </c:pt>
                <c:pt idx="115">
                  <c:v>10.013155817539467</c:v>
                </c:pt>
                <c:pt idx="116">
                  <c:v>10.199206714139674</c:v>
                </c:pt>
                <c:pt idx="117">
                  <c:v>10.387047207663485</c:v>
                </c:pt>
                <c:pt idx="118">
                  <c:v>10.576678300805842</c:v>
                </c:pt>
                <c:pt idx="119">
                  <c:v>10.768100973834661</c:v>
                </c:pt>
                <c:pt idx="120">
                  <c:v>10.961316184820269</c:v>
                </c:pt>
                <c:pt idx="121">
                  <c:v>11.156324869859445</c:v>
                </c:pt>
                <c:pt idx="122">
                  <c:v>11.35312794329427</c:v>
                </c:pt>
                <c:pt idx="123">
                  <c:v>11.551726297925956</c:v>
                </c:pt>
                <c:pt idx="124">
                  <c:v>11.752120805223807</c:v>
                </c:pt>
                <c:pt idx="125">
                  <c:v>11.954312315529483</c:v>
                </c:pt>
                <c:pt idx="126">
                  <c:v>12.158301658256731</c:v>
                </c:pt>
                <c:pt idx="127">
                  <c:v>12.364089642086713</c:v>
                </c:pt>
                <c:pt idx="128">
                  <c:v>12.57167705515908</c:v>
                </c:pt>
                <c:pt idx="129">
                  <c:v>12.781064313062975</c:v>
                </c:pt>
                <c:pt idx="130">
                  <c:v>12.992251105389098</c:v>
                </c:pt>
                <c:pt idx="131">
                  <c:v>13.205236746230065</c:v>
                </c:pt>
                <c:pt idx="132">
                  <c:v>13.420020526137986</c:v>
                </c:pt>
                <c:pt idx="133">
                  <c:v>13.636601712347845</c:v>
                </c:pt>
                <c:pt idx="134">
                  <c:v>13.854979548996551</c:v>
                </c:pt>
                <c:pt idx="135">
                  <c:v>14.075153257337755</c:v>
                </c:pt>
                <c:pt idx="136">
                  <c:v>14.297122035952603</c:v>
                </c:pt>
                <c:pt idx="137">
                  <c:v>14.520885060956537</c:v>
                </c:pt>
                <c:pt idx="138">
                  <c:v>14.746441486202279</c:v>
                </c:pt>
                <c:pt idx="139">
                  <c:v>14.9737904434791</c:v>
                </c:pt>
                <c:pt idx="140">
                  <c:v>15.202931042708505</c:v>
                </c:pt>
                <c:pt idx="141">
                  <c:v>15.433862372136439</c:v>
                </c:pt>
                <c:pt idx="142">
                  <c:v>15.666583498522114</c:v>
                </c:pt>
                <c:pt idx="143">
                  <c:v>15.901093467323571</c:v>
                </c:pt>
                <c:pt idx="144">
                  <c:v>16.137391302880069</c:v>
                </c:pt>
                <c:pt idx="145">
                  <c:v>16.375476008591392</c:v>
                </c:pt>
                <c:pt idx="146">
                  <c:v>16.615346567094168</c:v>
                </c:pt>
                <c:pt idx="147">
                  <c:v>16.857001940435307</c:v>
                </c:pt>
                <c:pt idx="148">
                  <c:v>17.100441070242603</c:v>
                </c:pt>
                <c:pt idx="149">
                  <c:v>17.345662877892618</c:v>
                </c:pt>
                <c:pt idx="150">
                  <c:v>17.59266626467592</c:v>
                </c:pt>
                <c:pt idx="151">
                  <c:v>17.841450111959734</c:v>
                </c:pt>
                <c:pt idx="152">
                  <c:v>18.092013281348102</c:v>
                </c:pt>
                <c:pt idx="153">
                  <c:v>18.344354614839599</c:v>
                </c:pt>
                <c:pt idx="154">
                  <c:v>18.598472934982713</c:v>
                </c:pt>
                <c:pt idx="155">
                  <c:v>18.854367045028898</c:v>
                </c:pt>
                <c:pt idx="156">
                  <c:v>19.112035729083424</c:v>
                </c:pt>
                <c:pt idx="157">
                  <c:v>19.371477752254044</c:v>
                </c:pt>
                <c:pt idx="158">
                  <c:v>19.632691860797557</c:v>
                </c:pt>
                <c:pt idx="159">
                  <c:v>19.895676782264314</c:v>
                </c:pt>
                <c:pt idx="160">
                  <c:v>20.160431225640735</c:v>
                </c:pt>
                <c:pt idx="161">
                  <c:v>20.42695388148989</c:v>
                </c:pt>
                <c:pt idx="162">
                  <c:v>20.695243422090179</c:v>
                </c:pt>
                <c:pt idx="163">
                  <c:v>20.965298501572175</c:v>
                </c:pt>
                <c:pt idx="164">
                  <c:v>21.237117756053696</c:v>
                </c:pt>
                <c:pt idx="165">
                  <c:v>21.510699803773118</c:v>
                </c:pt>
                <c:pt idx="166">
                  <c:v>21.786043245220988</c:v>
                </c:pt>
                <c:pt idx="167">
                  <c:v>22.063146663270004</c:v>
                </c:pt>
                <c:pt idx="168">
                  <c:v>22.342008623303379</c:v>
                </c:pt>
                <c:pt idx="169">
                  <c:v>22.622627673341626</c:v>
                </c:pt>
                <c:pt idx="170">
                  <c:v>22.905002344167837</c:v>
                </c:pt>
                <c:pt idx="171">
                  <c:v>23.189131149451459</c:v>
                </c:pt>
                <c:pt idx="172">
                  <c:v>23.475012585870623</c:v>
                </c:pt>
                <c:pt idx="173">
                  <c:v>23.762645133233068</c:v>
                </c:pt>
                <c:pt idx="174">
                  <c:v>24.052027254595679</c:v>
                </c:pt>
                <c:pt idx="175">
                  <c:v>24.343157396382686</c:v>
                </c:pt>
                <c:pt idx="176">
                  <c:v>24.636033988502554</c:v>
                </c:pt>
                <c:pt idx="177">
                  <c:v>24.930655444463586</c:v>
                </c:pt>
                <c:pt idx="178">
                  <c:v>25.227020161488291</c:v>
                </c:pt>
                <c:pt idx="179">
                  <c:v>25.525126520626536</c:v>
                </c:pt>
                <c:pt idx="180">
                  <c:v>25.824972886867499</c:v>
                </c:pt>
                <c:pt idx="181">
                  <c:v>26.126557609250487</c:v>
                </c:pt>
                <c:pt idx="182">
                  <c:v>26.429879020974592</c:v>
                </c:pt>
                <c:pt idx="183">
                  <c:v>26.734935439507275</c:v>
                </c:pt>
                <c:pt idx="184">
                  <c:v>27.041725166691851</c:v>
                </c:pt>
                <c:pt idx="185">
                  <c:v>27.350246488853941</c:v>
                </c:pt>
                <c:pt idx="186">
                  <c:v>27.660497676906878</c:v>
                </c:pt>
                <c:pt idx="187">
                  <c:v>27.972476986456122</c:v>
                </c:pt>
                <c:pt idx="188">
                  <c:v>28.286182657902689</c:v>
                </c:pt>
                <c:pt idx="189">
                  <c:v>28.601612916545619</c:v>
                </c:pt>
                <c:pt idx="190">
                  <c:v>28.918765972683527</c:v>
                </c:pt>
                <c:pt idx="191">
                  <c:v>29.237640021715215</c:v>
                </c:pt>
                <c:pt idx="192">
                  <c:v>29.558233244239407</c:v>
                </c:pt>
                <c:pt idx="193">
                  <c:v>29.88054380615359</c:v>
                </c:pt>
                <c:pt idx="194">
                  <c:v>30.204569858752031</c:v>
                </c:pt>
                <c:pt idx="195">
                  <c:v>30.530309538822927</c:v>
                </c:pt>
                <c:pt idx="196">
                  <c:v>30.857760968744756</c:v>
                </c:pt>
                <c:pt idx="197">
                  <c:v>31.186922256581827</c:v>
                </c:pt>
                <c:pt idx="198">
                  <c:v>31.517791496179036</c:v>
                </c:pt>
                <c:pt idx="199">
                  <c:v>31.850366767255871</c:v>
                </c:pt>
                <c:pt idx="200">
                  <c:v>32.184646135499648</c:v>
                </c:pt>
                <c:pt idx="201">
                  <c:v>32.520627652658042</c:v>
                </c:pt>
                <c:pt idx="202">
                  <c:v>32.858309356630876</c:v>
                </c:pt>
                <c:pt idx="203">
                  <c:v>33.19768927156121</c:v>
                </c:pt>
                <c:pt idx="204">
                  <c:v>33.538765407925744</c:v>
                </c:pt>
                <c:pt idx="205">
                  <c:v>33.881535762624566</c:v>
                </c:pt>
                <c:pt idx="206">
                  <c:v>34.225998227921039</c:v>
                </c:pt>
                <c:pt idx="207">
                  <c:v>34.572150500141142</c:v>
                </c:pt>
                <c:pt idx="208">
                  <c:v>34.919990170619911</c:v>
                </c:pt>
                <c:pt idx="209">
                  <c:v>35.26951481689138</c:v>
                </c:pt>
                <c:pt idx="210">
                  <c:v>35.620722002783424</c:v>
                </c:pt>
                <c:pt idx="211">
                  <c:v>35.973609278511951</c:v>
                </c:pt>
                <c:pt idx="212">
                  <c:v>36.328174180774447</c:v>
                </c:pt>
                <c:pt idx="213">
                  <c:v>36.684414232842876</c:v>
                </c:pt>
                <c:pt idx="214">
                  <c:v>37.042326944655954</c:v>
                </c:pt>
                <c:pt idx="215">
                  <c:v>37.401909812910844</c:v>
                </c:pt>
                <c:pt idx="216">
                  <c:v>37.763160321154217</c:v>
                </c:pt>
                <c:pt idx="217">
                  <c:v>38.126075939872749</c:v>
                </c:pt>
                <c:pt idx="218">
                  <c:v>38.490654126583031</c:v>
                </c:pt>
                <c:pt idx="219">
                  <c:v>38.85689232592091</c:v>
                </c:pt>
                <c:pt idx="220">
                  <c:v>39.224787969730279</c:v>
                </c:pt>
                <c:pt idx="221">
                  <c:v>39.594338477151325</c:v>
                </c:pt>
                <c:pt idx="222">
                  <c:v>39.965541254708207</c:v>
                </c:pt>
                <c:pt idx="223">
                  <c:v>40.33839369639626</c:v>
                </c:pt>
                <c:pt idx="224">
                  <c:v>40.712893183768635</c:v>
                </c:pt>
                <c:pt idx="225">
                  <c:v>41.089037086022451</c:v>
                </c:pt>
                <c:pt idx="226">
                  <c:v>41.466822760084426</c:v>
                </c:pt>
                <c:pt idx="227">
                  <c:v>41.846247550696042</c:v>
                </c:pt>
                <c:pt idx="228">
                  <c:v>42.227308790498192</c:v>
                </c:pt>
                <c:pt idx="229">
                  <c:v>42.610003800115386</c:v>
                </c:pt>
                <c:pt idx="230">
                  <c:v>42.994329888239434</c:v>
                </c:pt>
                <c:pt idx="231">
                  <c:v>43.380284351712731</c:v>
                </c:pt>
                <c:pt idx="232">
                  <c:v>43.767864475611027</c:v>
                </c:pt>
                <c:pt idx="233">
                  <c:v>44.157067533325794</c:v>
                </c:pt>
                <c:pt idx="234">
                  <c:v>44.547890786646121</c:v>
                </c:pt>
                <c:pt idx="235">
                  <c:v>44.940331485840183</c:v>
                </c:pt>
                <c:pt idx="236">
                  <c:v>45.334386869736278</c:v>
                </c:pt>
                <c:pt idx="237">
                  <c:v>45.730054165803452</c:v>
                </c:pt>
                <c:pt idx="238">
                  <c:v>46.127330590231701</c:v>
                </c:pt>
                <c:pt idx="239">
                  <c:v>46.526213348011751</c:v>
                </c:pt>
                <c:pt idx="240">
                  <c:v>46.926699633014451</c:v>
                </c:pt>
                <c:pt idx="241">
                  <c:v>47.328786628069757</c:v>
                </c:pt>
                <c:pt idx="242">
                  <c:v>47.732471183028522</c:v>
                </c:pt>
                <c:pt idx="243">
                  <c:v>48.137749492121088</c:v>
                </c:pt>
                <c:pt idx="244">
                  <c:v>48.544617415252169</c:v>
                </c:pt>
                <c:pt idx="245">
                  <c:v>48.953070800011616</c:v>
                </c:pt>
                <c:pt idx="246">
                  <c:v>49.363105481778071</c:v>
                </c:pt>
                <c:pt idx="247">
                  <c:v>49.774717283822135</c:v>
                </c:pt>
                <c:pt idx="248">
                  <c:v>50.187902017408966</c:v>
                </c:pt>
                <c:pt idx="249">
                  <c:v>50.602655481900342</c:v>
                </c:pt>
                <c:pt idx="250">
                  <c:v>51.018973464856202</c:v>
                </c:pt>
                <c:pt idx="251">
                  <c:v>51.436851742135644</c:v>
                </c:pt>
                <c:pt idx="252">
                  <c:v>51.856286077997432</c:v>
                </c:pt>
                <c:pt idx="253">
                  <c:v>52.277272225199972</c:v>
                </c:pt>
                <c:pt idx="254">
                  <c:v>52.699805925100783</c:v>
                </c:pt>
                <c:pt idx="255">
                  <c:v>53.123882907755444</c:v>
                </c:pt>
                <c:pt idx="256">
                  <c:v>53.549498892016096</c:v>
                </c:pt>
                <c:pt idx="257">
                  <c:v>53.976649585629374</c:v>
                </c:pt>
                <c:pt idx="258">
                  <c:v>54.405330685333922</c:v>
                </c:pt>
                <c:pt idx="259">
                  <c:v>54.835537876957375</c:v>
                </c:pt>
                <c:pt idx="260">
                  <c:v>55.267266835512864</c:v>
                </c:pt>
                <c:pt idx="261">
                  <c:v>55.700513225295076</c:v>
                </c:pt>
                <c:pt idx="262">
                  <c:v>56.1352726999758</c:v>
                </c:pt>
                <c:pt idx="263">
                  <c:v>56.571540902699034</c:v>
                </c:pt>
                <c:pt idx="264">
                  <c:v>57.009313466175605</c:v>
                </c:pt>
                <c:pt idx="265">
                  <c:v>57.448586012777341</c:v>
                </c:pt>
                <c:pt idx="266">
                  <c:v>57.88935415463078</c:v>
                </c:pt>
                <c:pt idx="267">
                  <c:v>58.331613493710414</c:v>
                </c:pt>
                <c:pt idx="268">
                  <c:v>58.775359621931507</c:v>
                </c:pt>
                <c:pt idx="269">
                  <c:v>59.220588121242429</c:v>
                </c:pt>
                <c:pt idx="270">
                  <c:v>59.667294563716581</c:v>
                </c:pt>
                <c:pt idx="271">
                  <c:v>60.115474511643846</c:v>
                </c:pt>
                <c:pt idx="272">
                  <c:v>60.565123517621622</c:v>
                </c:pt>
                <c:pt idx="273">
                  <c:v>61.0162371246454</c:v>
                </c:pt>
                <c:pt idx="274">
                  <c:v>61.468810866198929</c:v>
                </c:pt>
                <c:pt idx="275">
                  <c:v>61.922840266343933</c:v>
                </c:pt>
                <c:pt idx="276">
                  <c:v>62.378320839809405</c:v>
                </c:pt>
                <c:pt idx="277">
                  <c:v>62.835248092080484</c:v>
                </c:pt>
                <c:pt idx="278">
                  <c:v>63.293617519486887</c:v>
                </c:pt>
                <c:pt idx="279">
                  <c:v>63.753424609290931</c:v>
                </c:pt>
                <c:pt idx="280">
                  <c:v>64.214664839775139</c:v>
                </c:pt>
                <c:pt idx="281">
                  <c:v>64.677333680329426</c:v>
                </c:pt>
                <c:pt idx="282">
                  <c:v>65.141426591537879</c:v>
                </c:pt>
                <c:pt idx="283">
                  <c:v>65.606939025265092</c:v>
                </c:pt>
                <c:pt idx="284">
                  <c:v>66.073866811332451</c:v>
                </c:pt>
                <c:pt idx="285">
                  <c:v>66.542206544854395</c:v>
                </c:pt>
                <c:pt idx="286">
                  <c:v>67.01195520040342</c:v>
                </c:pt>
                <c:pt idx="287">
                  <c:v>67.483109745500727</c:v>
                </c:pt>
                <c:pt idx="288">
                  <c:v>67.955667140673867</c:v>
                </c:pt>
                <c:pt idx="289">
                  <c:v>68.429624339514206</c:v>
                </c:pt>
                <c:pt idx="290">
                  <c:v>68.904978288734057</c:v>
                </c:pt>
                <c:pt idx="291">
                  <c:v>69.381725928223716</c:v>
                </c:pt>
                <c:pt idx="292">
                  <c:v>69.859864191108173</c:v>
                </c:pt>
                <c:pt idx="293">
                  <c:v>70.339390003803629</c:v>
                </c:pt>
                <c:pt idx="294">
                  <c:v>70.820300286073845</c:v>
                </c:pt>
                <c:pt idx="295">
                  <c:v>71.3025919510862</c:v>
                </c:pt>
                <c:pt idx="296">
                  <c:v>71.786261905467569</c:v>
                </c:pt>
                <c:pt idx="297">
                  <c:v>72.271307049359947</c:v>
                </c:pt>
                <c:pt idx="298">
                  <c:v>72.75772427647594</c:v>
                </c:pt>
                <c:pt idx="299">
                  <c:v>73.245510474153917</c:v>
                </c:pt>
                <c:pt idx="300">
                  <c:v>73.734662523413036</c:v>
                </c:pt>
                <c:pt idx="301">
                  <c:v>74.225177299008038</c:v>
                </c:pt>
                <c:pt idx="302">
                  <c:v>74.717051669483808</c:v>
                </c:pt>
                <c:pt idx="303">
                  <c:v>75.210282497229727</c:v>
                </c:pt>
                <c:pt idx="304">
                  <c:v>75.704866638533829</c:v>
                </c:pt>
                <c:pt idx="305">
                  <c:v>76.200800943636736</c:v>
                </c:pt>
                <c:pt idx="306">
                  <c:v>76.698082256785355</c:v>
                </c:pt>
                <c:pt idx="307">
                  <c:v>77.196707416286415</c:v>
                </c:pt>
                <c:pt idx="308">
                  <c:v>77.696673254559727</c:v>
                </c:pt>
                <c:pt idx="309">
                  <c:v>78.197976598191332</c:v>
                </c:pt>
                <c:pt idx="310">
                  <c:v>78.700614267986325</c:v>
                </c:pt>
                <c:pt idx="311">
                  <c:v>79.204583079021575</c:v>
                </c:pt>
                <c:pt idx="312">
                  <c:v>79.70987984069815</c:v>
                </c:pt>
                <c:pt idx="313">
                  <c:v>80.216501356793586</c:v>
                </c:pt>
                <c:pt idx="314">
                  <c:v>80.724444425513951</c:v>
                </c:pt>
                <c:pt idx="315">
                  <c:v>81.233705839545678</c:v>
                </c:pt>
                <c:pt idx="316">
                  <c:v>81.744282386107187</c:v>
                </c:pt>
                <c:pt idx="317">
                  <c:v>82.256170847000334</c:v>
                </c:pt>
                <c:pt idx="318">
                  <c:v>82.769367998661636</c:v>
                </c:pt>
                <c:pt idx="319">
                  <c:v>83.283870612213278</c:v>
                </c:pt>
                <c:pt idx="320">
                  <c:v>83.799675453513956</c:v>
                </c:pt>
                <c:pt idx="321">
                  <c:v>84.31677928320947</c:v>
                </c:pt>
                <c:pt idx="322">
                  <c:v>84.835178856783145</c:v>
                </c:pt>
                <c:pt idx="323">
                  <c:v>85.354870924606004</c:v>
                </c:pt>
                <c:pt idx="324">
                  <c:v>85.875852231986812</c:v>
                </c:pt>
                <c:pt idx="325">
                  <c:v>86.398119519221879</c:v>
                </c:pt>
                <c:pt idx="326">
                  <c:v>86.92166954587195</c:v>
                </c:pt>
                <c:pt idx="327">
                  <c:v>87.446499115071987</c:v>
                </c:pt>
                <c:pt idx="328">
                  <c:v>87.972605049381585</c:v>
                </c:pt>
                <c:pt idx="329">
                  <c:v>88.499984166601465</c:v>
                </c:pt>
                <c:pt idx="330">
                  <c:v>89.028633279820852</c:v>
                </c:pt>
                <c:pt idx="331">
                  <c:v>89.558549197464785</c:v>
                </c:pt>
                <c:pt idx="332">
                  <c:v>90.089728723341139</c:v>
                </c:pt>
                <c:pt idx="333">
                  <c:v>90.622168656687492</c:v>
                </c:pt>
                <c:pt idx="334">
                  <c:v>91.155865792217767</c:v>
                </c:pt>
                <c:pt idx="335">
                  <c:v>91.690816920168771</c:v>
                </c:pt>
                <c:pt idx="336">
                  <c:v>92.227018826346423</c:v>
                </c:pt>
                <c:pt idx="337">
                  <c:v>92.764468292171912</c:v>
                </c:pt>
                <c:pt idx="338">
                  <c:v>93.30316209472754</c:v>
                </c:pt>
                <c:pt idx="339">
                  <c:v>93.843097006802495</c:v>
                </c:pt>
                <c:pt idx="340">
                  <c:v>94.384269796938341</c:v>
                </c:pt>
                <c:pt idx="341">
                  <c:v>94.926677229474407</c:v>
                </c:pt>
                <c:pt idx="342">
                  <c:v>95.470316064592879</c:v>
                </c:pt>
                <c:pt idx="343">
                  <c:v>96.015183058363803</c:v>
                </c:pt>
                <c:pt idx="344">
                  <c:v>96.561274962789838</c:v>
                </c:pt>
                <c:pt idx="345">
                  <c:v>97.108588525850848</c:v>
                </c:pt>
                <c:pt idx="346">
                  <c:v>97.657120491548284</c:v>
                </c:pt>
                <c:pt idx="347">
                  <c:v>98.206867599949405</c:v>
                </c:pt>
                <c:pt idx="348">
                  <c:v>98.757826587231278</c:v>
                </c:pt>
                <c:pt idx="349">
                  <c:v>99.309994185724648</c:v>
                </c:pt>
                <c:pt idx="350">
                  <c:v>99.863367123957531</c:v>
                </c:pt>
                <c:pt idx="351">
                  <c:v>100.41794212669868</c:v>
                </c:pt>
                <c:pt idx="352">
                  <c:v>100.97371591500087</c:v>
                </c:pt>
                <c:pt idx="353">
                  <c:v>101.53068520624399</c:v>
                </c:pt>
                <c:pt idx="354">
                  <c:v>102.08884671417786</c:v>
                </c:pt>
                <c:pt idx="355">
                  <c:v>102.64819714896505</c:v>
                </c:pt>
                <c:pt idx="356">
                  <c:v>103.20873321722328</c:v>
                </c:pt>
                <c:pt idx="357">
                  <c:v>103.77045162206784</c:v>
                </c:pt>
                <c:pt idx="358">
                  <c:v>104.33334906315368</c:v>
                </c:pt>
                <c:pt idx="359">
                  <c:v>104.89742223671738</c:v>
                </c:pt>
                <c:pt idx="360">
                  <c:v>105.46266783561893</c:v>
                </c:pt>
                <c:pt idx="361">
                  <c:v>106.02908254938333</c:v>
                </c:pt>
                <c:pt idx="362">
                  <c:v>106.59666306424194</c:v>
                </c:pt>
                <c:pt idx="363">
                  <c:v>107.16540606317372</c:v>
                </c:pt>
                <c:pt idx="364">
                  <c:v>107.73530822594626</c:v>
                </c:pt>
                <c:pt idx="365">
                  <c:v>108.30636622915658</c:v>
                </c:pt>
                <c:pt idx="366">
                  <c:v>108.87857737125144</c:v>
                </c:pt>
                <c:pt idx="367">
                  <c:v>109.45194019822524</c:v>
                </c:pt>
                <c:pt idx="368">
                  <c:v>110.02645387913363</c:v>
                </c:pt>
                <c:pt idx="369">
                  <c:v>110.60211758091549</c:v>
                </c:pt>
                <c:pt idx="370">
                  <c:v>111.17893046840663</c:v>
                </c:pt>
                <c:pt idx="371">
                  <c:v>111.75689170435332</c:v>
                </c:pt>
                <c:pt idx="372">
                  <c:v>112.33600044942584</c:v>
                </c:pt>
                <c:pt idx="373">
                  <c:v>112.91625586223201</c:v>
                </c:pt>
                <c:pt idx="374">
                  <c:v>113.49765709933067</c:v>
                </c:pt>
                <c:pt idx="375">
                  <c:v>114.08020331524517</c:v>
                </c:pt>
                <c:pt idx="376">
                  <c:v>114.66389366247681</c:v>
                </c:pt>
                <c:pt idx="377">
                  <c:v>115.24872729151821</c:v>
                </c:pt>
                <c:pt idx="378">
                  <c:v>115.83470335086675</c:v>
                </c:pt>
                <c:pt idx="379">
                  <c:v>116.42182098703789</c:v>
                </c:pt>
                <c:pt idx="380">
                  <c:v>117.01007934457854</c:v>
                </c:pt>
                <c:pt idx="381">
                  <c:v>117.59947688731627</c:v>
                </c:pt>
                <c:pt idx="382">
                  <c:v>118.19001071891664</c:v>
                </c:pt>
                <c:pt idx="383">
                  <c:v>118.78167726124488</c:v>
                </c:pt>
                <c:pt idx="384">
                  <c:v>119.37447293343347</c:v>
                </c:pt>
                <c:pt idx="385">
                  <c:v>119.96839415192333</c:v>
                </c:pt>
                <c:pt idx="386">
                  <c:v>120.56343733050495</c:v>
                </c:pt>
                <c:pt idx="387">
                  <c:v>121.15959888035914</c:v>
                </c:pt>
                <c:pt idx="388">
                  <c:v>121.7568752100977</c:v>
                </c:pt>
                <c:pt idx="389">
                  <c:v>122.35526272580387</c:v>
                </c:pt>
                <c:pt idx="390">
                  <c:v>122.9547578310725</c:v>
                </c:pt>
                <c:pt idx="391">
                  <c:v>123.55535692705011</c:v>
                </c:pt>
                <c:pt idx="392">
                  <c:v>124.15705641247472</c:v>
                </c:pt>
                <c:pt idx="393">
                  <c:v>124.75985268371542</c:v>
                </c:pt>
                <c:pt idx="394">
                  <c:v>125.36374213481186</c:v>
                </c:pt>
                <c:pt idx="395">
                  <c:v>125.96872115751336</c:v>
                </c:pt>
                <c:pt idx="396">
                  <c:v>126.57478614131801</c:v>
                </c:pt>
                <c:pt idx="397">
                  <c:v>127.18193347351146</c:v>
                </c:pt>
                <c:pt idx="398">
                  <c:v>127.79015953920548</c:v>
                </c:pt>
                <c:pt idx="399">
                  <c:v>128.39946072137639</c:v>
                </c:pt>
                <c:pt idx="400">
                  <c:v>129.00983340090329</c:v>
                </c:pt>
                <c:pt idx="401">
                  <c:v>129.62127341953416</c:v>
                </c:pt>
                <c:pt idx="402">
                  <c:v>130.23377554237533</c:v>
                </c:pt>
                <c:pt idx="403">
                  <c:v>130.84733399479003</c:v>
                </c:pt>
                <c:pt idx="404">
                  <c:v>131.46194299978649</c:v>
                </c:pt>
                <c:pt idx="405">
                  <c:v>132.07759677808187</c:v>
                </c:pt>
                <c:pt idx="406">
                  <c:v>132.69428954816576</c:v>
                </c:pt>
                <c:pt idx="407">
                  <c:v>133.3120155263633</c:v>
                </c:pt>
                <c:pt idx="408">
                  <c:v>133.9307689268978</c:v>
                </c:pt>
                <c:pt idx="409">
                  <c:v>134.55054396195297</c:v>
                </c:pt>
                <c:pt idx="410">
                  <c:v>135.17133484173476</c:v>
                </c:pt>
                <c:pt idx="411">
                  <c:v>135.79313279867094</c:v>
                </c:pt>
                <c:pt idx="412">
                  <c:v>136.41592310924435</c:v>
                </c:pt>
                <c:pt idx="413">
                  <c:v>137.03968806921588</c:v>
                </c:pt>
                <c:pt idx="414">
                  <c:v>137.66440997133583</c:v>
                </c:pt>
                <c:pt idx="415">
                  <c:v>138.29007110564746</c:v>
                </c:pt>
                <c:pt idx="416">
                  <c:v>138.91665375978732</c:v>
                </c:pt>
                <c:pt idx="417">
                  <c:v>139.54414021928255</c:v>
                </c:pt>
                <c:pt idx="418">
                  <c:v>140.17251276784472</c:v>
                </c:pt>
                <c:pt idx="419">
                  <c:v>140.80175368766072</c:v>
                </c:pt>
                <c:pt idx="420">
                  <c:v>141.43184356270487</c:v>
                </c:pt>
                <c:pt idx="421">
                  <c:v>142.06275958099536</c:v>
                </c:pt>
                <c:pt idx="422">
                  <c:v>142.69447723193201</c:v>
                </c:pt>
                <c:pt idx="423">
                  <c:v>143.32697200478759</c:v>
                </c:pt>
                <c:pt idx="424">
                  <c:v>143.96021938918929</c:v>
                </c:pt>
                <c:pt idx="425">
                  <c:v>144.5941948755941</c:v>
                </c:pt>
                <c:pt idx="426">
                  <c:v>145.22887395575827</c:v>
                </c:pt>
                <c:pt idx="427">
                  <c:v>145.86423212320085</c:v>
                </c:pt>
                <c:pt idx="428">
                  <c:v>146.50024487366119</c:v>
                </c:pt>
                <c:pt idx="429">
                  <c:v>147.13688770555061</c:v>
                </c:pt>
                <c:pt idx="430">
                  <c:v>147.77413612039794</c:v>
                </c:pt>
                <c:pt idx="431">
                  <c:v>148.41196562328921</c:v>
                </c:pt>
                <c:pt idx="432">
                  <c:v>149.05034897973573</c:v>
                </c:pt>
                <c:pt idx="433">
                  <c:v>149.68925347161226</c:v>
                </c:pt>
                <c:pt idx="434">
                  <c:v>150.32864364248908</c:v>
                </c:pt>
                <c:pt idx="435">
                  <c:v>150.96848404409437</c:v>
                </c:pt>
                <c:pt idx="436">
                  <c:v>151.60873923714556</c:v>
                </c:pt>
                <c:pt idx="437">
                  <c:v>152.2493737921682</c:v>
                </c:pt>
                <c:pt idx="438">
                  <c:v>152.8903522903025</c:v>
                </c:pt>
                <c:pt idx="439">
                  <c:v>153.53163932409743</c:v>
                </c:pt>
                <c:pt idx="440">
                  <c:v>154.17319949829232</c:v>
                </c:pt>
                <c:pt idx="441">
                  <c:v>154.8149974305862</c:v>
                </c:pt>
                <c:pt idx="442">
                  <c:v>155.45699942344433</c:v>
                </c:pt>
                <c:pt idx="443">
                  <c:v>156.0991751359455</c:v>
                </c:pt>
                <c:pt idx="444">
                  <c:v>156.74149591188183</c:v>
                </c:pt>
                <c:pt idx="445">
                  <c:v>157.38393310766685</c:v>
                </c:pt>
                <c:pt idx="446">
                  <c:v>158.02645809279227</c:v>
                </c:pt>
                <c:pt idx="447">
                  <c:v>158.66904225027665</c:v>
                </c:pt>
                <c:pt idx="448">
                  <c:v>159.31165697710588</c:v>
                </c:pt>
                <c:pt idx="449">
                  <c:v>159.95427368466548</c:v>
                </c:pt>
                <c:pt idx="450">
                  <c:v>160.59686379916485</c:v>
                </c:pt>
                <c:pt idx="451">
                  <c:v>161.2393987620533</c:v>
                </c:pt>
                <c:pt idx="452">
                  <c:v>161.88185003042798</c:v>
                </c:pt>
                <c:pt idx="453">
                  <c:v>162.52419147833879</c:v>
                </c:pt>
                <c:pt idx="454">
                  <c:v>163.16640179758784</c:v>
                </c:pt>
                <c:pt idx="455">
                  <c:v>163.80846209412798</c:v>
                </c:pt>
                <c:pt idx="456">
                  <c:v>164.45035348483285</c:v>
                </c:pt>
                <c:pt idx="457">
                  <c:v>165.09205709763089</c:v>
                </c:pt>
                <c:pt idx="458">
                  <c:v>165.73355407163601</c:v>
                </c:pt>
                <c:pt idx="459">
                  <c:v>166.37482555727465</c:v>
                </c:pt>
                <c:pt idx="460">
                  <c:v>167.01585271640963</c:v>
                </c:pt>
                <c:pt idx="461">
                  <c:v>167.65661888866109</c:v>
                </c:pt>
                <c:pt idx="462">
                  <c:v>168.2971117570678</c:v>
                </c:pt>
                <c:pt idx="463">
                  <c:v>168.93732117895846</c:v>
                </c:pt>
                <c:pt idx="464">
                  <c:v>169.57723701742484</c:v>
                </c:pt>
                <c:pt idx="465">
                  <c:v>170.21684914132703</c:v>
                </c:pt>
                <c:pt idx="466">
                  <c:v>170.85614560247032</c:v>
                </c:pt>
                <c:pt idx="467">
                  <c:v>171.49511081339065</c:v>
                </c:pt>
                <c:pt idx="468">
                  <c:v>172.13370705947636</c:v>
                </c:pt>
                <c:pt idx="469">
                  <c:v>172.77188088604353</c:v>
                </c:pt>
                <c:pt idx="470">
                  <c:v>173.40960829993656</c:v>
                </c:pt>
                <c:pt idx="471">
                  <c:v>174.04689020048593</c:v>
                </c:pt>
                <c:pt idx="472">
                  <c:v>174.68372748443463</c:v>
                </c:pt>
                <c:pt idx="473">
                  <c:v>175.32012104594833</c:v>
                </c:pt>
                <c:pt idx="474">
                  <c:v>175.95607177662561</c:v>
                </c:pt>
                <c:pt idx="475">
                  <c:v>176.59158056550797</c:v>
                </c:pt>
                <c:pt idx="476">
                  <c:v>177.2266482990899</c:v>
                </c:pt>
                <c:pt idx="477">
                  <c:v>177.86127586132886</c:v>
                </c:pt>
                <c:pt idx="478">
                  <c:v>178.49546413365522</c:v>
                </c:pt>
                <c:pt idx="479">
                  <c:v>179.12921399498217</c:v>
                </c:pt>
                <c:pt idx="480">
                  <c:v>179.76252632171557</c:v>
                </c:pt>
                <c:pt idx="481">
                  <c:v>180.39540198776371</c:v>
                </c:pt>
                <c:pt idx="482">
                  <c:v>181.02784186454704</c:v>
                </c:pt>
                <c:pt idx="483">
                  <c:v>181.65984682100793</c:v>
                </c:pt>
                <c:pt idx="484">
                  <c:v>182.29141772362033</c:v>
                </c:pt>
                <c:pt idx="485">
                  <c:v>182.92255543639925</c:v>
                </c:pt>
                <c:pt idx="486">
                  <c:v>183.55326082091048</c:v>
                </c:pt>
                <c:pt idx="487">
                  <c:v>184.18353473628</c:v>
                </c:pt>
                <c:pt idx="488">
                  <c:v>184.81337803920346</c:v>
                </c:pt>
                <c:pt idx="489">
                  <c:v>185.4427915839556</c:v>
                </c:pt>
                <c:pt idx="490">
                  <c:v>186.07177622239965</c:v>
                </c:pt>
                <c:pt idx="491">
                  <c:v>186.70033280399662</c:v>
                </c:pt>
                <c:pt idx="492">
                  <c:v>187.32846217581459</c:v>
                </c:pt>
                <c:pt idx="493">
                  <c:v>187.95616518253797</c:v>
                </c:pt>
                <c:pt idx="494">
                  <c:v>188.58344266647663</c:v>
                </c:pt>
                <c:pt idx="495">
                  <c:v>189.21029546757512</c:v>
                </c:pt>
                <c:pt idx="496">
                  <c:v>189.83672442342174</c:v>
                </c:pt>
                <c:pt idx="497">
                  <c:v>190.4627303692576</c:v>
                </c:pt>
                <c:pt idx="498">
                  <c:v>191.08831413798563</c:v>
                </c:pt>
                <c:pt idx="499">
                  <c:v>191.71347656017952</c:v>
                </c:pt>
                <c:pt idx="500">
                  <c:v>192.33821846409273</c:v>
                </c:pt>
                <c:pt idx="501">
                  <c:v>198.56257298234181</c:v>
                </c:pt>
                <c:pt idx="502">
                  <c:v>204.74540832122014</c:v>
                </c:pt>
                <c:pt idx="503">
                  <c:v>210.88753087750254</c:v>
                </c:pt>
                <c:pt idx="504">
                  <c:v>216.98972500146775</c:v>
                </c:pt>
                <c:pt idx="505">
                  <c:v>223.05275381772063</c:v>
                </c:pt>
                <c:pt idx="506">
                  <c:v>229.07736000788211</c:v>
                </c:pt>
                <c:pt idx="507">
                  <c:v>235.06426655726781</c:v>
                </c:pt>
                <c:pt idx="508">
                  <c:v>241.01417746753947</c:v>
                </c:pt>
                <c:pt idx="509">
                  <c:v>246.92777843718562</c:v>
                </c:pt>
                <c:pt idx="510">
                  <c:v>252.80573751157112</c:v>
                </c:pt>
                <c:pt idx="511">
                  <c:v>258.64870570418509</c:v>
                </c:pt>
                <c:pt idx="512">
                  <c:v>264.45731759061573</c:v>
                </c:pt>
                <c:pt idx="513">
                  <c:v>270.23219187668622</c:v>
                </c:pt>
                <c:pt idx="514">
                  <c:v>275.97393194209786</c:v>
                </c:pt>
                <c:pt idx="515">
                  <c:v>281.68312636084551</c:v>
                </c:pt>
                <c:pt idx="516">
                  <c:v>287.36034939959404</c:v>
                </c:pt>
                <c:pt idx="517">
                  <c:v>293.00616149513434</c:v>
                </c:pt>
                <c:pt idx="518">
                  <c:v>298.62110971197001</c:v>
                </c:pt>
                <c:pt idx="519">
                  <c:v>304.20572818102647</c:v>
                </c:pt>
                <c:pt idx="520">
                  <c:v>309.7605385204148</c:v>
                </c:pt>
                <c:pt idx="521">
                  <c:v>315.28605023912991</c:v>
                </c:pt>
                <c:pt idx="522">
                  <c:v>320.78276112451243</c:v>
                </c:pt>
                <c:pt idx="523">
                  <c:v>326.25115761425673</c:v>
                </c:pt>
                <c:pt idx="524">
                  <c:v>331.691715153703</c:v>
                </c:pt>
                <c:pt idx="525">
                  <c:v>337.10489853911167</c:v>
                </c:pt>
                <c:pt idx="526">
                  <c:v>342.49116224757813</c:v>
                </c:pt>
                <c:pt idx="527">
                  <c:v>347.85095075421106</c:v>
                </c:pt>
                <c:pt idx="528">
                  <c:v>353.18469883716347</c:v>
                </c:pt>
                <c:pt idx="529">
                  <c:v>358.49283187107324</c:v>
                </c:pt>
                <c:pt idx="530">
                  <c:v>363.77576610944072</c:v>
                </c:pt>
                <c:pt idx="531">
                  <c:v>369.03390895644321</c:v>
                </c:pt>
                <c:pt idx="532">
                  <c:v>374.267659228659</c:v>
                </c:pt>
                <c:pt idx="533">
                  <c:v>379.47740740714966</c:v>
                </c:pt>
                <c:pt idx="534">
                  <c:v>384.66353588032564</c:v>
                </c:pt>
                <c:pt idx="535">
                  <c:v>389.82641917799839</c:v>
                </c:pt>
                <c:pt idx="536">
                  <c:v>394.96642419700208</c:v>
                </c:pt>
                <c:pt idx="537">
                  <c:v>400.08391041874751</c:v>
                </c:pt>
                <c:pt idx="538">
                  <c:v>405.17923011905378</c:v>
                </c:pt>
                <c:pt idx="539">
                  <c:v>410.25272857058513</c:v>
                </c:pt>
                <c:pt idx="540">
                  <c:v>415.30474423820448</c:v>
                </c:pt>
                <c:pt idx="541">
                  <c:v>420.33560896753971</c:v>
                </c:pt>
                <c:pt idx="542">
                  <c:v>425.34564816704426</c:v>
                </c:pt>
                <c:pt idx="543">
                  <c:v>430.33518098382007</c:v>
                </c:pt>
                <c:pt idx="544">
                  <c:v>435.3045204734579</c:v>
                </c:pt>
                <c:pt idx="545">
                  <c:v>440.2539737641373</c:v>
                </c:pt>
                <c:pt idx="546">
                  <c:v>445.18384221521785</c:v>
                </c:pt>
                <c:pt idx="547">
                  <c:v>450.09442157054184</c:v>
                </c:pt>
                <c:pt idx="548">
                  <c:v>454.98600210665796</c:v>
                </c:pt>
                <c:pt idx="549">
                  <c:v>459.85886877616639</c:v>
                </c:pt>
                <c:pt idx="550">
                  <c:v>464.71330134637572</c:v>
                </c:pt>
                <c:pt idx="551">
                  <c:v>469.54957453345395</c:v>
                </c:pt>
                <c:pt idx="552">
                  <c:v>474.36795813224694</c:v>
                </c:pt>
                <c:pt idx="553">
                  <c:v>479.16871714192996</c:v>
                </c:pt>
                <c:pt idx="554">
                  <c:v>483.9521118876508</c:v>
                </c:pt>
                <c:pt idx="555">
                  <c:v>488.71839813831508</c:v>
                </c:pt>
                <c:pt idx="556">
                  <c:v>493.46782722065814</c:v>
                </c:pt>
                <c:pt idx="557">
                  <c:v>498.20064612974159</c:v>
                </c:pt>
                <c:pt idx="558">
                  <c:v>502.91709763600568</c:v>
                </c:pt>
                <c:pt idx="559">
                  <c:v>507.61742038900383</c:v>
                </c:pt>
                <c:pt idx="560">
                  <c:v>512.30184901793939</c:v>
                </c:pt>
                <c:pt idx="561">
                  <c:v>516.97061422912009</c:v>
                </c:pt>
                <c:pt idx="562">
                  <c:v>521.6239429004396</c:v>
                </c:pt>
                <c:pt idx="563">
                  <c:v>526.26205817299194</c:v>
                </c:pt>
                <c:pt idx="564">
                  <c:v>530.8851795399197</c:v>
                </c:pt>
                <c:pt idx="565">
                  <c:v>535.49352293259199</c:v>
                </c:pt>
                <c:pt idx="566">
                  <c:v>540.08730080420469</c:v>
                </c:pt>
                <c:pt idx="567">
                  <c:v>544.66672221089107</c:v>
                </c:pt>
                <c:pt idx="568">
                  <c:v>549.23199289042793</c:v>
                </c:pt>
                <c:pt idx="569">
                  <c:v>553.78331533861785</c:v>
                </c:pt>
                <c:pt idx="570">
                  <c:v>558.32088888342469</c:v>
                </c:pt>
                <c:pt idx="571">
                  <c:v>562.84490975693745</c:v>
                </c:pt>
                <c:pt idx="572">
                  <c:v>567.35557116523353</c:v>
                </c:pt>
                <c:pt idx="573">
                  <c:v>571.85306335620828</c:v>
                </c:pt>
                <c:pt idx="574">
                  <c:v>576.33757368543831</c:v>
                </c:pt>
                <c:pt idx="575">
                  <c:v>580.80928668013883</c:v>
                </c:pt>
                <c:pt idx="576">
                  <c:v>585.26838410127652</c:v>
                </c:pt>
                <c:pt idx="577">
                  <c:v>589.71504500389426</c:v>
                </c:pt>
                <c:pt idx="578">
                  <c:v>594.14944579570317</c:v>
                </c:pt>
                <c:pt idx="579">
                  <c:v>598.57176029399477</c:v>
                </c:pt>
                <c:pt idx="580">
                  <c:v>602.98215978092264</c:v>
                </c:pt>
                <c:pt idx="581">
                  <c:v>607.380813057203</c:v>
                </c:pt>
                <c:pt idx="582">
                  <c:v>611.76788649427931</c:v>
                </c:pt>
                <c:pt idx="583">
                  <c:v>616.14354408499571</c:v>
                </c:pt>
                <c:pt idx="584">
                  <c:v>620.50794749282124</c:v>
                </c:pt>
                <c:pt idx="585">
                  <c:v>624.86125609966507</c:v>
                </c:pt>
                <c:pt idx="586">
                  <c:v>629.20362705232196</c:v>
                </c:pt>
                <c:pt idx="587">
                  <c:v>633.5352153075836</c:v>
                </c:pt>
                <c:pt idx="588">
                  <c:v>637.85617367605221</c:v>
                </c:pt>
                <c:pt idx="589">
                  <c:v>642.16665286468947</c:v>
                </c:pt>
                <c:pt idx="590">
                  <c:v>646.46680151813223</c:v>
                </c:pt>
                <c:pt idx="591">
                  <c:v>650.75676625880646</c:v>
                </c:pt>
                <c:pt idx="592">
                  <c:v>655.03669172586785</c:v>
                </c:pt>
                <c:pt idx="593">
                  <c:v>659.30672061299606</c:v>
                </c:pt>
                <c:pt idx="594">
                  <c:v>663.5669937050701</c:v>
                </c:pt>
                <c:pt idx="595">
                  <c:v>667.81764991374803</c:v>
                </c:pt>
                <c:pt idx="596">
                  <c:v>672.05882631197585</c:v>
                </c:pt>
                <c:pt idx="597">
                  <c:v>676.29065816744628</c:v>
                </c:pt>
                <c:pt idx="598">
                  <c:v>680.51327897502938</c:v>
                </c:pt>
                <c:pt idx="599">
                  <c:v>684.72682048819365</c:v>
                </c:pt>
                <c:pt idx="600">
                  <c:v>688.93141274943684</c:v>
                </c:pt>
                <c:pt idx="601">
                  <c:v>693.12718411974254</c:v>
                </c:pt>
                <c:pt idx="602">
                  <c:v>697.31426130707894</c:v>
                </c:pt>
                <c:pt idx="603">
                  <c:v>701.49276939395486</c:v>
                </c:pt>
                <c:pt idx="604">
                  <c:v>705.66283186404507</c:v>
                </c:pt>
                <c:pt idx="605">
                  <c:v>709.82457062789945</c:v>
                </c:pt>
                <c:pt idx="606">
                  <c:v>713.97810604774452</c:v>
                </c:pt>
                <c:pt idx="607">
                  <c:v>718.12355696138957</c:v>
                </c:pt>
                <c:pt idx="608">
                  <c:v>722.2610407052448</c:v>
                </c:pt>
                <c:pt idx="609">
                  <c:v>726.39067313645978</c:v>
                </c:pt>
                <c:pt idx="610">
                  <c:v>730.51256865418861</c:v>
                </c:pt>
                <c:pt idx="611">
                  <c:v>734.62684021998655</c:v>
                </c:pt>
                <c:pt idx="612">
                  <c:v>738.73359937734358</c:v>
                </c:pt>
                <c:pt idx="613">
                  <c:v>742.83295627035636</c:v>
                </c:pt>
                <c:pt idx="614">
                  <c:v>746.92501966154134</c:v>
                </c:pt>
                <c:pt idx="615">
                  <c:v>751.00989694878979</c:v>
                </c:pt>
                <c:pt idx="616">
                  <c:v>755.08769418146369</c:v>
                </c:pt>
                <c:pt idx="617">
                  <c:v>759.15851607563047</c:v>
                </c:pt>
                <c:pt idx="618">
                  <c:v>763.22246602843484</c:v>
                </c:pt>
                <c:pt idx="619">
                  <c:v>767.27964613160225</c:v>
                </c:pt>
                <c:pt idx="620">
                  <c:v>771.33015718406932</c:v>
                </c:pt>
                <c:pt idx="621">
                  <c:v>775.37409870373438</c:v>
                </c:pt>
                <c:pt idx="622">
                  <c:v>779.41156893831987</c:v>
                </c:pt>
                <c:pt idx="623">
                  <c:v>783.44266487533844</c:v>
                </c:pt>
                <c:pt idx="624">
                  <c:v>787.46748225115141</c:v>
                </c:pt>
                <c:pt idx="625">
                  <c:v>791.48611555910838</c:v>
                </c:pt>
                <c:pt idx="626">
                  <c:v>795.49865805675518</c:v>
                </c:pt>
                <c:pt idx="627">
                  <c:v>799.50520177209569</c:v>
                </c:pt>
                <c:pt idx="628">
                  <c:v>803.50583750889302</c:v>
                </c:pt>
                <c:pt idx="629">
                  <c:v>807.50065485099265</c:v>
                </c:pt>
                <c:pt idx="630">
                  <c:v>811.48974216565045</c:v>
                </c:pt>
                <c:pt idx="631">
                  <c:v>815.47318660584699</c:v>
                </c:pt>
                <c:pt idx="632">
                  <c:v>819.45107411156766</c:v>
                </c:pt>
                <c:pt idx="633">
                  <c:v>823.42348941002899</c:v>
                </c:pt>
                <c:pt idx="634">
                  <c:v>827.39051601482822</c:v>
                </c:pt>
                <c:pt idx="635">
                  <c:v>831.35223622399519</c:v>
                </c:pt>
                <c:pt idx="636">
                  <c:v>835.30873111692256</c:v>
                </c:pt>
                <c:pt idx="637">
                  <c:v>839.2600805501512</c:v>
                </c:pt>
                <c:pt idx="638">
                  <c:v>843.20636315198738</c:v>
                </c:pt>
                <c:pt idx="639">
                  <c:v>847.14765631592809</c:v>
                </c:pt>
                <c:pt idx="640">
                  <c:v>851.08403619287014</c:v>
                </c:pt>
                <c:pt idx="641">
                  <c:v>855.01557768208113</c:v>
                </c:pt>
                <c:pt idx="642">
                  <c:v>858.94235442091008</c:v>
                </c:pt>
                <c:pt idx="643">
                  <c:v>862.86443877321619</c:v>
                </c:pt>
                <c:pt idx="644">
                  <c:v>866.78190181649779</c:v>
                </c:pt>
                <c:pt idx="645">
                  <c:v>870.69481332770363</c:v>
                </c:pt>
                <c:pt idx="646">
                  <c:v>874.60324176771394</c:v>
                </c:pt>
                <c:pt idx="647">
                  <c:v>878.50725426447912</c:v>
                </c:pt>
                <c:pt idx="648">
                  <c:v>882.40691659481149</c:v>
                </c:pt>
                <c:pt idx="649">
                  <c:v>886.30229316482769</c:v>
                </c:pt>
                <c:pt idx="650">
                  <c:v>890.19344698904672</c:v>
                </c:pt>
                <c:pt idx="651">
                  <c:v>894.08043966815444</c:v>
                </c:pt>
                <c:pt idx="652">
                  <c:v>897.96333136545468</c:v>
                </c:pt>
                <c:pt idx="653">
                  <c:v>901.84218078203276</c:v>
                </c:pt>
                <c:pt idx="654">
                  <c:v>905.71704513067118</c:v>
                </c:pt>
                <c:pt idx="655">
                  <c:v>909.58798010856401</c:v>
                </c:pt>
                <c:pt idx="656">
                  <c:v>913.45503986889219</c:v>
                </c:pt>
                <c:pt idx="657">
                  <c:v>917.31827699133248</c:v>
                </c:pt>
                <c:pt idx="658">
                  <c:v>921.17774245158921</c:v>
                </c:pt>
                <c:pt idx="659">
                  <c:v>925.03348559005178</c:v>
                </c:pt>
                <c:pt idx="660">
                  <c:v>928.88555407969795</c:v>
                </c:pt>
                <c:pt idx="661">
                  <c:v>932.73399389338056</c:v>
                </c:pt>
                <c:pt idx="662">
                  <c:v>936.57884927065163</c:v>
                </c:pt>
                <c:pt idx="663">
                  <c:v>940.42016268429734</c:v>
                </c:pt>
                <c:pt idx="664">
                  <c:v>944.2579748067742</c:v>
                </c:pt>
                <c:pt idx="665">
                  <c:v>948.09232447675674</c:v>
                </c:pt>
                <c:pt idx="666">
                  <c:v>951.92324866602053</c:v>
                </c:pt>
                <c:pt idx="667">
                  <c:v>955.75078244690519</c:v>
                </c:pt>
                <c:pt idx="668">
                  <c:v>959.57495896061164</c:v>
                </c:pt>
                <c:pt idx="669">
                  <c:v>963.39580938660413</c:v>
                </c:pt>
                <c:pt idx="670">
                  <c:v>967.21336291339435</c:v>
                </c:pt>
                <c:pt idx="671">
                  <c:v>971.02764671099362</c:v>
                </c:pt>
                <c:pt idx="672">
                  <c:v>974.83868590531995</c:v>
                </c:pt>
                <c:pt idx="673">
                  <c:v>978.64650355484662</c:v>
                </c:pt>
                <c:pt idx="674">
                  <c:v>982.45112062977364</c:v>
                </c:pt>
                <c:pt idx="675">
                  <c:v>986.25255599399088</c:v>
                </c:pt>
                <c:pt idx="676">
                  <c:v>990.05082639008856</c:v>
                </c:pt>
                <c:pt idx="677">
                  <c:v>993.84594642764898</c:v>
                </c:pt>
                <c:pt idx="678">
                  <c:v>997.6379285750287</c:v>
                </c:pt>
                <c:pt idx="679">
                  <c:v>1001.4267831548117</c:v>
                </c:pt>
                <c:pt idx="680">
                  <c:v>1005.2125183430788</c:v>
                </c:pt>
                <c:pt idx="681">
                  <c:v>1008.9951401726049</c:v>
                </c:pt>
                <c:pt idx="682">
                  <c:v>1012.7746525400527</c:v>
                </c:pt>
                <c:pt idx="683">
                  <c:v>1016.5510572171949</c:v>
                </c:pt>
                <c:pt idx="684">
                  <c:v>1020.3243538661509</c:v>
                </c:pt>
                <c:pt idx="685">
                  <c:v>1024.094540058587</c:v>
                </c:pt>
                <c:pt idx="686">
                  <c:v>1027.8616112987847</c:v>
                </c:pt>
                <c:pt idx="687">
                  <c:v>1031.6255610504472</c:v>
                </c:pt>
                <c:pt idx="688">
                  <c:v>1035.3863807670762</c:v>
                </c:pt>
                <c:pt idx="689">
                  <c:v>1039.1440599257228</c:v>
                </c:pt>
                <c:pt idx="690">
                  <c:v>1042.8985860638859</c:v>
                </c:pt>
                <c:pt idx="691">
                  <c:v>1046.6499448193097</c:v>
                </c:pt>
                <c:pt idx="692">
                  <c:v>1050.3981199724151</c:v>
                </c:pt>
                <c:pt idx="693">
                  <c:v>1054.1430934910882</c:v>
                </c:pt>
                <c:pt idx="694">
                  <c:v>1057.8848455775362</c:v>
                </c:pt>
                <c:pt idx="695">
                  <c:v>1061.6233547169245</c:v>
                </c:pt>
                <c:pt idx="696">
                  <c:v>1065.3585977275043</c:v>
                </c:pt>
                <c:pt idx="697">
                  <c:v>1069.0905498119491</c:v>
                </c:pt>
                <c:pt idx="698">
                  <c:v>1072.8191846096249</c:v>
                </c:pt>
                <c:pt idx="699">
                  <c:v>1076.5444742495326</c:v>
                </c:pt>
                <c:pt idx="700">
                  <c:v>1080.2663894036725</c:v>
                </c:pt>
                <c:pt idx="701">
                  <c:v>1083.9848993405999</c:v>
                </c:pt>
                <c:pt idx="702">
                  <c:v>1087.6999719789565</c:v>
                </c:pt>
                <c:pt idx="703">
                  <c:v>1091.41157394078</c:v>
                </c:pt>
                <c:pt idx="704">
                  <c:v>1095.1196706044161</c:v>
                </c:pt>
                <c:pt idx="705">
                  <c:v>1098.8242261568712</c:v>
                </c:pt>
                <c:pt idx="706">
                  <c:v>1102.5252036454676</c:v>
                </c:pt>
                <c:pt idx="707">
                  <c:v>1106.2225650286789</c:v>
                </c:pt>
                <c:pt idx="708">
                  <c:v>1109.9162712260395</c:v>
                </c:pt>
                <c:pt idx="709">
                  <c:v>1113.6062821670407</c:v>
                </c:pt>
                <c:pt idx="710">
                  <c:v>1117.2925568389401</c:v>
                </c:pt>
                <c:pt idx="711">
                  <c:v>1120.975053333425</c:v>
                </c:pt>
                <c:pt idx="712">
                  <c:v>1124.6537288920854</c:v>
                </c:pt>
                <c:pt idx="713">
                  <c:v>1128.3285399506606</c:v>
                </c:pt>
                <c:pt idx="714">
                  <c:v>1131.9994421820379</c:v>
                </c:pt>
                <c:pt idx="715">
                  <c:v>1135.6663905379889</c:v>
                </c:pt>
                <c:pt idx="716">
                  <c:v>1139.3293392896371</c:v>
                </c:pt>
                <c:pt idx="717">
                  <c:v>1142.9882420666609</c:v>
                </c:pt>
                <c:pt idx="718">
                  <c:v>1146.6430518952393</c:v>
                </c:pt>
                <c:pt idx="719">
                  <c:v>1150.2937212347533</c:v>
                </c:pt>
                <c:pt idx="720">
                  <c:v>1153.9402020132625</c:v>
                </c:pt>
                <c:pt idx="721">
                  <c:v>1157.582445661779</c:v>
                </c:pt>
                <c:pt idx="722">
                  <c:v>1161.2204031473652</c:v>
                </c:pt>
                <c:pt idx="723">
                  <c:v>1164.8540250050801</c:v>
                </c:pt>
                <c:pt idx="724">
                  <c:v>1168.4832613688093</c:v>
                </c:pt>
                <c:pt idx="725">
                  <c:v>1172.1080620010057</c:v>
                </c:pt>
                <c:pt idx="726">
                  <c:v>1175.7283763213763</c:v>
                </c:pt>
                <c:pt idx="727">
                  <c:v>1179.3441534345477</c:v>
                </c:pt>
                <c:pt idx="728">
                  <c:v>1182.9553421567434</c:v>
                </c:pt>
                <c:pt idx="729">
                  <c:v>1186.5618910415094</c:v>
                </c:pt>
                <c:pt idx="730">
                  <c:v>1190.1637484045184</c:v>
                </c:pt>
                <c:pt idx="731">
                  <c:v>1193.7608623474889</c:v>
                </c:pt>
                <c:pt idx="732">
                  <c:v>1197.3531807812512</c:v>
                </c:pt>
                <c:pt idx="733">
                  <c:v>1200.9406514479931</c:v>
                </c:pt>
                <c:pt idx="734">
                  <c:v>1204.5232219427164</c:v>
                </c:pt>
                <c:pt idx="735">
                  <c:v>1208.1008397339365</c:v>
                </c:pt>
                <c:pt idx="736">
                  <c:v>1211.6734521836534</c:v>
                </c:pt>
                <c:pt idx="737">
                  <c:v>1215.2410065666245</c:v>
                </c:pt>
                <c:pt idx="738">
                  <c:v>1218.8034500889685</c:v>
                </c:pt>
                <c:pt idx="739">
                  <c:v>1222.3607299061234</c:v>
                </c:pt>
                <c:pt idx="740">
                  <c:v>1225.9127931401906</c:v>
                </c:pt>
                <c:pt idx="741">
                  <c:v>1229.4595868966853</c:v>
                </c:pt>
                <c:pt idx="742">
                  <c:v>1233.0010582807206</c:v>
                </c:pt>
                <c:pt idx="743">
                  <c:v>1236.5371544126465</c:v>
                </c:pt>
                <c:pt idx="744">
                  <c:v>1240.0678224431683</c:v>
                </c:pt>
                <c:pt idx="745">
                  <c:v>1243.5930095679628</c:v>
                </c:pt>
                <c:pt idx="746">
                  <c:v>1247.1126630418153</c:v>
                </c:pt>
                <c:pt idx="747">
                  <c:v>1250.6267301922951</c:v>
                </c:pt>
                <c:pt idx="748">
                  <c:v>1254.1351584329898</c:v>
                </c:pt>
                <c:pt idx="749">
                  <c:v>1257.6378952763132</c:v>
                </c:pt>
                <c:pt idx="750">
                  <c:v>1261.1348883459075</c:v>
                </c:pt>
                <c:pt idx="751">
                  <c:v>1264.6260853886524</c:v>
                </c:pt>
                <c:pt idx="752">
                  <c:v>1268.1114342862991</c:v>
                </c:pt>
                <c:pt idx="753">
                  <c:v>1271.5908830667422</c:v>
                </c:pt>
                <c:pt idx="754">
                  <c:v>1275.0643799149439</c:v>
                </c:pt>
                <c:pt idx="755">
                  <c:v>1278.5318731835232</c:v>
                </c:pt>
                <c:pt idx="756">
                  <c:v>1281.9933114030248</c:v>
                </c:pt>
                <c:pt idx="757">
                  <c:v>1285.4486432918761</c:v>
                </c:pt>
                <c:pt idx="758">
                  <c:v>1288.8978177660472</c:v>
                </c:pt>
                <c:pt idx="759">
                  <c:v>1292.3407839484223</c:v>
                </c:pt>
                <c:pt idx="760">
                  <c:v>1295.7774911778945</c:v>
                </c:pt>
                <c:pt idx="761">
                  <c:v>1299.207889018192</c:v>
                </c:pt>
                <c:pt idx="762">
                  <c:v>1302.6319272664468</c:v>
                </c:pt>
                <c:pt idx="763">
                  <c:v>1306.0495559615142</c:v>
                </c:pt>
                <c:pt idx="764">
                  <c:v>1309.4607253920499</c:v>
                </c:pt>
                <c:pt idx="765">
                  <c:v>1312.8653861043556</c:v>
                </c:pt>
                <c:pt idx="766">
                  <c:v>1316.2634889099988</c:v>
                </c:pt>
                <c:pt idx="767">
                  <c:v>1319.6549848932141</c:v>
                </c:pt>
                <c:pt idx="768">
                  <c:v>1323.039825418093</c:v>
                </c:pt>
                <c:pt idx="769">
                  <c:v>1326.4179621355697</c:v>
                </c:pt>
                <c:pt idx="770">
                  <c:v>1329.7893469902085</c:v>
                </c:pt>
                <c:pt idx="771">
                  <c:v>1333.1539322267975</c:v>
                </c:pt>
                <c:pt idx="772">
                  <c:v>1336.5116703967558</c:v>
                </c:pt>
                <c:pt idx="773">
                  <c:v>1339.8625143643608</c:v>
                </c:pt>
                <c:pt idx="774">
                  <c:v>1343.206417312796</c:v>
                </c:pt>
                <c:pt idx="775">
                  <c:v>1346.54333275003</c:v>
                </c:pt>
                <c:pt idx="776">
                  <c:v>1349.873214514527</c:v>
                </c:pt>
                <c:pt idx="777">
                  <c:v>1353.1960167807954</c:v>
                </c:pt>
                <c:pt idx="778">
                  <c:v>1356.5116940647772</c:v>
                </c:pt>
                <c:pt idx="779">
                  <c:v>1359.8202012290847</c:v>
                </c:pt>
                <c:pt idx="780">
                  <c:v>1363.1214934880852</c:v>
                </c:pt>
                <c:pt idx="781">
                  <c:v>1366.4155264128399</c:v>
                </c:pt>
                <c:pt idx="782">
                  <c:v>1369.7022559358982</c:v>
                </c:pt>
                <c:pt idx="783">
                  <c:v>1372.9816383559539</c:v>
                </c:pt>
                <c:pt idx="784">
                  <c:v>1376.2536303423626</c:v>
                </c:pt>
                <c:pt idx="785">
                  <c:v>1379.5181889395267</c:v>
                </c:pt>
                <c:pt idx="786">
                  <c:v>1382.7752715711486</c:v>
                </c:pt>
                <c:pt idx="787">
                  <c:v>1386.0248360443561</c:v>
                </c:pt>
                <c:pt idx="788">
                  <c:v>1389.2668405537033</c:v>
                </c:pt>
                <c:pt idx="789">
                  <c:v>1392.5012436850463</c:v>
                </c:pt>
                <c:pt idx="790">
                  <c:v>1395.7280044193005</c:v>
                </c:pt>
                <c:pt idx="791">
                  <c:v>1398.9470821360792</c:v>
                </c:pt>
                <c:pt idx="792">
                  <c:v>1402.1584366172153</c:v>
                </c:pt>
                <c:pt idx="793">
                  <c:v>1405.3620280501707</c:v>
                </c:pt>
                <c:pt idx="794">
                  <c:v>1408.5578170313329</c:v>
                </c:pt>
                <c:pt idx="795">
                  <c:v>1411.7457645692023</c:v>
                </c:pt>
                <c:pt idx="796">
                  <c:v>1414.9258320874715</c:v>
                </c:pt>
                <c:pt idx="797">
                  <c:v>1418.097981427999</c:v>
                </c:pt>
                <c:pt idx="798">
                  <c:v>1421.2621748536778</c:v>
                </c:pt>
                <c:pt idx="799">
                  <c:v>1424.4183750512025</c:v>
                </c:pt>
                <c:pt idx="800">
                  <c:v>1427.5665451337343</c:v>
                </c:pt>
                <c:pt idx="801">
                  <c:v>1430.7066486434678</c:v>
                </c:pt>
                <c:pt idx="802">
                  <c:v>1433.838649554099</c:v>
                </c:pt>
                <c:pt idx="803">
                  <c:v>1436.9625122731979</c:v>
                </c:pt>
                <c:pt idx="804">
                  <c:v>1440.078201644485</c:v>
                </c:pt>
                <c:pt idx="805">
                  <c:v>1443.1856829500157</c:v>
                </c:pt>
                <c:pt idx="806">
                  <c:v>1446.2849219122704</c:v>
                </c:pt>
                <c:pt idx="807">
                  <c:v>1449.3758846961562</c:v>
                </c:pt>
                <c:pt idx="808">
                  <c:v>1452.4585379109164</c:v>
                </c:pt>
                <c:pt idx="809">
                  <c:v>1455.5328486119538</c:v>
                </c:pt>
                <c:pt idx="810">
                  <c:v>1458.5987843025646</c:v>
                </c:pt>
                <c:pt idx="811">
                  <c:v>1461.6563129355875</c:v>
                </c:pt>
                <c:pt idx="812">
                  <c:v>1464.7054029149679</c:v>
                </c:pt>
                <c:pt idx="813">
                  <c:v>1467.7460230972365</c:v>
                </c:pt>
                <c:pt idx="814">
                  <c:v>1470.7781427929071</c:v>
                </c:pt>
                <c:pt idx="815">
                  <c:v>1473.8017317677916</c:v>
                </c:pt>
                <c:pt idx="816">
                  <c:v>1476.8167602442329</c:v>
                </c:pt>
                <c:pt idx="817">
                  <c:v>1479.8231989022611</c:v>
                </c:pt>
                <c:pt idx="818">
                  <c:v>1482.821018880667</c:v>
                </c:pt>
                <c:pt idx="819">
                  <c:v>1485.8101917780009</c:v>
                </c:pt>
                <c:pt idx="820">
                  <c:v>1488.7906896534926</c:v>
                </c:pt>
                <c:pt idx="821">
                  <c:v>1491.7624850278955</c:v>
                </c:pt>
                <c:pt idx="822">
                  <c:v>1494.7255508842563</c:v>
                </c:pt>
                <c:pt idx="823">
                  <c:v>1497.6798606686095</c:v>
                </c:pt>
                <c:pt idx="824">
                  <c:v>1500.6253882905987</c:v>
                </c:pt>
                <c:pt idx="825">
                  <c:v>1503.5621081240261</c:v>
                </c:pt>
                <c:pt idx="826">
                  <c:v>1506.4899950073286</c:v>
                </c:pt>
                <c:pt idx="827">
                  <c:v>1509.409024243985</c:v>
                </c:pt>
                <c:pt idx="828">
                  <c:v>1512.3191716028509</c:v>
                </c:pt>
                <c:pt idx="829">
                  <c:v>1515.2204133184266</c:v>
                </c:pt>
                <c:pt idx="830">
                  <c:v>1518.1127260910546</c:v>
                </c:pt>
                <c:pt idx="831">
                  <c:v>1520.9960870870505</c:v>
                </c:pt>
                <c:pt idx="832">
                  <c:v>1523.8704739387667</c:v>
                </c:pt>
                <c:pt idx="833">
                  <c:v>1526.7358647445901</c:v>
                </c:pt>
                <c:pt idx="834">
                  <c:v>1529.5922380688737</c:v>
                </c:pt>
                <c:pt idx="835">
                  <c:v>1532.439572941805</c:v>
                </c:pt>
                <c:pt idx="836">
                  <c:v>1535.2778488592087</c:v>
                </c:pt>
                <c:pt idx="837">
                  <c:v>1538.1070457822882</c:v>
                </c:pt>
                <c:pt idx="838">
                  <c:v>1540.9271441373037</c:v>
                </c:pt>
                <c:pt idx="839">
                  <c:v>1543.7381248151887</c:v>
                </c:pt>
                <c:pt idx="840">
                  <c:v>1546.5399691711059</c:v>
                </c:pt>
                <c:pt idx="841">
                  <c:v>1549.3326590239433</c:v>
                </c:pt>
                <c:pt idx="842">
                  <c:v>1552.1161766557495</c:v>
                </c:pt>
                <c:pt idx="843">
                  <c:v>1554.8905048111126</c:v>
                </c:pt>
                <c:pt idx="844">
                  <c:v>1557.655626696479</c:v>
                </c:pt>
                <c:pt idx="845">
                  <c:v>1560.4115259794162</c:v>
                </c:pt>
                <c:pt idx="846">
                  <c:v>1563.1581867878185</c:v>
                </c:pt>
                <c:pt idx="847">
                  <c:v>1565.8955937090579</c:v>
                </c:pt>
                <c:pt idx="848">
                  <c:v>1568.6237317890786</c:v>
                </c:pt>
                <c:pt idx="849">
                  <c:v>1571.3425865314377</c:v>
                </c:pt>
                <c:pt idx="850">
                  <c:v>1574.0521438962928</c:v>
                </c:pt>
                <c:pt idx="851">
                  <c:v>1576.7523902993357</c:v>
                </c:pt>
                <c:pt idx="852">
                  <c:v>1579.4433126106751</c:v>
                </c:pt>
                <c:pt idx="853">
                  <c:v>1582.1248981536662</c:v>
                </c:pt>
                <c:pt idx="854">
                  <c:v>1584.7971347036912</c:v>
                </c:pt>
                <c:pt idx="855">
                  <c:v>1587.4600104868885</c:v>
                </c:pt>
                <c:pt idx="856">
                  <c:v>1590.1135141788325</c:v>
                </c:pt>
                <c:pt idx="857">
                  <c:v>1592.7576349031663</c:v>
                </c:pt>
                <c:pt idx="858">
                  <c:v>1595.3923622301843</c:v>
                </c:pt>
                <c:pt idx="859">
                  <c:v>1598.0176861753685</c:v>
                </c:pt>
                <c:pt idx="860">
                  <c:v>1600.6335971978785</c:v>
                </c:pt>
                <c:pt idx="861">
                  <c:v>1603.2400861989959</c:v>
                </c:pt>
                <c:pt idx="862">
                  <c:v>1605.8371445205219</c:v>
                </c:pt>
                <c:pt idx="863">
                  <c:v>1608.4247639431321</c:v>
                </c:pt>
                <c:pt idx="864">
                  <c:v>1611.0029366846873</c:v>
                </c:pt>
                <c:pt idx="865">
                  <c:v>1613.5716553985001</c:v>
                </c:pt>
                <c:pt idx="866">
                  <c:v>1616.1309131715611</c:v>
                </c:pt>
                <c:pt idx="867">
                  <c:v>1618.6807035227216</c:v>
                </c:pt>
                <c:pt idx="868">
                  <c:v>1621.2210204008359</c:v>
                </c:pt>
                <c:pt idx="869">
                  <c:v>1623.7518581828642</c:v>
                </c:pt>
                <c:pt idx="870">
                  <c:v>1626.2732116719351</c:v>
                </c:pt>
                <c:pt idx="871">
                  <c:v>1628.7850760953688</c:v>
                </c:pt>
                <c:pt idx="872">
                  <c:v>1631.2874471026637</c:v>
                </c:pt>
                <c:pt idx="873">
                  <c:v>1633.7803207634438</c:v>
                </c:pt>
                <c:pt idx="874">
                  <c:v>1636.2636935653709</c:v>
                </c:pt>
                <c:pt idx="875">
                  <c:v>1638.7375624120193</c:v>
                </c:pt>
                <c:pt idx="876">
                  <c:v>1641.2019246207162</c:v>
                </c:pt>
                <c:pt idx="877">
                  <c:v>1643.6567779203472</c:v>
                </c:pt>
                <c:pt idx="878">
                  <c:v>1646.1021204491269</c:v>
                </c:pt>
                <c:pt idx="879">
                  <c:v>1648.537950752338</c:v>
                </c:pt>
                <c:pt idx="880">
                  <c:v>1650.9642677800359</c:v>
                </c:pt>
                <c:pt idx="881">
                  <c:v>1653.3810708847227</c:v>
                </c:pt>
                <c:pt idx="882">
                  <c:v>1655.7883598189892</c:v>
                </c:pt>
                <c:pt idx="883">
                  <c:v>1658.1861347331269</c:v>
                </c:pt>
                <c:pt idx="884">
                  <c:v>1660.5743961727096</c:v>
                </c:pt>
                <c:pt idx="885">
                  <c:v>1662.9531450761469</c:v>
                </c:pt>
                <c:pt idx="886">
                  <c:v>1665.3223827722077</c:v>
                </c:pt>
                <c:pt idx="887">
                  <c:v>1667.6821109775167</c:v>
                </c:pt>
                <c:pt idx="888">
                  <c:v>1670.0323317940242</c:v>
                </c:pt>
                <c:pt idx="889">
                  <c:v>1672.3730477064485</c:v>
                </c:pt>
                <c:pt idx="890">
                  <c:v>1674.7042615796934</c:v>
                </c:pt>
                <c:pt idx="891">
                  <c:v>1677.0259766562399</c:v>
                </c:pt>
                <c:pt idx="892">
                  <c:v>1679.3381965535139</c:v>
                </c:pt>
                <c:pt idx="893">
                  <c:v>1681.6409252612298</c:v>
                </c:pt>
                <c:pt idx="894">
                  <c:v>1683.9341671387112</c:v>
                </c:pt>
                <c:pt idx="895">
                  <c:v>1686.2179269121898</c:v>
                </c:pt>
                <c:pt idx="896">
                  <c:v>1688.4922096720804</c:v>
                </c:pt>
                <c:pt idx="897">
                  <c:v>1690.7570208702377</c:v>
                </c:pt>
                <c:pt idx="898">
                  <c:v>1693.0123663171905</c:v>
                </c:pt>
                <c:pt idx="899">
                  <c:v>1695.2582521793568</c:v>
                </c:pt>
                <c:pt idx="900">
                  <c:v>1697.4946849762396</c:v>
                </c:pt>
                <c:pt idx="901">
                  <c:v>1699.7216715776044</c:v>
                </c:pt>
                <c:pt idx="902">
                  <c:v>1701.9392192006389</c:v>
                </c:pt>
                <c:pt idx="903">
                  <c:v>1704.1473354070947</c:v>
                </c:pt>
                <c:pt idx="904">
                  <c:v>1706.3460281004129</c:v>
                </c:pt>
                <c:pt idx="905">
                  <c:v>1708.5353055228347</c:v>
                </c:pt>
                <c:pt idx="906">
                  <c:v>1710.7151762524945</c:v>
                </c:pt>
                <c:pt idx="907">
                  <c:v>1712.8856492005002</c:v>
                </c:pt>
                <c:pt idx="908">
                  <c:v>1715.0467336079982</c:v>
                </c:pt>
                <c:pt idx="909">
                  <c:v>1717.1984390432258</c:v>
                </c:pt>
                <c:pt idx="910">
                  <c:v>1719.34077539855</c:v>
                </c:pt>
                <c:pt idx="911">
                  <c:v>1721.4737528874946</c:v>
                </c:pt>
                <c:pt idx="912">
                  <c:v>1723.5973820417548</c:v>
                </c:pt>
                <c:pt idx="913">
                  <c:v>1725.7116737082022</c:v>
                </c:pt>
                <c:pt idx="914">
                  <c:v>1727.8166390458775</c:v>
                </c:pt>
                <c:pt idx="915">
                  <c:v>1729.9122895229748</c:v>
                </c:pt>
                <c:pt idx="916">
                  <c:v>1731.9986369138155</c:v>
                </c:pt>
                <c:pt idx="917">
                  <c:v>1734.075693295815</c:v>
                </c:pt>
                <c:pt idx="918">
                  <c:v>1736.1434710464391</c:v>
                </c:pt>
                <c:pt idx="919">
                  <c:v>1738.2019828401549</c:v>
                </c:pt>
                <c:pt idx="920">
                  <c:v>1740.2512416453735</c:v>
                </c:pt>
                <c:pt idx="921">
                  <c:v>1742.2912607213864</c:v>
                </c:pt>
                <c:pt idx="922">
                  <c:v>1744.3220536152967</c:v>
                </c:pt>
                <c:pt idx="923">
                  <c:v>1746.3436341589438</c:v>
                </c:pt>
                <c:pt idx="924">
                  <c:v>1748.3560164658245</c:v>
                </c:pt>
                <c:pt idx="925">
                  <c:v>1750.3592149280091</c:v>
                </c:pt>
                <c:pt idx="926">
                  <c:v>1752.353244213054</c:v>
                </c:pt>
                <c:pt idx="927">
                  <c:v>1754.3381192609113</c:v>
                </c:pt>
                <c:pt idx="928">
                  <c:v>1756.3138552808352</c:v>
                </c:pt>
                <c:pt idx="929">
                  <c:v>1758.2804677482873</c:v>
                </c:pt>
                <c:pt idx="930">
                  <c:v>1760.2379724018388</c:v>
                </c:pt>
                <c:pt idx="931">
                  <c:v>1762.1863852400729</c:v>
                </c:pt>
                <c:pt idx="932">
                  <c:v>1764.1257225184859</c:v>
                </c:pt>
                <c:pt idx="933">
                  <c:v>1766.0560007463882</c:v>
                </c:pt>
                <c:pt idx="934">
                  <c:v>1767.9772366838065</c:v>
                </c:pt>
                <c:pt idx="935">
                  <c:v>1769.889447338385</c:v>
                </c:pt>
                <c:pt idx="936">
                  <c:v>1771.7926499622899</c:v>
                </c:pt>
                <c:pt idx="937">
                  <c:v>1773.6868620491148</c:v>
                </c:pt>
                <c:pt idx="938">
                  <c:v>1775.572101330788</c:v>
                </c:pt>
                <c:pt idx="939">
                  <c:v>1777.4483857744835</c:v>
                </c:pt>
                <c:pt idx="940">
                  <c:v>1779.3157335795345</c:v>
                </c:pt>
                <c:pt idx="941">
                  <c:v>1781.17416317435</c:v>
                </c:pt>
                <c:pt idx="942">
                  <c:v>1783.0236932133373</c:v>
                </c:pt>
                <c:pt idx="943">
                  <c:v>1783.0236932133373</c:v>
                </c:pt>
                <c:pt idx="944">
                  <c:v>1783.0236932133373</c:v>
                </c:pt>
                <c:pt idx="945">
                  <c:v>1783.0236932133373</c:v>
                </c:pt>
                <c:pt idx="946">
                  <c:v>1783.0236932133373</c:v>
                </c:pt>
                <c:pt idx="947">
                  <c:v>1783.0236932133373</c:v>
                </c:pt>
                <c:pt idx="948">
                  <c:v>1783.0236932133373</c:v>
                </c:pt>
                <c:pt idx="949">
                  <c:v>1783.0236932133373</c:v>
                </c:pt>
                <c:pt idx="950">
                  <c:v>1783.0236932133373</c:v>
                </c:pt>
                <c:pt idx="951">
                  <c:v>1783.0236932133373</c:v>
                </c:pt>
                <c:pt idx="952">
                  <c:v>1783.0236932133373</c:v>
                </c:pt>
                <c:pt idx="953">
                  <c:v>1783.0236932133373</c:v>
                </c:pt>
                <c:pt idx="954">
                  <c:v>1783.0236932133373</c:v>
                </c:pt>
                <c:pt idx="955">
                  <c:v>1783.0236932133373</c:v>
                </c:pt>
                <c:pt idx="956">
                  <c:v>1783.0236932133373</c:v>
                </c:pt>
                <c:pt idx="957">
                  <c:v>1783.0236932133373</c:v>
                </c:pt>
                <c:pt idx="958">
                  <c:v>1783.0236932133373</c:v>
                </c:pt>
                <c:pt idx="959">
                  <c:v>1783.0236932133373</c:v>
                </c:pt>
                <c:pt idx="960">
                  <c:v>1783.0236932133373</c:v>
                </c:pt>
                <c:pt idx="961">
                  <c:v>1783.0236932133373</c:v>
                </c:pt>
                <c:pt idx="962">
                  <c:v>1783.0236932133373</c:v>
                </c:pt>
                <c:pt idx="963">
                  <c:v>1783.0236932133373</c:v>
                </c:pt>
                <c:pt idx="964">
                  <c:v>1783.0236932133373</c:v>
                </c:pt>
                <c:pt idx="965">
                  <c:v>1783.0236932133373</c:v>
                </c:pt>
                <c:pt idx="966">
                  <c:v>1783.0236932133373</c:v>
                </c:pt>
                <c:pt idx="967">
                  <c:v>1783.0236932133373</c:v>
                </c:pt>
                <c:pt idx="968">
                  <c:v>1783.0236932133373</c:v>
                </c:pt>
                <c:pt idx="969">
                  <c:v>1783.0236932133373</c:v>
                </c:pt>
                <c:pt idx="970">
                  <c:v>1783.0236932133373</c:v>
                </c:pt>
                <c:pt idx="971">
                  <c:v>1783.0236932133373</c:v>
                </c:pt>
                <c:pt idx="972">
                  <c:v>1783.0236932133373</c:v>
                </c:pt>
                <c:pt idx="973">
                  <c:v>1783.0236932133373</c:v>
                </c:pt>
                <c:pt idx="974">
                  <c:v>1783.0236932133373</c:v>
                </c:pt>
                <c:pt idx="975">
                  <c:v>1783.0236932133373</c:v>
                </c:pt>
                <c:pt idx="976">
                  <c:v>1783.0236932133373</c:v>
                </c:pt>
                <c:pt idx="977">
                  <c:v>1783.0236932133373</c:v>
                </c:pt>
                <c:pt idx="978">
                  <c:v>1783.0236932133373</c:v>
                </c:pt>
                <c:pt idx="979">
                  <c:v>1783.0236932133373</c:v>
                </c:pt>
                <c:pt idx="980">
                  <c:v>1783.0236932133373</c:v>
                </c:pt>
                <c:pt idx="981">
                  <c:v>1783.0236932133373</c:v>
                </c:pt>
                <c:pt idx="982">
                  <c:v>1783.0236932133373</c:v>
                </c:pt>
                <c:pt idx="983">
                  <c:v>1783.0236932133373</c:v>
                </c:pt>
                <c:pt idx="984">
                  <c:v>1783.0236932133373</c:v>
                </c:pt>
                <c:pt idx="985">
                  <c:v>1783.0236932133373</c:v>
                </c:pt>
                <c:pt idx="986">
                  <c:v>1783.0236932133373</c:v>
                </c:pt>
                <c:pt idx="987">
                  <c:v>1783.0236932133373</c:v>
                </c:pt>
                <c:pt idx="988">
                  <c:v>1783.0236932133373</c:v>
                </c:pt>
                <c:pt idx="989">
                  <c:v>1783.0236932133373</c:v>
                </c:pt>
                <c:pt idx="990">
                  <c:v>1783.0236932133373</c:v>
                </c:pt>
                <c:pt idx="991">
                  <c:v>1783.0236932133373</c:v>
                </c:pt>
                <c:pt idx="992">
                  <c:v>1783.0236932133373</c:v>
                </c:pt>
                <c:pt idx="993">
                  <c:v>1783.0236932133373</c:v>
                </c:pt>
                <c:pt idx="994">
                  <c:v>1783.0236932133373</c:v>
                </c:pt>
                <c:pt idx="995">
                  <c:v>1783.0236932133373</c:v>
                </c:pt>
                <c:pt idx="996">
                  <c:v>1783.0236932133373</c:v>
                </c:pt>
                <c:pt idx="997">
                  <c:v>1783.0236932133373</c:v>
                </c:pt>
                <c:pt idx="998">
                  <c:v>1783.0236932133373</c:v>
                </c:pt>
                <c:pt idx="999">
                  <c:v>1783.0236932133373</c:v>
                </c:pt>
                <c:pt idx="1000">
                  <c:v>1783.0236932133373</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49.200100000000369</c:v>
                </c:pt>
                <c:pt idx="944">
                  <c:v>49.200200000000372</c:v>
                </c:pt>
                <c:pt idx="945">
                  <c:v>49.200300000000375</c:v>
                </c:pt>
                <c:pt idx="946">
                  <c:v>49.200400000000378</c:v>
                </c:pt>
                <c:pt idx="947">
                  <c:v>49.200500000000382</c:v>
                </c:pt>
                <c:pt idx="948">
                  <c:v>49.200600000000385</c:v>
                </c:pt>
                <c:pt idx="949">
                  <c:v>49.200700000000388</c:v>
                </c:pt>
                <c:pt idx="950">
                  <c:v>49.200800000000392</c:v>
                </c:pt>
                <c:pt idx="951">
                  <c:v>49.200900000000395</c:v>
                </c:pt>
                <c:pt idx="952">
                  <c:v>49.201000000000398</c:v>
                </c:pt>
                <c:pt idx="953">
                  <c:v>49.201100000000402</c:v>
                </c:pt>
                <c:pt idx="954">
                  <c:v>49.201200000000405</c:v>
                </c:pt>
                <c:pt idx="955">
                  <c:v>49.201300000000408</c:v>
                </c:pt>
                <c:pt idx="956">
                  <c:v>49.201400000000412</c:v>
                </c:pt>
                <c:pt idx="957">
                  <c:v>49.201500000000415</c:v>
                </c:pt>
                <c:pt idx="958">
                  <c:v>49.201600000000418</c:v>
                </c:pt>
                <c:pt idx="959">
                  <c:v>49.201700000000422</c:v>
                </c:pt>
                <c:pt idx="960">
                  <c:v>49.201800000000425</c:v>
                </c:pt>
                <c:pt idx="961">
                  <c:v>49.201900000000428</c:v>
                </c:pt>
                <c:pt idx="962">
                  <c:v>49.202000000000432</c:v>
                </c:pt>
                <c:pt idx="963">
                  <c:v>49.202100000000435</c:v>
                </c:pt>
                <c:pt idx="964">
                  <c:v>49.202200000000438</c:v>
                </c:pt>
                <c:pt idx="965">
                  <c:v>49.202300000000442</c:v>
                </c:pt>
                <c:pt idx="966">
                  <c:v>49.202400000000445</c:v>
                </c:pt>
                <c:pt idx="967">
                  <c:v>49.202500000000448</c:v>
                </c:pt>
                <c:pt idx="968">
                  <c:v>49.202600000000452</c:v>
                </c:pt>
                <c:pt idx="969">
                  <c:v>49.202700000000455</c:v>
                </c:pt>
                <c:pt idx="970">
                  <c:v>49.202800000000458</c:v>
                </c:pt>
                <c:pt idx="971">
                  <c:v>49.202900000000461</c:v>
                </c:pt>
                <c:pt idx="972">
                  <c:v>49.203000000000465</c:v>
                </c:pt>
                <c:pt idx="973">
                  <c:v>49.203100000000468</c:v>
                </c:pt>
                <c:pt idx="974">
                  <c:v>49.203200000000471</c:v>
                </c:pt>
                <c:pt idx="975">
                  <c:v>49.203300000000475</c:v>
                </c:pt>
                <c:pt idx="976">
                  <c:v>49.203400000000478</c:v>
                </c:pt>
                <c:pt idx="977">
                  <c:v>49.203500000000481</c:v>
                </c:pt>
                <c:pt idx="978">
                  <c:v>49.203600000000485</c:v>
                </c:pt>
                <c:pt idx="979">
                  <c:v>49.203700000000488</c:v>
                </c:pt>
                <c:pt idx="980">
                  <c:v>49.203800000000491</c:v>
                </c:pt>
                <c:pt idx="981">
                  <c:v>49.203900000000495</c:v>
                </c:pt>
                <c:pt idx="982">
                  <c:v>49.204000000000498</c:v>
                </c:pt>
                <c:pt idx="983">
                  <c:v>49.204100000000501</c:v>
                </c:pt>
                <c:pt idx="984">
                  <c:v>49.204200000000505</c:v>
                </c:pt>
                <c:pt idx="985">
                  <c:v>49.204300000000508</c:v>
                </c:pt>
                <c:pt idx="986">
                  <c:v>49.204400000000511</c:v>
                </c:pt>
                <c:pt idx="987">
                  <c:v>49.204500000000515</c:v>
                </c:pt>
                <c:pt idx="988">
                  <c:v>49.204600000000518</c:v>
                </c:pt>
                <c:pt idx="989">
                  <c:v>49.204700000000521</c:v>
                </c:pt>
                <c:pt idx="990">
                  <c:v>49.204800000000525</c:v>
                </c:pt>
                <c:pt idx="991">
                  <c:v>49.204900000000528</c:v>
                </c:pt>
                <c:pt idx="992">
                  <c:v>49.205000000000531</c:v>
                </c:pt>
                <c:pt idx="993">
                  <c:v>49.205100000000535</c:v>
                </c:pt>
                <c:pt idx="994">
                  <c:v>49.205200000000538</c:v>
                </c:pt>
                <c:pt idx="995">
                  <c:v>49.205300000000541</c:v>
                </c:pt>
                <c:pt idx="996">
                  <c:v>49.205400000000544</c:v>
                </c:pt>
                <c:pt idx="997">
                  <c:v>49.205500000000548</c:v>
                </c:pt>
                <c:pt idx="998">
                  <c:v>49.205600000000551</c:v>
                </c:pt>
                <c:pt idx="999">
                  <c:v>49.205700000000554</c:v>
                </c:pt>
                <c:pt idx="1000">
                  <c:v>49.205800000000558</c:v>
                </c:pt>
              </c:numCache>
            </c:numRef>
          </c:xVal>
          <c:yVal>
            <c:numRef>
              <c:f>Calculs!$K$4:$K$1004</c:f>
              <c:numCache>
                <c:formatCode>0.00</c:formatCode>
                <c:ptCount val="1001"/>
                <c:pt idx="0">
                  <c:v>0</c:v>
                </c:pt>
                <c:pt idx="1">
                  <c:v>4.348843457286823E-4</c:v>
                </c:pt>
                <c:pt idx="2">
                  <c:v>2.7441886001939907E-3</c:v>
                </c:pt>
                <c:pt idx="3">
                  <c:v>8.3495921345249236E-3</c:v>
                </c:pt>
                <c:pt idx="4">
                  <c:v>1.80854623130643E-2</c:v>
                </c:pt>
                <c:pt idx="5">
                  <c:v>3.2786839708445481E-2</c:v>
                </c:pt>
                <c:pt idx="6">
                  <c:v>5.3289539934841368E-2</c:v>
                </c:pt>
                <c:pt idx="7">
                  <c:v>8.0430254786644062E-2</c:v>
                </c:pt>
                <c:pt idx="8">
                  <c:v>0.11504665271999819</c:v>
                </c:pt>
                <c:pt idx="9">
                  <c:v>0.15797747871368417</c:v>
                </c:pt>
                <c:pt idx="10">
                  <c:v>0.21006265354495718</c:v>
                </c:pt>
                <c:pt idx="11">
                  <c:v>0.27190336846292373</c:v>
                </c:pt>
                <c:pt idx="12">
                  <c:v>0.34362161274985459</c:v>
                </c:pt>
                <c:pt idx="13">
                  <c:v>0.42509756829980661</c:v>
                </c:pt>
                <c:pt idx="14">
                  <c:v>0.51620751978071466</c:v>
                </c:pt>
                <c:pt idx="15">
                  <c:v>0.61682568027743123</c:v>
                </c:pt>
                <c:pt idx="16">
                  <c:v>0.72682602092142312</c:v>
                </c:pt>
                <c:pt idx="17">
                  <c:v>0.84608227479853004</c:v>
                </c:pt>
                <c:pt idx="18">
                  <c:v>0.97446794085550814</c:v>
                </c:pt>
                <c:pt idx="19">
                  <c:v>1.1118562878048379</c:v>
                </c:pt>
                <c:pt idx="20">
                  <c:v>1.2581203580272784</c:v>
                </c:pt>
                <c:pt idx="21">
                  <c:v>1.4131329714716532</c:v>
                </c:pt>
                <c:pt idx="22">
                  <c:v>1.5767667295513565</c:v>
                </c:pt>
                <c:pt idx="23">
                  <c:v>1.7488940190370696</c:v>
                </c:pt>
                <c:pt idx="24">
                  <c:v>1.929387015945182</c:v>
                </c:pt>
                <c:pt idx="25">
                  <c:v>2.1181176894214144</c:v>
                </c:pt>
                <c:pt idx="26">
                  <c:v>2.3149578056191462</c:v>
                </c:pt>
                <c:pt idx="27">
                  <c:v>2.5198111853060863</c:v>
                </c:pt>
                <c:pt idx="28">
                  <c:v>2.732646015882934</c:v>
                </c:pt>
                <c:pt idx="29">
                  <c:v>2.9534626801304289</c:v>
                </c:pt>
                <c:pt idx="30">
                  <c:v>3.1822615285859883</c:v>
                </c:pt>
                <c:pt idx="31">
                  <c:v>3.4190428795027143</c:v>
                </c:pt>
                <c:pt idx="32">
                  <c:v>3.6638070188090173</c:v>
                </c:pt>
                <c:pt idx="33">
                  <c:v>3.9165542000688531</c:v>
                </c:pt>
                <c:pt idx="34">
                  <c:v>4.1772846444425813</c:v>
                </c:pt>
                <c:pt idx="35">
                  <c:v>4.4459837435287053</c:v>
                </c:pt>
                <c:pt idx="36">
                  <c:v>4.722636378347139</c:v>
                </c:pt>
                <c:pt idx="37">
                  <c:v>5.0072417196354468</c:v>
                </c:pt>
                <c:pt idx="38">
                  <c:v>5.2997989187977232</c:v>
                </c:pt>
                <c:pt idx="39">
                  <c:v>5.6003071141910841</c:v>
                </c:pt>
                <c:pt idx="40">
                  <c:v>5.9087654301836272</c:v>
                </c:pt>
                <c:pt idx="41">
                  <c:v>6.2251729762780723</c:v>
                </c:pt>
                <c:pt idx="42">
                  <c:v>6.5495288462948968</c:v>
                </c:pt>
                <c:pt idx="43">
                  <c:v>6.8818321176095223</c:v>
                </c:pt>
                <c:pt idx="44">
                  <c:v>7.2220818504387205</c:v>
                </c:pt>
                <c:pt idx="45">
                  <c:v>7.5702770871719469</c:v>
                </c:pt>
                <c:pt idx="46">
                  <c:v>7.9264168517437898</c:v>
                </c:pt>
                <c:pt idx="47">
                  <c:v>8.2905001490441119</c:v>
                </c:pt>
                <c:pt idx="48">
                  <c:v>8.6625259643628372</c:v>
                </c:pt>
                <c:pt idx="49">
                  <c:v>9.0424932628666372</c:v>
                </c:pt>
                <c:pt idx="50">
                  <c:v>9.4304009891050438</c:v>
                </c:pt>
                <c:pt idx="51">
                  <c:v>9.8262480665437693</c:v>
                </c:pt>
                <c:pt idx="52">
                  <c:v>10.23003339712321</c:v>
                </c:pt>
                <c:pt idx="53">
                  <c:v>10.641755860840318</c:v>
                </c:pt>
                <c:pt idx="54">
                  <c:v>11.061414315352186</c:v>
                </c:pt>
                <c:pt idx="55">
                  <c:v>11.489007595599832</c:v>
                </c:pt>
                <c:pt idx="56">
                  <c:v>11.924534513450823</c:v>
                </c:pt>
                <c:pt idx="57">
                  <c:v>12.367993857359474</c:v>
                </c:pt>
                <c:pt idx="58">
                  <c:v>12.819384392043496</c:v>
                </c:pt>
                <c:pt idx="59">
                  <c:v>13.278704858176015</c:v>
                </c:pt>
                <c:pt idx="60">
                  <c:v>13.745953972092035</c:v>
                </c:pt>
                <c:pt idx="61">
                  <c:v>14.221130425508443</c:v>
                </c:pt>
                <c:pt idx="62">
                  <c:v>14.704232885256733</c:v>
                </c:pt>
                <c:pt idx="63">
                  <c:v>15.195259993027731</c:v>
                </c:pt>
                <c:pt idx="64">
                  <c:v>15.694210365127601</c:v>
                </c:pt>
                <c:pt idx="65">
                  <c:v>16.201082592244514</c:v>
                </c:pt>
                <c:pt idx="66">
                  <c:v>16.715875239225369</c:v>
                </c:pt>
                <c:pt idx="67">
                  <c:v>17.238586844862045</c:v>
                </c:pt>
                <c:pt idx="68">
                  <c:v>17.769215921686655</c:v>
                </c:pt>
                <c:pt idx="69">
                  <c:v>18.30776095577535</c:v>
                </c:pt>
                <c:pt idx="70">
                  <c:v>18.854220406560216</c:v>
                </c:pt>
                <c:pt idx="71">
                  <c:v>19.408592706648868</c:v>
                </c:pt>
                <c:pt idx="72">
                  <c:v>19.970875893685609</c:v>
                </c:pt>
                <c:pt idx="73">
                  <c:v>20.541067241720654</c:v>
                </c:pt>
                <c:pt idx="74">
                  <c:v>21.119163628313586</c:v>
                </c:pt>
                <c:pt idx="75">
                  <c:v>21.705161902148639</c:v>
                </c:pt>
                <c:pt idx="76">
                  <c:v>22.299058882900955</c:v>
                </c:pt>
                <c:pt idx="77">
                  <c:v>22.900851361108806</c:v>
                </c:pt>
                <c:pt idx="78">
                  <c:v>23.510536098051546</c:v>
                </c:pt>
                <c:pt idx="79">
                  <c:v>24.128109825633011</c:v>
                </c:pt>
                <c:pt idx="80">
                  <c:v>24.753569246270192</c:v>
                </c:pt>
                <c:pt idx="81">
                  <c:v>25.386911032786909</c:v>
                </c:pt>
                <c:pt idx="82">
                  <c:v>26.028131828312315</c:v>
                </c:pt>
                <c:pt idx="83">
                  <c:v>26.677228246184022</c:v>
                </c:pt>
                <c:pt idx="84">
                  <c:v>27.334196869855671</c:v>
                </c:pt>
                <c:pt idx="85">
                  <c:v>27.99903425280878</c:v>
                </c:pt>
                <c:pt idx="86">
                  <c:v>28.671736918468714</c:v>
                </c:pt>
                <c:pt idx="87">
                  <c:v>29.352301360124596</c:v>
                </c:pt>
                <c:pt idx="88">
                  <c:v>30.040724040853064</c:v>
                </c:pt>
                <c:pt idx="89">
                  <c:v>30.737001393445695</c:v>
                </c:pt>
                <c:pt idx="90">
                  <c:v>31.441129820339981</c:v>
                </c:pt>
                <c:pt idx="91">
                  <c:v>32.153105693553762</c:v>
                </c:pt>
                <c:pt idx="92">
                  <c:v>32.87292535462295</c:v>
                </c:pt>
                <c:pt idx="93">
                  <c:v>33.600585114542483</c:v>
                </c:pt>
                <c:pt idx="94">
                  <c:v>34.33608125371039</c:v>
                </c:pt>
                <c:pt idx="95">
                  <c:v>35.079410021874843</c:v>
                </c:pt>
                <c:pt idx="96">
                  <c:v>35.830567638084155</c:v>
                </c:pt>
                <c:pt idx="97">
                  <c:v>36.589550290639579</c:v>
                </c:pt>
                <c:pt idx="98">
                  <c:v>37.356354137050893</c:v>
                </c:pt>
                <c:pt idx="99">
                  <c:v>38.130975303994582</c:v>
                </c:pt>
                <c:pt idx="100">
                  <c:v>38.913409887274696</c:v>
                </c:pt>
                <c:pt idx="101">
                  <c:v>39.703653951786151</c:v>
                </c:pt>
                <c:pt idx="102">
                  <c:v>40.501703531480509</c:v>
                </c:pt>
                <c:pt idx="103">
                  <c:v>41.307554629334149</c:v>
                </c:pt>
                <c:pt idx="104">
                  <c:v>42.121203217318751</c:v>
                </c:pt>
                <c:pt idx="105">
                  <c:v>42.94264523637402</c:v>
                </c:pt>
                <c:pt idx="106">
                  <c:v>43.771876596382647</c:v>
                </c:pt>
                <c:pt idx="107">
                  <c:v>44.608893176147383</c:v>
                </c:pt>
                <c:pt idx="108">
                  <c:v>45.453690823370245</c:v>
                </c:pt>
                <c:pt idx="109">
                  <c:v>46.306265354633737</c:v>
                </c:pt>
                <c:pt idx="110">
                  <c:v>47.166612555384091</c:v>
                </c:pt>
                <c:pt idx="111">
                  <c:v>48.034728179916449</c:v>
                </c:pt>
                <c:pt idx="112">
                  <c:v>48.910607951361968</c:v>
                </c:pt>
                <c:pt idx="113">
                  <c:v>49.794247561676769</c:v>
                </c:pt>
                <c:pt idx="114">
                  <c:v>50.685642671632735</c:v>
                </c:pt>
                <c:pt idx="115">
                  <c:v>51.584788910810083</c:v>
                </c:pt>
                <c:pt idx="116">
                  <c:v>52.491681877591695</c:v>
                </c:pt>
                <c:pt idx="117">
                  <c:v>53.406317139159171</c:v>
                </c:pt>
                <c:pt idx="118">
                  <c:v>54.32869023149054</c:v>
                </c:pt>
                <c:pt idx="119">
                  <c:v>55.258796659359653</c:v>
                </c:pt>
                <c:pt idx="120">
                  <c:v>56.196631896337152</c:v>
                </c:pt>
                <c:pt idx="121">
                  <c:v>57.142191384793065</c:v>
                </c:pt>
                <c:pt idx="122">
                  <c:v>58.095470535900944</c:v>
                </c:pt>
                <c:pt idx="123">
                  <c:v>59.056464729643515</c:v>
                </c:pt>
                <c:pt idx="124">
                  <c:v>60.025169314819863</c:v>
                </c:pt>
                <c:pt idx="125">
                  <c:v>61.001579609054055</c:v>
                </c:pt>
                <c:pt idx="126">
                  <c:v>61.985690898805252</c:v>
                </c:pt>
                <c:pt idx="127">
                  <c:v>62.977498439379211</c:v>
                </c:pt>
                <c:pt idx="128">
                  <c:v>63.976997454941213</c:v>
                </c:pt>
                <c:pt idx="129">
                  <c:v>64.984181443590131</c:v>
                </c:pt>
                <c:pt idx="130">
                  <c:v>65.99904048044985</c:v>
                </c:pt>
                <c:pt idx="131">
                  <c:v>67.02156291009608</c:v>
                </c:pt>
                <c:pt idx="132">
                  <c:v>68.051737041010995</c:v>
                </c:pt>
                <c:pt idx="133">
                  <c:v>69.089551145688006</c:v>
                </c:pt>
                <c:pt idx="134">
                  <c:v>70.13499346073813</c:v>
                </c:pt>
                <c:pt idx="135">
                  <c:v>71.188052186997737</c:v>
                </c:pt>
                <c:pt idx="136">
                  <c:v>72.248715489637746</c:v>
                </c:pt>
                <c:pt idx="137">
                  <c:v>73.316971498274299</c:v>
                </c:pt>
                <c:pt idx="138">
                  <c:v>74.392808307080742</c:v>
                </c:pt>
                <c:pt idx="139">
                  <c:v>75.476213974900986</c:v>
                </c:pt>
                <c:pt idx="140">
                  <c:v>76.567176525364189</c:v>
                </c:pt>
                <c:pt idx="141">
                  <c:v>77.665683947000801</c:v>
                </c:pt>
                <c:pt idx="142">
                  <c:v>78.771724193359816</c:v>
                </c:pt>
                <c:pt idx="143">
                  <c:v>79.885285183127337</c:v>
                </c:pt>
                <c:pt idx="144">
                  <c:v>81.006354800246356</c:v>
                </c:pt>
                <c:pt idx="145">
                  <c:v>82.134920894037762</c:v>
                </c:pt>
                <c:pt idx="146">
                  <c:v>83.270971279322524</c:v>
                </c:pt>
                <c:pt idx="147">
                  <c:v>84.414493736545083</c:v>
                </c:pt>
                <c:pt idx="148">
                  <c:v>85.565476011897857</c:v>
                </c:pt>
                <c:pt idx="149">
                  <c:v>86.723905817446919</c:v>
                </c:pt>
                <c:pt idx="150">
                  <c:v>87.88977083125873</c:v>
                </c:pt>
                <c:pt idx="151">
                  <c:v>89.063058697528035</c:v>
                </c:pt>
                <c:pt idx="152">
                  <c:v>90.243757026706788</c:v>
                </c:pt>
                <c:pt idx="153">
                  <c:v>91.43185339563415</c:v>
                </c:pt>
                <c:pt idx="154">
                  <c:v>92.627335347667497</c:v>
                </c:pt>
                <c:pt idx="155">
                  <c:v>93.830190392814515</c:v>
                </c:pt>
                <c:pt idx="156">
                  <c:v>95.040406007866224</c:v>
                </c:pt>
                <c:pt idx="157">
                  <c:v>96.257969636531016</c:v>
                </c:pt>
                <c:pt idx="158">
                  <c:v>97.482868689569685</c:v>
                </c:pt>
                <c:pt idx="159">
                  <c:v>98.715090544931371</c:v>
                </c:pt>
                <c:pt idx="160">
                  <c:v>99.954622547890466</c:v>
                </c:pt>
                <c:pt idx="161">
                  <c:v>101.20145201118443</c:v>
                </c:pt>
                <c:pt idx="162">
                  <c:v>102.45556621515252</c:v>
                </c:pt>
                <c:pt idx="163">
                  <c:v>103.71695240787535</c:v>
                </c:pt>
                <c:pt idx="164">
                  <c:v>104.98559780531549</c:v>
                </c:pt>
                <c:pt idx="165">
                  <c:v>106.26148959145868</c:v>
                </c:pt>
                <c:pt idx="166">
                  <c:v>107.54461491845611</c:v>
                </c:pt>
                <c:pt idx="167">
                  <c:v>108.83496090676736</c:v>
                </c:pt>
                <c:pt idx="168">
                  <c:v>110.13251464530434</c:v>
                </c:pt>
                <c:pt idx="169">
                  <c:v>111.43726319157579</c:v>
                </c:pt>
                <c:pt idx="170">
                  <c:v>112.74919357183282</c:v>
                </c:pt>
                <c:pt idx="171">
                  <c:v>114.06829278121502</c:v>
                </c:pt>
                <c:pt idx="172">
                  <c:v>115.39454778389748</c:v>
                </c:pt>
                <c:pt idx="173">
                  <c:v>116.72794551323842</c:v>
                </c:pt>
                <c:pt idx="174">
                  <c:v>118.0684728719277</c:v>
                </c:pt>
                <c:pt idx="175">
                  <c:v>119.41611673213589</c:v>
                </c:pt>
                <c:pt idx="176">
                  <c:v>120.77086393566422</c:v>
                </c:pt>
                <c:pt idx="177">
                  <c:v>122.13270129409509</c:v>
                </c:pt>
                <c:pt idx="178">
                  <c:v>123.50161558894328</c:v>
                </c:pt>
                <c:pt idx="179">
                  <c:v>124.87759357180795</c:v>
                </c:pt>
                <c:pt idx="180">
                  <c:v>126.26062196452511</c:v>
                </c:pt>
                <c:pt idx="181">
                  <c:v>127.65068745932089</c:v>
                </c:pt>
                <c:pt idx="182">
                  <c:v>129.04777671896537</c:v>
                </c:pt>
                <c:pt idx="183">
                  <c:v>130.45187637692706</c:v>
                </c:pt>
                <c:pt idx="184">
                  <c:v>131.86297303752795</c:v>
                </c:pt>
                <c:pt idx="185">
                  <c:v>133.28105327609921</c:v>
                </c:pt>
                <c:pt idx="186">
                  <c:v>134.70610363913744</c:v>
                </c:pt>
                <c:pt idx="187">
                  <c:v>136.13811064446153</c:v>
                </c:pt>
                <c:pt idx="188">
                  <c:v>137.57706078137002</c:v>
                </c:pt>
                <c:pt idx="189">
                  <c:v>139.02294051079912</c:v>
                </c:pt>
                <c:pt idx="190">
                  <c:v>140.47573626548115</c:v>
                </c:pt>
                <c:pt idx="191">
                  <c:v>141.9354344501036</c:v>
                </c:pt>
                <c:pt idx="192">
                  <c:v>143.40202144146866</c:v>
                </c:pt>
                <c:pt idx="193">
                  <c:v>144.87548358865328</c:v>
                </c:pt>
                <c:pt idx="194">
                  <c:v>146.35580721316975</c:v>
                </c:pt>
                <c:pt idx="195">
                  <c:v>147.8429786091267</c:v>
                </c:pt>
                <c:pt idx="196">
                  <c:v>149.33698404339069</c:v>
                </c:pt>
                <c:pt idx="197">
                  <c:v>150.83780975574814</c:v>
                </c:pt>
                <c:pt idx="198">
                  <c:v>152.34544195906778</c:v>
                </c:pt>
                <c:pt idx="199">
                  <c:v>153.85986683946359</c:v>
                </c:pt>
                <c:pt idx="200">
                  <c:v>155.38107055645804</c:v>
                </c:pt>
                <c:pt idx="201">
                  <c:v>156.90903924314597</c:v>
                </c:pt>
                <c:pt idx="202">
                  <c:v>158.44375900635865</c:v>
                </c:pt>
                <c:pt idx="203">
                  <c:v>159.9852159268284</c:v>
                </c:pt>
                <c:pt idx="204">
                  <c:v>161.53339605935358</c:v>
                </c:pt>
                <c:pt idx="205">
                  <c:v>163.08828543296391</c:v>
                </c:pt>
                <c:pt idx="206">
                  <c:v>164.6498696377414</c:v>
                </c:pt>
                <c:pt idx="207">
                  <c:v>166.21813341132966</c:v>
                </c:pt>
                <c:pt idx="208">
                  <c:v>167.7930610521567</c:v>
                </c:pt>
                <c:pt idx="209">
                  <c:v>169.37463683298128</c:v>
                </c:pt>
                <c:pt idx="210">
                  <c:v>170.96284500108288</c:v>
                </c:pt>
                <c:pt idx="211">
                  <c:v>172.55766977845195</c:v>
                </c:pt>
                <c:pt idx="212">
                  <c:v>174.15909536198032</c:v>
                </c:pt>
                <c:pt idx="213">
                  <c:v>175.76710592365203</c:v>
                </c:pt>
                <c:pt idx="214">
                  <c:v>177.38168561073431</c:v>
                </c:pt>
                <c:pt idx="215">
                  <c:v>179.00281854596892</c:v>
                </c:pt>
                <c:pt idx="216">
                  <c:v>180.63048882776357</c:v>
                </c:pt>
                <c:pt idx="217">
                  <c:v>182.26468053038366</c:v>
                </c:pt>
                <c:pt idx="218">
                  <c:v>183.90537770414417</c:v>
                </c:pt>
                <c:pt idx="219">
                  <c:v>185.55256437560192</c:v>
                </c:pt>
                <c:pt idx="220">
                  <c:v>187.20622454774775</c:v>
                </c:pt>
                <c:pt idx="221">
                  <c:v>188.86634220019914</c:v>
                </c:pt>
                <c:pt idx="222">
                  <c:v>190.53290128939281</c:v>
                </c:pt>
                <c:pt idx="223">
                  <c:v>192.20588574877766</c:v>
                </c:pt>
                <c:pt idx="224">
                  <c:v>193.8852794890077</c:v>
                </c:pt>
                <c:pt idx="225">
                  <c:v>195.57106639813523</c:v>
                </c:pt>
                <c:pt idx="226">
                  <c:v>197.2632303418041</c:v>
                </c:pt>
                <c:pt idx="227">
                  <c:v>198.96175516344312</c:v>
                </c:pt>
                <c:pt idx="228">
                  <c:v>200.66662468445955</c:v>
                </c:pt>
                <c:pt idx="229">
                  <c:v>202.37782270443279</c:v>
                </c:pt>
                <c:pt idx="230">
                  <c:v>204.09533300130803</c:v>
                </c:pt>
                <c:pt idx="231">
                  <c:v>205.81913933159012</c:v>
                </c:pt>
                <c:pt idx="232">
                  <c:v>207.54922543053735</c:v>
                </c:pt>
                <c:pt idx="233">
                  <c:v>209.28557501235554</c:v>
                </c:pt>
                <c:pt idx="234">
                  <c:v>211.02817177039191</c:v>
                </c:pt>
                <c:pt idx="235">
                  <c:v>212.77699937732925</c:v>
                </c:pt>
                <c:pt idx="236">
                  <c:v>214.53204148537995</c:v>
                </c:pt>
                <c:pt idx="237">
                  <c:v>216.29328172648016</c:v>
                </c:pt>
                <c:pt idx="238">
                  <c:v>218.06070371248393</c:v>
                </c:pt>
                <c:pt idx="239">
                  <c:v>219.83429103535738</c:v>
                </c:pt>
                <c:pt idx="240">
                  <c:v>221.61402726737288</c:v>
                </c:pt>
                <c:pt idx="241">
                  <c:v>223.3998959613032</c:v>
                </c:pt>
                <c:pt idx="242">
                  <c:v>225.19187922076998</c:v>
                </c:pt>
                <c:pt idx="243">
                  <c:v>226.98995626981275</c:v>
                </c:pt>
                <c:pt idx="244">
                  <c:v>228.79410488248493</c:v>
                </c:pt>
                <c:pt idx="245">
                  <c:v>230.60430281326958</c:v>
                </c:pt>
                <c:pt idx="246">
                  <c:v>232.42052779735528</c:v>
                </c:pt>
                <c:pt idx="247">
                  <c:v>234.24275755091159</c:v>
                </c:pt>
                <c:pt idx="248">
                  <c:v>236.0709697713641</c:v>
                </c:pt>
                <c:pt idx="249">
                  <c:v>237.90514213766917</c:v>
                </c:pt>
                <c:pt idx="250">
                  <c:v>239.74525231058826</c:v>
                </c:pt>
                <c:pt idx="251">
                  <c:v>241.59127793296182</c:v>
                </c:pt>
                <c:pt idx="252">
                  <c:v>243.44319662998282</c:v>
                </c:pt>
                <c:pt idx="253">
                  <c:v>245.30098600946991</c:v>
                </c:pt>
                <c:pt idx="254">
                  <c:v>247.16462366213992</c:v>
                </c:pt>
                <c:pt idx="255">
                  <c:v>249.03408716188025</c:v>
                </c:pt>
                <c:pt idx="256">
                  <c:v>250.90935406602048</c:v>
                </c:pt>
                <c:pt idx="257">
                  <c:v>252.79040191560372</c:v>
                </c:pt>
                <c:pt idx="258">
                  <c:v>254.67720823565739</c:v>
                </c:pt>
                <c:pt idx="259">
                  <c:v>256.56975053546353</c:v>
                </c:pt>
                <c:pt idx="260">
                  <c:v>258.46800630882854</c:v>
                </c:pt>
                <c:pt idx="261">
                  <c:v>260.37195303435266</c:v>
                </c:pt>
                <c:pt idx="262">
                  <c:v>262.28156817569851</c:v>
                </c:pt>
                <c:pt idx="263">
                  <c:v>264.19682918185941</c:v>
                </c:pt>
                <c:pt idx="264">
                  <c:v>266.11771348742707</c:v>
                </c:pt>
                <c:pt idx="265">
                  <c:v>268.04419851285866</c:v>
                </c:pt>
                <c:pt idx="266">
                  <c:v>269.9762616647435</c:v>
                </c:pt>
                <c:pt idx="267">
                  <c:v>271.91388033606881</c:v>
                </c:pt>
                <c:pt idx="268">
                  <c:v>273.8570319064853</c:v>
                </c:pt>
                <c:pt idx="269">
                  <c:v>275.8056937425718</c:v>
                </c:pt>
                <c:pt idx="270">
                  <c:v>277.75984319809959</c:v>
                </c:pt>
                <c:pt idx="271">
                  <c:v>279.71945761429583</c:v>
                </c:pt>
                <c:pt idx="272">
                  <c:v>281.68451432010653</c:v>
                </c:pt>
                <c:pt idx="273">
                  <c:v>283.65499063245886</c:v>
                </c:pt>
                <c:pt idx="274">
                  <c:v>285.63086385652275</c:v>
                </c:pt>
                <c:pt idx="275">
                  <c:v>287.61211128597193</c:v>
                </c:pt>
                <c:pt idx="276">
                  <c:v>289.5987102032442</c:v>
                </c:pt>
                <c:pt idx="277">
                  <c:v>291.59063787980102</c:v>
                </c:pt>
                <c:pt idx="278">
                  <c:v>293.58787157638659</c:v>
                </c:pt>
                <c:pt idx="279">
                  <c:v>295.590388543286</c:v>
                </c:pt>
                <c:pt idx="280">
                  <c:v>297.59816602058282</c:v>
                </c:pt>
                <c:pt idx="281">
                  <c:v>299.61118123841595</c:v>
                </c:pt>
                <c:pt idx="282">
                  <c:v>301.6294114172357</c:v>
                </c:pt>
                <c:pt idx="283">
                  <c:v>303.65283376805917</c:v>
                </c:pt>
                <c:pt idx="284">
                  <c:v>305.68142717269387</c:v>
                </c:pt>
                <c:pt idx="285">
                  <c:v>307.71517386439865</c:v>
                </c:pt>
                <c:pt idx="286">
                  <c:v>309.75405774784997</c:v>
                </c:pt>
                <c:pt idx="287">
                  <c:v>311.79806271862606</c:v>
                </c:pt>
                <c:pt idx="288">
                  <c:v>313.84717266337236</c:v>
                </c:pt>
                <c:pt idx="289">
                  <c:v>315.90137145996704</c:v>
                </c:pt>
                <c:pt idx="290">
                  <c:v>317.96064297768555</c:v>
                </c:pt>
                <c:pt idx="291">
                  <c:v>320.02497107736554</c:v>
                </c:pt>
                <c:pt idx="292">
                  <c:v>322.09433961157077</c:v>
                </c:pt>
                <c:pt idx="293">
                  <c:v>324.16873242475526</c:v>
                </c:pt>
                <c:pt idx="294">
                  <c:v>326.24813335342645</c:v>
                </c:pt>
                <c:pt idx="295">
                  <c:v>328.33252622630852</c:v>
                </c:pt>
                <c:pt idx="296">
                  <c:v>330.42189486450508</c:v>
                </c:pt>
                <c:pt idx="297">
                  <c:v>332.51622308166145</c:v>
                </c:pt>
                <c:pt idx="298">
                  <c:v>334.6154946841267</c:v>
                </c:pt>
                <c:pt idx="299">
                  <c:v>336.71969347111525</c:v>
                </c:pt>
                <c:pt idx="300">
                  <c:v>338.82880323486796</c:v>
                </c:pt>
                <c:pt idx="301">
                  <c:v>340.94280776081303</c:v>
                </c:pt>
                <c:pt idx="302">
                  <c:v>343.06169082772624</c:v>
                </c:pt>
                <c:pt idx="303">
                  <c:v>345.18543620789103</c:v>
                </c:pt>
                <c:pt idx="304">
                  <c:v>347.31402766725807</c:v>
                </c:pt>
                <c:pt idx="305">
                  <c:v>349.44744896560434</c:v>
                </c:pt>
                <c:pt idx="306">
                  <c:v>351.5856838566919</c:v>
                </c:pt>
                <c:pt idx="307">
                  <c:v>353.72871608842615</c:v>
                </c:pt>
                <c:pt idx="308">
                  <c:v>355.87652940301376</c:v>
                </c:pt>
                <c:pt idx="309">
                  <c:v>358.02910753712001</c:v>
                </c:pt>
                <c:pt idx="310">
                  <c:v>360.18643422202587</c:v>
                </c:pt>
                <c:pt idx="311">
                  <c:v>362.34849318378457</c:v>
                </c:pt>
                <c:pt idx="312">
                  <c:v>364.51526814337763</c:v>
                </c:pt>
                <c:pt idx="313">
                  <c:v>366.68674281687061</c:v>
                </c:pt>
                <c:pt idx="314">
                  <c:v>368.86290091556828</c:v>
                </c:pt>
                <c:pt idx="315">
                  <c:v>371.04372614616932</c:v>
                </c:pt>
                <c:pt idx="316">
                  <c:v>373.22920221092068</c:v>
                </c:pt>
                <c:pt idx="317">
                  <c:v>375.41931280777141</c:v>
                </c:pt>
                <c:pt idx="318">
                  <c:v>377.61404163052589</c:v>
                </c:pt>
                <c:pt idx="319">
                  <c:v>379.81337236899685</c:v>
                </c:pt>
                <c:pt idx="320">
                  <c:v>382.01728870915781</c:v>
                </c:pt>
                <c:pt idx="321">
                  <c:v>384.22577433329479</c:v>
                </c:pt>
                <c:pt idx="322">
                  <c:v>386.43881292015794</c:v>
                </c:pt>
                <c:pt idx="323">
                  <c:v>388.65638814511237</c:v>
                </c:pt>
                <c:pt idx="324">
                  <c:v>390.87848368028881</c:v>
                </c:pt>
                <c:pt idx="325">
                  <c:v>393.10508319473337</c:v>
                </c:pt>
                <c:pt idx="326">
                  <c:v>395.33617045782347</c:v>
                </c:pt>
                <c:pt idx="327">
                  <c:v>397.57172944268837</c:v>
                </c:pt>
                <c:pt idx="328">
                  <c:v>399.81174422303184</c:v>
                </c:pt>
                <c:pt idx="329">
                  <c:v>402.05619886994771</c:v>
                </c:pt>
                <c:pt idx="330">
                  <c:v>404.30507745206279</c:v>
                </c:pt>
                <c:pt idx="331">
                  <c:v>406.55836403567957</c:v>
                </c:pt>
                <c:pt idx="332">
                  <c:v>408.81604268491822</c:v>
                </c:pt>
                <c:pt idx="333">
                  <c:v>411.07809746185825</c:v>
                </c:pt>
                <c:pt idx="334">
                  <c:v>413.34451242667967</c:v>
                </c:pt>
                <c:pt idx="335">
                  <c:v>415.61527163780352</c:v>
                </c:pt>
                <c:pt idx="336">
                  <c:v>417.89035915203203</c:v>
                </c:pt>
                <c:pt idx="337">
                  <c:v>420.16975902468812</c:v>
                </c:pt>
                <c:pt idx="338">
                  <c:v>422.45345530975459</c:v>
                </c:pt>
                <c:pt idx="339">
                  <c:v>424.74143206001276</c:v>
                </c:pt>
                <c:pt idx="340">
                  <c:v>427.03367332718028</c:v>
                </c:pt>
                <c:pt idx="341">
                  <c:v>429.33016316204896</c:v>
                </c:pt>
                <c:pt idx="342">
                  <c:v>431.63088561462166</c:v>
                </c:pt>
                <c:pt idx="343">
                  <c:v>433.93582473424874</c:v>
                </c:pt>
                <c:pt idx="344">
                  <c:v>436.24496456976419</c:v>
                </c:pt>
                <c:pt idx="345">
                  <c:v>438.55828916962093</c:v>
                </c:pt>
                <c:pt idx="346">
                  <c:v>440.87578258202592</c:v>
                </c:pt>
                <c:pt idx="347">
                  <c:v>443.19742885507429</c:v>
                </c:pt>
                <c:pt idx="348">
                  <c:v>445.52321203688342</c:v>
                </c:pt>
                <c:pt idx="349">
                  <c:v>447.8531161757262</c:v>
                </c:pt>
                <c:pt idx="350">
                  <c:v>450.18712532016372</c:v>
                </c:pt>
                <c:pt idx="351">
                  <c:v>452.52522351917759</c:v>
                </c:pt>
                <c:pt idx="352">
                  <c:v>454.86739482230161</c:v>
                </c:pt>
                <c:pt idx="353">
                  <c:v>457.21362327975294</c:v>
                </c:pt>
                <c:pt idx="354">
                  <c:v>459.56389294256263</c:v>
                </c:pt>
                <c:pt idx="355">
                  <c:v>461.91818786270574</c:v>
                </c:pt>
                <c:pt idx="356">
                  <c:v>464.27649209323079</c:v>
                </c:pt>
                <c:pt idx="357">
                  <c:v>466.63878968838873</c:v>
                </c:pt>
                <c:pt idx="358">
                  <c:v>469.00506470376126</c:v>
                </c:pt>
                <c:pt idx="359">
                  <c:v>471.37530119638876</c:v>
                </c:pt>
                <c:pt idx="360">
                  <c:v>473.74948322489746</c:v>
                </c:pt>
                <c:pt idx="361">
                  <c:v>476.12759484962618</c:v>
                </c:pt>
                <c:pt idx="362">
                  <c:v>478.50962013275245</c:v>
                </c:pt>
                <c:pt idx="363">
                  <c:v>480.89554313841808</c:v>
                </c:pt>
                <c:pt idx="364">
                  <c:v>483.28534793285417</c:v>
                </c:pt>
                <c:pt idx="365">
                  <c:v>485.67901858450557</c:v>
                </c:pt>
                <c:pt idx="366">
                  <c:v>488.07654178330944</c:v>
                </c:pt>
                <c:pt idx="367">
                  <c:v>490.47790945960458</c:v>
                </c:pt>
                <c:pt idx="368">
                  <c:v>492.88311616272847</c:v>
                </c:pt>
                <c:pt idx="369">
                  <c:v>495.29215643994195</c:v>
                </c:pt>
                <c:pt idx="370">
                  <c:v>497.70502483646976</c:v>
                </c:pt>
                <c:pt idx="371">
                  <c:v>500.12171589554117</c:v>
                </c:pt>
                <c:pt idx="372">
                  <c:v>502.54222415843049</c:v>
                </c:pt>
                <c:pt idx="373">
                  <c:v>504.96654416449729</c:v>
                </c:pt>
                <c:pt idx="374">
                  <c:v>507.39467045122689</c:v>
                </c:pt>
                <c:pt idx="375">
                  <c:v>509.82659755427051</c:v>
                </c:pt>
                <c:pt idx="376">
                  <c:v>512.26232000748553</c:v>
                </c:pt>
                <c:pt idx="377">
                  <c:v>514.70183234297542</c:v>
                </c:pt>
                <c:pt idx="378">
                  <c:v>517.14512909113</c:v>
                </c:pt>
                <c:pt idx="379">
                  <c:v>519.59220478066516</c:v>
                </c:pt>
                <c:pt idx="380">
                  <c:v>522.04305393866275</c:v>
                </c:pt>
                <c:pt idx="381">
                  <c:v>524.49766826325401</c:v>
                </c:pt>
                <c:pt idx="382">
                  <c:v>526.95603379680585</c:v>
                </c:pt>
                <c:pt idx="383">
                  <c:v>529.41813375608615</c:v>
                </c:pt>
                <c:pt idx="384">
                  <c:v>531.88395136197016</c:v>
                </c:pt>
                <c:pt idx="385">
                  <c:v>534.35346983956651</c:v>
                </c:pt>
                <c:pt idx="386">
                  <c:v>536.82667241834224</c:v>
                </c:pt>
                <c:pt idx="387">
                  <c:v>539.30354233224796</c:v>
                </c:pt>
                <c:pt idx="388">
                  <c:v>541.78406281984167</c:v>
                </c:pt>
                <c:pt idx="389">
                  <c:v>544.26821712441222</c:v>
                </c:pt>
                <c:pt idx="390">
                  <c:v>546.75598849410233</c:v>
                </c:pt>
                <c:pt idx="391">
                  <c:v>549.24736018203032</c:v>
                </c:pt>
                <c:pt idx="392">
                  <c:v>551.74231544641168</c:v>
                </c:pt>
                <c:pt idx="393">
                  <c:v>554.24083755067988</c:v>
                </c:pt>
                <c:pt idx="394">
                  <c:v>556.74290976360658</c:v>
                </c:pt>
                <c:pt idx="395">
                  <c:v>559.24851535942071</c:v>
                </c:pt>
                <c:pt idx="396">
                  <c:v>561.75763761792757</c:v>
                </c:pt>
                <c:pt idx="397">
                  <c:v>564.27025982462692</c:v>
                </c:pt>
                <c:pt idx="398">
                  <c:v>566.78636527083017</c:v>
                </c:pt>
                <c:pt idx="399">
                  <c:v>569.30593725377742</c:v>
                </c:pt>
                <c:pt idx="400">
                  <c:v>571.82895907675334</c:v>
                </c:pt>
                <c:pt idx="401">
                  <c:v>574.35541182960628</c:v>
                </c:pt>
                <c:pt idx="402">
                  <c:v>576.8852721698795</c:v>
                </c:pt>
                <c:pt idx="403">
                  <c:v>579.41851454508367</c:v>
                </c:pt>
                <c:pt idx="404">
                  <c:v>581.9551134144009</c:v>
                </c:pt>
                <c:pt idx="405">
                  <c:v>584.49504324888619</c:v>
                </c:pt>
                <c:pt idx="406">
                  <c:v>587.03827853166808</c:v>
                </c:pt>
                <c:pt idx="407">
                  <c:v>589.5847937581475</c:v>
                </c:pt>
                <c:pt idx="408">
                  <c:v>592.13456343619498</c:v>
                </c:pt>
                <c:pt idx="409">
                  <c:v>594.68756208634727</c:v>
                </c:pt>
                <c:pt idx="410">
                  <c:v>597.24376424200113</c:v>
                </c:pt>
                <c:pt idx="411">
                  <c:v>599.80313219838524</c:v>
                </c:pt>
                <c:pt idx="412">
                  <c:v>602.36560376585862</c:v>
                </c:pt>
                <c:pt idx="413">
                  <c:v>604.93110453715929</c:v>
                </c:pt>
                <c:pt idx="414">
                  <c:v>607.49956015077271</c:v>
                </c:pt>
                <c:pt idx="415">
                  <c:v>610.07089629201414</c:v>
                </c:pt>
                <c:pt idx="416">
                  <c:v>612.64503869410032</c:v>
                </c:pt>
                <c:pt idx="417">
                  <c:v>615.22191313921007</c:v>
                </c:pt>
                <c:pt idx="418">
                  <c:v>617.80144545953362</c:v>
                </c:pt>
                <c:pt idx="419">
                  <c:v>620.38356153831126</c:v>
                </c:pt>
                <c:pt idx="420">
                  <c:v>622.96818034857324</c:v>
                </c:pt>
                <c:pt idx="421">
                  <c:v>625.55520699546889</c:v>
                </c:pt>
                <c:pt idx="422">
                  <c:v>628.14453969043007</c:v>
                </c:pt>
                <c:pt idx="423">
                  <c:v>630.73607672212393</c:v>
                </c:pt>
                <c:pt idx="424">
                  <c:v>633.32971645823159</c:v>
                </c:pt>
                <c:pt idx="425">
                  <c:v>635.92535734720661</c:v>
                </c:pt>
                <c:pt idx="426">
                  <c:v>638.5228979200125</c:v>
                </c:pt>
                <c:pt idx="427">
                  <c:v>641.12223679183933</c:v>
                </c:pt>
                <c:pt idx="428">
                  <c:v>643.72327266380023</c:v>
                </c:pt>
                <c:pt idx="429">
                  <c:v>646.32590432460643</c:v>
                </c:pt>
                <c:pt idx="430">
                  <c:v>648.93003065222229</c:v>
                </c:pt>
                <c:pt idx="431">
                  <c:v>651.53555061549878</c:v>
                </c:pt>
                <c:pt idx="432">
                  <c:v>654.14235207048796</c:v>
                </c:pt>
                <c:pt idx="433">
                  <c:v>656.75030056560274</c:v>
                </c:pt>
                <c:pt idx="434">
                  <c:v>659.35925057080954</c:v>
                </c:pt>
                <c:pt idx="435">
                  <c:v>661.96905669877037</c:v>
                </c:pt>
                <c:pt idx="436">
                  <c:v>664.57957370803592</c:v>
                </c:pt>
                <c:pt idx="437">
                  <c:v>667.19065650619552</c:v>
                </c:pt>
                <c:pt idx="438">
                  <c:v>669.80216015298424</c:v>
                </c:pt>
                <c:pt idx="439">
                  <c:v>672.4139398633464</c:v>
                </c:pt>
                <c:pt idx="440">
                  <c:v>675.02585101045634</c:v>
                </c:pt>
                <c:pt idx="441">
                  <c:v>677.63774912869576</c:v>
                </c:pt>
                <c:pt idx="442">
                  <c:v>680.2494967159123</c:v>
                </c:pt>
                <c:pt idx="443">
                  <c:v>682.86097002819281</c:v>
                </c:pt>
                <c:pt idx="444">
                  <c:v>685.4720522667451</c:v>
                </c:pt>
                <c:pt idx="445">
                  <c:v>688.0826267716759</c:v>
                </c:pt>
                <c:pt idx="446">
                  <c:v>690.69257702375364</c:v>
                </c:pt>
                <c:pt idx="447">
                  <c:v>693.30178664614334</c:v>
                </c:pt>
                <c:pt idx="448">
                  <c:v>695.91013940611288</c:v>
                </c:pt>
                <c:pt idx="449">
                  <c:v>698.51751921671178</c:v>
                </c:pt>
                <c:pt idx="450">
                  <c:v>701.12381013842219</c:v>
                </c:pt>
                <c:pt idx="451">
                  <c:v>703.72889638078175</c:v>
                </c:pt>
                <c:pt idx="452">
                  <c:v>706.33266230397874</c:v>
                </c:pt>
                <c:pt idx="453">
                  <c:v>708.9350021491216</c:v>
                </c:pt>
                <c:pt idx="454">
                  <c:v>711.53582975546487</c:v>
                </c:pt>
                <c:pt idx="455">
                  <c:v>714.13506880607417</c:v>
                </c:pt>
                <c:pt idx="456">
                  <c:v>716.73264308600858</c:v>
                </c:pt>
                <c:pt idx="457">
                  <c:v>719.32847648284167</c:v>
                </c:pt>
                <c:pt idx="458">
                  <c:v>721.92249298717149</c:v>
                </c:pt>
                <c:pt idx="459">
                  <c:v>724.5146166931188</c:v>
                </c:pt>
                <c:pt idx="460">
                  <c:v>727.10477179881423</c:v>
                </c:pt>
                <c:pt idx="461">
                  <c:v>729.69289135803706</c:v>
                </c:pt>
                <c:pt idx="462">
                  <c:v>732.27892601923895</c:v>
                </c:pt>
                <c:pt idx="463">
                  <c:v>734.86283524927899</c:v>
                </c:pt>
                <c:pt idx="464">
                  <c:v>737.44457856954511</c:v>
                </c:pt>
                <c:pt idx="465">
                  <c:v>740.02411555597678</c:v>
                </c:pt>
                <c:pt idx="466">
                  <c:v>742.60139848907409</c:v>
                </c:pt>
                <c:pt idx="467">
                  <c:v>745.17636501475556</c:v>
                </c:pt>
                <c:pt idx="468">
                  <c:v>747.7488636710425</c:v>
                </c:pt>
                <c:pt idx="469">
                  <c:v>750.31867968628046</c:v>
                </c:pt>
                <c:pt idx="470">
                  <c:v>752.88571707438939</c:v>
                </c:pt>
                <c:pt idx="471">
                  <c:v>755.4499801421407</c:v>
                </c:pt>
                <c:pt idx="472">
                  <c:v>758.01147318360552</c:v>
                </c:pt>
                <c:pt idx="473">
                  <c:v>760.5702004802049</c:v>
                </c:pt>
                <c:pt idx="474">
                  <c:v>763.12616630075888</c:v>
                </c:pt>
                <c:pt idx="475">
                  <c:v>765.67937490153611</c:v>
                </c:pt>
                <c:pt idx="476">
                  <c:v>768.22983052630264</c:v>
                </c:pt>
                <c:pt idx="477">
                  <c:v>770.77753740637081</c:v>
                </c:pt>
                <c:pt idx="478">
                  <c:v>773.32249976064759</c:v>
                </c:pt>
                <c:pt idx="479">
                  <c:v>775.86472179568318</c:v>
                </c:pt>
                <c:pt idx="480">
                  <c:v>778.4042077057187</c:v>
                </c:pt>
                <c:pt idx="481">
                  <c:v>780.94096167273437</c:v>
                </c:pt>
                <c:pt idx="482">
                  <c:v>783.47498786649692</c:v>
                </c:pt>
                <c:pt idx="483">
                  <c:v>786.00629044460675</c:v>
                </c:pt>
                <c:pt idx="484">
                  <c:v>788.53487355254538</c:v>
                </c:pt>
                <c:pt idx="485">
                  <c:v>791.06074132372225</c:v>
                </c:pt>
                <c:pt idx="486">
                  <c:v>793.58389787952115</c:v>
                </c:pt>
                <c:pt idx="487">
                  <c:v>796.10434732934675</c:v>
                </c:pt>
                <c:pt idx="488">
                  <c:v>798.62209377067109</c:v>
                </c:pt>
                <c:pt idx="489">
                  <c:v>801.13714128907918</c:v>
                </c:pt>
                <c:pt idx="490">
                  <c:v>803.64949395831502</c:v>
                </c:pt>
                <c:pt idx="491">
                  <c:v>806.15915584032678</c:v>
                </c:pt>
                <c:pt idx="492">
                  <c:v>808.66613098531252</c:v>
                </c:pt>
                <c:pt idx="493">
                  <c:v>811.17042343176502</c:v>
                </c:pt>
                <c:pt idx="494">
                  <c:v>813.67203720651662</c:v>
                </c:pt>
                <c:pt idx="495">
                  <c:v>816.17097632478408</c:v>
                </c:pt>
                <c:pt idx="496">
                  <c:v>818.66724479021286</c:v>
                </c:pt>
                <c:pt idx="497">
                  <c:v>821.1608465949214</c:v>
                </c:pt>
                <c:pt idx="498">
                  <c:v>823.65178571954505</c:v>
                </c:pt>
                <c:pt idx="499">
                  <c:v>826.1400661332799</c:v>
                </c:pt>
                <c:pt idx="500">
                  <c:v>828.62569179392631</c:v>
                </c:pt>
                <c:pt idx="501">
                  <c:v>853.33624270278608</c:v>
                </c:pt>
                <c:pt idx="502">
                  <c:v>877.7838612534656</c:v>
                </c:pt>
                <c:pt idx="503">
                  <c:v>901.97239484663578</c:v>
                </c:pt>
                <c:pt idx="504">
                  <c:v>925.90558266647861</c:v>
                </c:pt>
                <c:pt idx="505">
                  <c:v>949.58705968300148</c:v>
                </c:pt>
                <c:pt idx="506">
                  <c:v>973.02036046827311</c:v>
                </c:pt>
                <c:pt idx="507">
                  <c:v>996.2089228369291</c:v>
                </c:pt>
                <c:pt idx="508">
                  <c:v>1019.1560913206278</c:v>
                </c:pt>
                <c:pt idx="509">
                  <c:v>1041.8651204855146</c:v>
                </c:pt>
                <c:pt idx="510">
                  <c:v>1064.3391781011815</c:v>
                </c:pt>
                <c:pt idx="511">
                  <c:v>1086.581348169073</c:v>
                </c:pt>
                <c:pt idx="512">
                  <c:v>1108.5946338177957</c:v>
                </c:pt>
                <c:pt idx="513">
                  <c:v>1130.3819600723305</c:v>
                </c:pt>
                <c:pt idx="514">
                  <c:v>1151.9461765037136</c:v>
                </c:pt>
                <c:pt idx="515">
                  <c:v>1173.2900597653606</c:v>
                </c:pt>
                <c:pt idx="516">
                  <c:v>1194.4163160218347</c:v>
                </c:pt>
                <c:pt idx="517">
                  <c:v>1215.3275832755119</c:v>
                </c:pt>
                <c:pt idx="518">
                  <c:v>1236.0264335962795</c:v>
                </c:pt>
                <c:pt idx="519">
                  <c:v>1256.5153752591016</c:v>
                </c:pt>
                <c:pt idx="520">
                  <c:v>1276.7968547940029</c:v>
                </c:pt>
                <c:pt idx="521">
                  <c:v>1296.8732589527635</c:v>
                </c:pt>
                <c:pt idx="522">
                  <c:v>1316.7469165963712</c:v>
                </c:pt>
                <c:pt idx="523">
                  <c:v>1336.420100507049</c:v>
                </c:pt>
                <c:pt idx="524">
                  <c:v>1355.8950291284618</c:v>
                </c:pt>
                <c:pt idx="525">
                  <c:v>1375.1738682375055</c:v>
                </c:pt>
                <c:pt idx="526">
                  <c:v>1394.2587325508941</c:v>
                </c:pt>
                <c:pt idx="527">
                  <c:v>1413.1516872695852</c:v>
                </c:pt>
                <c:pt idx="528">
                  <c:v>1431.8547495639168</c:v>
                </c:pt>
                <c:pt idx="529">
                  <c:v>1450.3698900021775</c:v>
                </c:pt>
                <c:pt idx="530">
                  <c:v>1468.6990339251829</c:v>
                </c:pt>
                <c:pt idx="531">
                  <c:v>1486.8440627692974</c:v>
                </c:pt>
                <c:pt idx="532">
                  <c:v>1504.8068153402096</c:v>
                </c:pt>
                <c:pt idx="533">
                  <c:v>1522.5890890396538</c:v>
                </c:pt>
                <c:pt idx="534">
                  <c:v>1540.1926410471485</c:v>
                </c:pt>
                <c:pt idx="535">
                  <c:v>1557.6191894587266</c:v>
                </c:pt>
                <c:pt idx="536">
                  <c:v>1574.8704143845212</c:v>
                </c:pt>
                <c:pt idx="537">
                  <c:v>1591.9479590069843</c:v>
                </c:pt>
                <c:pt idx="538">
                  <c:v>1608.8534306014221</c:v>
                </c:pt>
                <c:pt idx="539">
                  <c:v>1625.5884015204458</c:v>
                </c:pt>
                <c:pt idx="540">
                  <c:v>1642.154410143864</c:v>
                </c:pt>
                <c:pt idx="541">
                  <c:v>1658.5529617954585</c:v>
                </c:pt>
                <c:pt idx="542">
                  <c:v>1674.7855296280231</c:v>
                </c:pt>
                <c:pt idx="543">
                  <c:v>1690.8535554779719</c:v>
                </c:pt>
                <c:pt idx="544">
                  <c:v>1706.7584506907663</c:v>
                </c:pt>
                <c:pt idx="545">
                  <c:v>1722.5015969183455</c:v>
                </c:pt>
                <c:pt idx="546">
                  <c:v>1738.0843468896915</c:v>
                </c:pt>
                <c:pt idx="547">
                  <c:v>1753.5080251556051</c:v>
                </c:pt>
                <c:pt idx="548">
                  <c:v>1768.7739288087223</c:v>
                </c:pt>
                <c:pt idx="549">
                  <c:v>1783.8833281797461</c:v>
                </c:pt>
                <c:pt idx="550">
                  <c:v>1798.8374675108307</c:v>
                </c:pt>
                <c:pt idx="551">
                  <c:v>1813.6375656070086</c:v>
                </c:pt>
                <c:pt idx="552">
                  <c:v>1828.284816466509</c:v>
                </c:pt>
                <c:pt idx="553">
                  <c:v>1842.7803898907821</c:v>
                </c:pt>
                <c:pt idx="554">
                  <c:v>1857.1254320750038</c:v>
                </c:pt>
                <c:pt idx="555">
                  <c:v>1871.3210661798009</c:v>
                </c:pt>
                <c:pt idx="556">
                  <c:v>1885.3683928849059</c:v>
                </c:pt>
                <c:pt idx="557">
                  <c:v>1899.2684909254172</c:v>
                </c:pt>
                <c:pt idx="558">
                  <c:v>1913.0224176113134</c:v>
                </c:pt>
                <c:pt idx="559">
                  <c:v>1926.6312093308386</c:v>
                </c:pt>
                <c:pt idx="560">
                  <c:v>1940.0958820383535</c:v>
                </c:pt>
                <c:pt idx="561">
                  <c:v>1953.4174317272164</c:v>
                </c:pt>
                <c:pt idx="562">
                  <c:v>1966.5968348882398</c:v>
                </c:pt>
                <c:pt idx="563">
                  <c:v>1979.6350489542397</c:v>
                </c:pt>
                <c:pt idx="564">
                  <c:v>1992.5330127311761</c:v>
                </c:pt>
                <c:pt idx="565">
                  <c:v>2005.2916468163633</c:v>
                </c:pt>
                <c:pt idx="566">
                  <c:v>2017.911854004205</c:v>
                </c:pt>
                <c:pt idx="567">
                  <c:v>2030.3945196798929</c:v>
                </c:pt>
                <c:pt idx="568">
                  <c:v>2042.7405122014907</c:v>
                </c:pt>
                <c:pt idx="569">
                  <c:v>2054.9506832708039</c:v>
                </c:pt>
                <c:pt idx="570">
                  <c:v>2067.025868293425</c:v>
                </c:pt>
                <c:pt idx="571">
                  <c:v>2078.9668867283226</c:v>
                </c:pt>
                <c:pt idx="572">
                  <c:v>2090.7745424273326</c:v>
                </c:pt>
                <c:pt idx="573">
                  <c:v>2102.4496239648938</c:v>
                </c:pt>
                <c:pt idx="574">
                  <c:v>2113.9929049583552</c:v>
                </c:pt>
                <c:pt idx="575">
                  <c:v>2125.4051443791705</c:v>
                </c:pt>
                <c:pt idx="576">
                  <c:v>2136.6870868552855</c:v>
                </c:pt>
                <c:pt idx="577">
                  <c:v>2147.8394629650079</c:v>
                </c:pt>
                <c:pt idx="578">
                  <c:v>2158.8629895226413</c:v>
                </c:pt>
                <c:pt idx="579">
                  <c:v>2169.7583698561507</c:v>
                </c:pt>
                <c:pt idx="580">
                  <c:v>2180.526294077124</c:v>
                </c:pt>
                <c:pt idx="581">
                  <c:v>2191.1674393432722</c:v>
                </c:pt>
                <c:pt idx="582">
                  <c:v>2201.6824701137148</c:v>
                </c:pt>
                <c:pt idx="583">
                  <c:v>2212.0720383972794</c:v>
                </c:pt>
                <c:pt idx="584">
                  <c:v>2222.336783994037</c:v>
                </c:pt>
                <c:pt idx="585">
                  <c:v>2232.4773347302894</c:v>
                </c:pt>
                <c:pt idx="586">
                  <c:v>2242.4943066872161</c:v>
                </c:pt>
                <c:pt idx="587">
                  <c:v>2252.388304423378</c:v>
                </c:pt>
                <c:pt idx="588">
                  <c:v>2262.159921191273</c:v>
                </c:pt>
                <c:pt idx="589">
                  <c:v>2271.8097391481265</c:v>
                </c:pt>
                <c:pt idx="590">
                  <c:v>2281.3383295610965</c:v>
                </c:pt>
                <c:pt idx="591">
                  <c:v>2290.746253007067</c:v>
                </c:pt>
                <c:pt idx="592">
                  <c:v>2300.0340595671955</c:v>
                </c:pt>
                <c:pt idx="593">
                  <c:v>2309.2022890163767</c:v>
                </c:pt>
                <c:pt idx="594">
                  <c:v>2318.2514710077767</c:v>
                </c:pt>
                <c:pt idx="595">
                  <c:v>2327.1821252525906</c:v>
                </c:pt>
                <c:pt idx="596">
                  <c:v>2335.9947616951654</c:v>
                </c:pt>
                <c:pt idx="597">
                  <c:v>2344.689880683633</c:v>
                </c:pt>
                <c:pt idx="598">
                  <c:v>2353.2679731361864</c:v>
                </c:pt>
                <c:pt idx="599">
                  <c:v>2361.7295207031348</c:v>
                </c:pt>
                <c:pt idx="600">
                  <c:v>2370.0749959248619</c:v>
                </c:pt>
                <c:pt idx="601">
                  <c:v>2378.3048623858135</c:v>
                </c:pt>
                <c:pt idx="602">
                  <c:v>2386.4195748646353</c:v>
                </c:pt>
                <c:pt idx="603">
                  <c:v>2394.4195794805755</c:v>
                </c:pt>
                <c:pt idx="604">
                  <c:v>2402.3053138362693</c:v>
                </c:pt>
                <c:pt idx="605">
                  <c:v>2410.0772071570118</c:v>
                </c:pt>
                <c:pt idx="606">
                  <c:v>2417.7356804266319</c:v>
                </c:pt>
                <c:pt idx="607">
                  <c:v>2425.2811465200657</c:v>
                </c:pt>
                <c:pt idx="608">
                  <c:v>2432.7140103327365</c:v>
                </c:pt>
                <c:pt idx="609">
                  <c:v>2440.0346689068401</c:v>
                </c:pt>
                <c:pt idx="610">
                  <c:v>2447.2435115546305</c:v>
                </c:pt>
                <c:pt idx="611">
                  <c:v>2454.3409199788043</c:v>
                </c:pt>
                <c:pt idx="612">
                  <c:v>2461.3272683900746</c:v>
                </c:pt>
                <c:pt idx="613">
                  <c:v>2468.2029236220283</c:v>
                </c:pt>
                <c:pt idx="614">
                  <c:v>2474.9682452433549</c:v>
                </c:pt>
                <c:pt idx="615">
                  <c:v>2481.6235856675357</c:v>
                </c:pt>
                <c:pt idx="616">
                  <c:v>2488.1692902600817</c:v>
                </c:pt>
                <c:pt idx="617">
                  <c:v>2494.6056974434055</c:v>
                </c:pt>
                <c:pt idx="618">
                  <c:v>2500.9331387994107</c:v>
                </c:pt>
                <c:pt idx="619">
                  <c:v>2507.1519391698866</c:v>
                </c:pt>
                <c:pt idx="620">
                  <c:v>2513.2624167547906</c:v>
                </c:pt>
                <c:pt idx="621">
                  <c:v>2519.2648832084983</c:v>
                </c:pt>
                <c:pt idx="622">
                  <c:v>2525.1596437341123</c:v>
                </c:pt>
                <c:pt idx="623">
                  <c:v>2530.9469971759031</c:v>
                </c:pt>
                <c:pt idx="624">
                  <c:v>2536.6272361099745</c:v>
                </c:pt>
                <c:pt idx="625">
                  <c:v>2542.2006469332318</c:v>
                </c:pt>
                <c:pt idx="626">
                  <c:v>2547.6675099507379</c:v>
                </c:pt>
                <c:pt idx="627">
                  <c:v>2553.0280994615441</c:v>
                </c:pt>
                <c:pt idx="628">
                  <c:v>2558.2826838430833</c:v>
                </c:pt>
                <c:pt idx="629">
                  <c:v>2563.4315256342065</c:v>
                </c:pt>
                <c:pt idx="630">
                  <c:v>2568.4748816169604</c:v>
                </c:pt>
                <c:pt idx="631">
                  <c:v>2573.4130028971913</c:v>
                </c:pt>
                <c:pt idx="632">
                  <c:v>2578.2461349840696</c:v>
                </c:pt>
                <c:pt idx="633">
                  <c:v>2582.9745178686326</c:v>
                </c:pt>
                <c:pt idx="634">
                  <c:v>2587.5983861014383</c:v>
                </c:pt>
                <c:pt idx="635">
                  <c:v>2592.1179688694383</c:v>
                </c:pt>
                <c:pt idx="636">
                  <c:v>2596.5334900721668</c:v>
                </c:pt>
                <c:pt idx="637">
                  <c:v>2600.8451683973594</c:v>
                </c:pt>
                <c:pt idx="638">
                  <c:v>2605.0532173961069</c:v>
                </c:pt>
                <c:pt idx="639">
                  <c:v>2609.1578455576646</c:v>
                </c:pt>
                <c:pt idx="640">
                  <c:v>2613.159256384035</c:v>
                </c:pt>
                <c:pt idx="641">
                  <c:v>2617.0576484644462</c:v>
                </c:pt>
                <c:pt idx="642">
                  <c:v>2620.8532155498597</c:v>
                </c:pt>
                <c:pt idx="643">
                  <c:v>2624.5461466276361</c:v>
                </c:pt>
                <c:pt idx="644">
                  <c:v>2628.1366259965025</c:v>
                </c:pt>
                <c:pt idx="645">
                  <c:v>2631.6248333419671</c:v>
                </c:pt>
                <c:pt idx="646">
                  <c:v>2635.0109438123268</c:v>
                </c:pt>
                <c:pt idx="647">
                  <c:v>2638.2951280954294</c:v>
                </c:pt>
                <c:pt idx="648">
                  <c:v>2641.4775524963488</c:v>
                </c:pt>
                <c:pt idx="649">
                  <c:v>2644.5583790161427</c:v>
                </c:pt>
                <c:pt idx="650">
                  <c:v>2647.5377654318622</c:v>
                </c:pt>
                <c:pt idx="651">
                  <c:v>2650.4158653779969</c:v>
                </c:pt>
                <c:pt idx="652">
                  <c:v>2653.1928284295295</c:v>
                </c:pt>
                <c:pt idx="653">
                  <c:v>2655.8688001867931</c:v>
                </c:pt>
                <c:pt idx="654">
                  <c:v>2658.4439223623162</c:v>
                </c:pt>
                <c:pt idx="655">
                  <c:v>2660.9183328698477</c:v>
                </c:pt>
                <c:pt idx="656">
                  <c:v>2663.2921659157519</c:v>
                </c:pt>
                <c:pt idx="657">
                  <c:v>2665.565552092969</c:v>
                </c:pt>
                <c:pt idx="658">
                  <c:v>2667.7386184777233</c:v>
                </c:pt>
                <c:pt idx="659">
                  <c:v>2669.811488729169</c:v>
                </c:pt>
                <c:pt idx="660">
                  <c:v>2671.784283192148</c:v>
                </c:pt>
                <c:pt idx="661">
                  <c:v>2673.6571190032278</c:v>
                </c:pt>
                <c:pt idx="662">
                  <c:v>2675.4301102001778</c:v>
                </c:pt>
                <c:pt idx="663">
                  <c:v>2677.1033678350223</c:v>
                </c:pt>
                <c:pt idx="664">
                  <c:v>2678.6770000907954</c:v>
                </c:pt>
                <c:pt idx="665">
                  <c:v>2680.1511124020954</c:v>
                </c:pt>
                <c:pt idx="666">
                  <c:v>2681.5258075795164</c:v>
                </c:pt>
                <c:pt idx="667">
                  <c:v>2682.8011859380031</c:v>
                </c:pt>
                <c:pt idx="668">
                  <c:v>2683.9773454291426</c:v>
                </c:pt>
                <c:pt idx="669">
                  <c:v>2685.0543817773705</c:v>
                </c:pt>
                <c:pt idx="670">
                  <c:v>2686.0323886200317</c:v>
                </c:pt>
                <c:pt idx="671">
                  <c:v>2686.9114576511947</c:v>
                </c:pt>
                <c:pt idx="672">
                  <c:v>2687.6916787690698</c:v>
                </c:pt>
                <c:pt idx="673">
                  <c:v>2688.3731402268463</c:v>
                </c:pt>
                <c:pt idx="674">
                  <c:v>2688.9559287867069</c:v>
                </c:pt>
                <c:pt idx="675">
                  <c:v>2689.4401298767407</c:v>
                </c:pt>
                <c:pt idx="676">
                  <c:v>2689.8258277504278</c:v>
                </c:pt>
                <c:pt idx="677">
                  <c:v>2690.1131056483273</c:v>
                </c:pt>
                <c:pt idx="678">
                  <c:v>2690.30204596156</c:v>
                </c:pt>
                <c:pt idx="679">
                  <c:v>2690.3927303966475</c:v>
                </c:pt>
                <c:pt idx="680">
                  <c:v>2690.3852401412328</c:v>
                </c:pt>
                <c:pt idx="681">
                  <c:v>2690.2796560301908</c:v>
                </c:pt>
                <c:pt idx="682">
                  <c:v>2690.0760587116147</c:v>
                </c:pt>
                <c:pt idx="683">
                  <c:v>2689.7745288121573</c:v>
                </c:pt>
                <c:pt idx="684">
                  <c:v>2689.3751471012065</c:v>
                </c:pt>
                <c:pt idx="685">
                  <c:v>2688.8779946533723</c:v>
                </c:pt>
                <c:pt idx="686">
                  <c:v>2688.2831530087851</c:v>
                </c:pt>
                <c:pt idx="687">
                  <c:v>2687.5907043307138</c:v>
                </c:pt>
                <c:pt idx="688">
                  <c:v>2686.8007315600489</c:v>
                </c:pt>
                <c:pt idx="689">
                  <c:v>2685.9133185662195</c:v>
                </c:pt>
                <c:pt idx="690">
                  <c:v>2684.9285502941534</c:v>
                </c:pt>
                <c:pt idx="691">
                  <c:v>2683.8465129069314</c:v>
                </c:pt>
                <c:pt idx="692">
                  <c:v>2682.6672939238238</c:v>
                </c:pt>
                <c:pt idx="693">
                  <c:v>2681.3909823534509</c:v>
                </c:pt>
                <c:pt idx="694">
                  <c:v>2680.0176688218467</c:v>
                </c:pt>
                <c:pt idx="695">
                  <c:v>2678.5474456952556</c:v>
                </c:pt>
                <c:pt idx="696">
                  <c:v>2676.9804071975368</c:v>
                </c:pt>
                <c:pt idx="697">
                  <c:v>2675.3166495220885</c:v>
                </c:pt>
                <c:pt idx="698">
                  <c:v>2673.5562709382489</c:v>
                </c:pt>
                <c:pt idx="699">
                  <c:v>2671.6993718921703</c:v>
                </c:pt>
                <c:pt idx="700">
                  <c:v>2669.7460551021886</c:v>
                </c:pt>
                <c:pt idx="701">
                  <c:v>2667.6964256487495</c:v>
                </c:pt>
                <c:pt idx="702">
                  <c:v>2665.5505910589764</c:v>
                </c:pt>
                <c:pt idx="703">
                  <c:v>2663.3086613859846</c:v>
                </c:pt>
                <c:pt idx="704">
                  <c:v>2660.9707492830739</c:v>
                </c:pt>
                <c:pt idx="705">
                  <c:v>2658.5369700729425</c:v>
                </c:pt>
                <c:pt idx="706">
                  <c:v>2656.0074418120753</c:v>
                </c:pt>
                <c:pt idx="707">
                  <c:v>2653.3822853504817</c:v>
                </c:pt>
                <c:pt idx="708">
                  <c:v>2650.6616243869494</c:v>
                </c:pt>
                <c:pt idx="709">
                  <c:v>2647.8455855199968</c:v>
                </c:pt>
                <c:pt idx="710">
                  <c:v>2644.9342982947069</c:v>
                </c:pt>
                <c:pt idx="711">
                  <c:v>2641.9278952456211</c:v>
                </c:pt>
                <c:pt idx="712">
                  <c:v>2638.8265119358775</c:v>
                </c:pt>
                <c:pt idx="713">
                  <c:v>2635.6302869927699</c:v>
                </c:pt>
                <c:pt idx="714">
                  <c:v>2632.339362139905</c:v>
                </c:pt>
                <c:pt idx="715">
                  <c:v>2628.9538822261261</c:v>
                </c:pt>
                <c:pt idx="716">
                  <c:v>2625.4739952513696</c:v>
                </c:pt>
                <c:pt idx="717">
                  <c:v>2621.8998523896139</c:v>
                </c:pt>
                <c:pt idx="718">
                  <c:v>2618.2316080090727</c:v>
                </c:pt>
                <c:pt idx="719">
                  <c:v>2614.4694196897822</c:v>
                </c:pt>
                <c:pt idx="720">
                  <c:v>2610.6134482387179</c:v>
                </c:pt>
                <c:pt idx="721">
                  <c:v>2606.6638577025778</c:v>
                </c:pt>
                <c:pt idx="722">
                  <c:v>2602.6208153783573</c:v>
                </c:pt>
                <c:pt idx="723">
                  <c:v>2598.4844918218328</c:v>
                </c:pt>
                <c:pt idx="724">
                  <c:v>2594.2550608540732</c:v>
                </c:pt>
                <c:pt idx="725">
                  <c:v>2589.9326995660804</c:v>
                </c:pt>
                <c:pt idx="726">
                  <c:v>2585.5175883216621</c:v>
                </c:pt>
                <c:pt idx="727">
                  <c:v>2581.0099107586307</c:v>
                </c:pt>
                <c:pt idx="728">
                  <c:v>2576.4098537884197</c:v>
                </c:pt>
                <c:pt idx="729">
                  <c:v>2571.7176075941989</c:v>
                </c:pt>
                <c:pt idx="730">
                  <c:v>2566.9333656275662</c:v>
                </c:pt>
                <c:pt idx="731">
                  <c:v>2562.0573246038944</c:v>
                </c:pt>
                <c:pt idx="732">
                  <c:v>2557.0896844963959</c:v>
                </c:pt>
                <c:pt idx="733">
                  <c:v>2552.0306485289752</c:v>
                </c:pt>
                <c:pt idx="734">
                  <c:v>2546.8804231679283</c:v>
                </c:pt>
                <c:pt idx="735">
                  <c:v>2541.6392181125434</c:v>
                </c:pt>
                <c:pt idx="736">
                  <c:v>2536.3072462846617</c:v>
                </c:pt>
                <c:pt idx="737">
                  <c:v>2530.884723817243</c:v>
                </c:pt>
                <c:pt idx="738">
                  <c:v>2525.3718700419854</c:v>
                </c:pt>
                <c:pt idx="739">
                  <c:v>2519.7689074760433</c:v>
                </c:pt>
                <c:pt idx="740">
                  <c:v>2514.0760618078839</c:v>
                </c:pt>
                <c:pt idx="741">
                  <c:v>2508.2935618823226</c:v>
                </c:pt>
                <c:pt idx="742">
                  <c:v>2502.4216396847705</c:v>
                </c:pt>
                <c:pt idx="743">
                  <c:v>2496.4605303247322</c:v>
                </c:pt>
                <c:pt idx="744">
                  <c:v>2490.4104720185824</c:v>
                </c:pt>
                <c:pt idx="745">
                  <c:v>2484.2717060716536</c:v>
                </c:pt>
                <c:pt idx="746">
                  <c:v>2478.0444768596626</c:v>
                </c:pt>
                <c:pt idx="747">
                  <c:v>2471.7290318095033</c:v>
                </c:pt>
                <c:pt idx="748">
                  <c:v>2465.3256213794302</c:v>
                </c:pt>
                <c:pt idx="749">
                  <c:v>2458.8344990386568</c:v>
                </c:pt>
                <c:pt idx="750">
                  <c:v>2452.2559212463916</c:v>
                </c:pt>
                <c:pt idx="751">
                  <c:v>2445.5901474303341</c:v>
                </c:pt>
                <c:pt idx="752">
                  <c:v>2438.8374399646473</c:v>
                </c:pt>
                <c:pt idx="753">
                  <c:v>2431.9980641474326</c:v>
                </c:pt>
                <c:pt idx="754">
                  <c:v>2425.0722881777183</c:v>
                </c:pt>
                <c:pt idx="755">
                  <c:v>2418.0603831319831</c:v>
                </c:pt>
                <c:pt idx="756">
                  <c:v>2410.9626229402315</c:v>
                </c:pt>
                <c:pt idx="757">
                  <c:v>2403.779284361633</c:v>
                </c:pt>
                <c:pt idx="758">
                  <c:v>2396.5106469597467</c:v>
                </c:pt>
                <c:pt idx="759">
                  <c:v>2389.1569930773376</c:v>
                </c:pt>
                <c:pt idx="760">
                  <c:v>2381.7186078108061</c:v>
                </c:pt>
                <c:pt idx="761">
                  <c:v>2374.1957789842386</c:v>
                </c:pt>
                <c:pt idx="762">
                  <c:v>2366.5887971230945</c:v>
                </c:pt>
                <c:pt idx="763">
                  <c:v>2358.8979554275415</c:v>
                </c:pt>
                <c:pt idx="764">
                  <c:v>2351.1235497454504</c:v>
                </c:pt>
                <c:pt idx="765">
                  <c:v>2343.2658785450603</c:v>
                </c:pt>
                <c:pt idx="766">
                  <c:v>2335.3252428873279</c:v>
                </c:pt>
                <c:pt idx="767">
                  <c:v>2327.3019463979676</c:v>
                </c:pt>
                <c:pt idx="768">
                  <c:v>2319.1962952391964</c:v>
                </c:pt>
                <c:pt idx="769">
                  <c:v>2311.0085980811905</c:v>
                </c:pt>
                <c:pt idx="770">
                  <c:v>2302.7391660732656</c:v>
                </c:pt>
                <c:pt idx="771">
                  <c:v>2294.38831281479</c:v>
                </c:pt>
                <c:pt idx="772">
                  <c:v>2285.9563543258369</c:v>
                </c:pt>
                <c:pt idx="773">
                  <c:v>2277.44360901759</c:v>
                </c:pt>
                <c:pt idx="774">
                  <c:v>2268.8503976625066</c:v>
                </c:pt>
                <c:pt idx="775">
                  <c:v>2260.1770433642478</c:v>
                </c:pt>
                <c:pt idx="776">
                  <c:v>2251.4238715273882</c:v>
                </c:pt>
                <c:pt idx="777">
                  <c:v>2242.5912098269046</c:v>
                </c:pt>
                <c:pt idx="778">
                  <c:v>2233.679388177462</c:v>
                </c:pt>
                <c:pt idx="779">
                  <c:v>2224.6887387024972</c:v>
                </c:pt>
                <c:pt idx="780">
                  <c:v>2215.6195957031105</c:v>
                </c:pt>
                <c:pt idx="781">
                  <c:v>2206.4722956267738</c:v>
                </c:pt>
                <c:pt idx="782">
                  <c:v>2197.2471770358616</c:v>
                </c:pt>
                <c:pt idx="783">
                  <c:v>2187.9445805760115</c:v>
                </c:pt>
                <c:pt idx="784">
                  <c:v>2178.5648489443238</c:v>
                </c:pt>
                <c:pt idx="785">
                  <c:v>2169.1083268574052</c:v>
                </c:pt>
                <c:pt idx="786">
                  <c:v>2159.5753610192642</c:v>
                </c:pt>
                <c:pt idx="787">
                  <c:v>2149.9663000890655</c:v>
                </c:pt>
                <c:pt idx="788">
                  <c:v>2140.2814946487515</c:v>
                </c:pt>
                <c:pt idx="789">
                  <c:v>2130.5212971705346</c:v>
                </c:pt>
                <c:pt idx="790">
                  <c:v>2120.6860619842696</c:v>
                </c:pt>
                <c:pt idx="791">
                  <c:v>2110.776145244713</c:v>
                </c:pt>
                <c:pt idx="792">
                  <c:v>2100.7919048986732</c:v>
                </c:pt>
                <c:pt idx="793">
                  <c:v>2090.7337006520615</c:v>
                </c:pt>
                <c:pt idx="794">
                  <c:v>2080.6018939368482</c:v>
                </c:pt>
                <c:pt idx="795">
                  <c:v>2070.3968478779293</c:v>
                </c:pt>
                <c:pt idx="796">
                  <c:v>2060.1189272599145</c:v>
                </c:pt>
                <c:pt idx="797">
                  <c:v>2049.7684984938373</c:v>
                </c:pt>
                <c:pt idx="798">
                  <c:v>2039.3459295837981</c:v>
                </c:pt>
                <c:pt idx="799">
                  <c:v>2028.851590093542</c:v>
                </c:pt>
                <c:pt idx="800">
                  <c:v>2018.2858511129821</c:v>
                </c:pt>
                <c:pt idx="801">
                  <c:v>2007.6490852246714</c:v>
                </c:pt>
                <c:pt idx="802">
                  <c:v>1996.9416664702296</c:v>
                </c:pt>
                <c:pt idx="803">
                  <c:v>1986.163970316732</c:v>
                </c:pt>
                <c:pt idx="804">
                  <c:v>1975.3163736230658</c:v>
                </c:pt>
                <c:pt idx="805">
                  <c:v>1964.3992546062589</c:v>
                </c:pt>
                <c:pt idx="806">
                  <c:v>1953.4129928077882</c:v>
                </c:pt>
                <c:pt idx="807">
                  <c:v>1942.3579690598738</c:v>
                </c:pt>
                <c:pt idx="808">
                  <c:v>1931.2345654517619</c:v>
                </c:pt>
                <c:pt idx="809">
                  <c:v>1920.0431652960065</c:v>
                </c:pt>
                <c:pt idx="810">
                  <c:v>1908.784153094751</c:v>
                </c:pt>
                <c:pt idx="811">
                  <c:v>1897.4579145060197</c:v>
                </c:pt>
                <c:pt idx="812">
                  <c:v>1886.0648363100206</c:v>
                </c:pt>
                <c:pt idx="813">
                  <c:v>1874.6053063754687</c:v>
                </c:pt>
                <c:pt idx="814">
                  <c:v>1863.0797136259332</c:v>
                </c:pt>
                <c:pt idx="815">
                  <c:v>1851.4884480062142</c:v>
                </c:pt>
                <c:pt idx="816">
                  <c:v>1839.8319004487557</c:v>
                </c:pt>
                <c:pt idx="817">
                  <c:v>1828.1104628400985</c:v>
                </c:pt>
                <c:pt idx="818">
                  <c:v>1816.3245279873793</c:v>
                </c:pt>
                <c:pt idx="819">
                  <c:v>1804.4744895848814</c:v>
                </c:pt>
                <c:pt idx="820">
                  <c:v>1792.5607421806421</c:v>
                </c:pt>
                <c:pt idx="821">
                  <c:v>1780.5836811431216</c:v>
                </c:pt>
                <c:pt idx="822">
                  <c:v>1768.5437026279385</c:v>
                </c:pt>
                <c:pt idx="823">
                  <c:v>1756.4412035446785</c:v>
                </c:pt>
                <c:pt idx="824">
                  <c:v>1744.2765815237792</c:v>
                </c:pt>
                <c:pt idx="825">
                  <c:v>1732.0502348834975</c:v>
                </c:pt>
                <c:pt idx="826">
                  <c:v>1719.7625625969638</c:v>
                </c:pt>
                <c:pt idx="827">
                  <c:v>1707.4139642593286</c:v>
                </c:pt>
                <c:pt idx="828">
                  <c:v>1695.0048400550061</c:v>
                </c:pt>
                <c:pt idx="829">
                  <c:v>1682.5355907250184</c:v>
                </c:pt>
                <c:pt idx="830">
                  <c:v>1670.0066175344484</c:v>
                </c:pt>
                <c:pt idx="831">
                  <c:v>1657.4183222400011</c:v>
                </c:pt>
                <c:pt idx="832">
                  <c:v>1644.7711070576829</c:v>
                </c:pt>
                <c:pt idx="833">
                  <c:v>1632.0653746306009</c:v>
                </c:pt>
                <c:pt idx="834">
                  <c:v>1619.3015279968865</c:v>
                </c:pt>
                <c:pt idx="835">
                  <c:v>1606.4799705577491</c:v>
                </c:pt>
                <c:pt idx="836">
                  <c:v>1593.6011060456638</c:v>
                </c:pt>
                <c:pt idx="837">
                  <c:v>1580.6653384926974</c:v>
                </c:pt>
                <c:pt idx="838">
                  <c:v>1567.6730721989773</c:v>
                </c:pt>
                <c:pt idx="839">
                  <c:v>1554.6247117013068</c:v>
                </c:pt>
                <c:pt idx="840">
                  <c:v>1541.5206617419321</c:v>
                </c:pt>
                <c:pt idx="841">
                  <c:v>1528.361327237465</c:v>
                </c:pt>
                <c:pt idx="842">
                  <c:v>1515.1471132479644</c:v>
                </c:pt>
                <c:pt idx="843">
                  <c:v>1501.8784249461814</c:v>
                </c:pt>
                <c:pt idx="844">
                  <c:v>1488.5556675869725</c:v>
                </c:pt>
                <c:pt idx="845">
                  <c:v>1475.1792464768841</c:v>
                </c:pt>
                <c:pt idx="846">
                  <c:v>1461.7495669439122</c:v>
                </c:pt>
                <c:pt idx="847">
                  <c:v>1448.2670343074403</c:v>
                </c:pt>
                <c:pt idx="848">
                  <c:v>1434.7320538483625</c:v>
                </c:pt>
                <c:pt idx="849">
                  <c:v>1421.1450307793905</c:v>
                </c:pt>
                <c:pt idx="850">
                  <c:v>1407.506370215553</c:v>
                </c:pt>
                <c:pt idx="851">
                  <c:v>1393.8164771448874</c:v>
                </c:pt>
                <c:pt idx="852">
                  <c:v>1380.0757563993288</c:v>
                </c:pt>
                <c:pt idx="853">
                  <c:v>1366.2846126258014</c:v>
                </c:pt>
                <c:pt idx="854">
                  <c:v>1352.4434502575109</c:v>
                </c:pt>
                <c:pt idx="855">
                  <c:v>1338.552673485447</c:v>
                </c:pt>
                <c:pt idx="856">
                  <c:v>1324.6126862300951</c:v>
                </c:pt>
                <c:pt idx="857">
                  <c:v>1310.6238921133615</c:v>
                </c:pt>
                <c:pt idx="858">
                  <c:v>1296.5866944307165</c:v>
                </c:pt>
                <c:pt idx="859">
                  <c:v>1282.5014961235559</c:v>
                </c:pt>
                <c:pt idx="860">
                  <c:v>1268.3686997517864</c:v>
                </c:pt>
                <c:pt idx="861">
                  <c:v>1254.1887074666365</c:v>
                </c:pt>
                <c:pt idx="862">
                  <c:v>1239.9619209836953</c:v>
                </c:pt>
                <c:pt idx="863">
                  <c:v>1225.6887415561832</c:v>
                </c:pt>
                <c:pt idx="864">
                  <c:v>1211.369569948456</c:v>
                </c:pt>
                <c:pt idx="865">
                  <c:v>1197.0048064097464</c:v>
                </c:pt>
                <c:pt idx="866">
                  <c:v>1182.5948506481438</c:v>
                </c:pt>
                <c:pt idx="867">
                  <c:v>1168.1401018048159</c:v>
                </c:pt>
                <c:pt idx="868">
                  <c:v>1153.6409584284747</c:v>
                </c:pt>
                <c:pt idx="869">
                  <c:v>1139.0978184500882</c:v>
                </c:pt>
                <c:pt idx="870">
                  <c:v>1124.5110791578413</c:v>
                </c:pt>
                <c:pt idx="871">
                  <c:v>1109.8811371723473</c:v>
                </c:pt>
                <c:pt idx="872">
                  <c:v>1095.208388422112</c:v>
                </c:pt>
                <c:pt idx="873">
                  <c:v>1080.4932281192537</c:v>
                </c:pt>
                <c:pt idx="874">
                  <c:v>1065.7360507354792</c:v>
                </c:pt>
                <c:pt idx="875">
                  <c:v>1050.9372499783196</c:v>
                </c:pt>
                <c:pt idx="876">
                  <c:v>1036.0972187676261</c:v>
                </c:pt>
                <c:pt idx="877">
                  <c:v>1021.2163492123287</c:v>
                </c:pt>
                <c:pt idx="878">
                  <c:v>1006.2950325874593</c:v>
                </c:pt>
                <c:pt idx="879">
                  <c:v>991.33365931144056</c:v>
                </c:pt>
                <c:pt idx="880">
                  <c:v>976.33261892364226</c:v>
                </c:pt>
                <c:pt idx="881">
                  <c:v>961.29230006220655</c:v>
                </c:pt>
                <c:pt idx="882">
                  <c:v>946.21309044214365</c:v>
                </c:pt>
                <c:pt idx="883">
                  <c:v>931.09537683369945</c:v>
                </c:pt>
                <c:pt idx="884">
                  <c:v>915.93954504099577</c:v>
                </c:pt>
                <c:pt idx="885">
                  <c:v>900.74597988094547</c:v>
                </c:pt>
                <c:pt idx="886">
                  <c:v>885.51506516244262</c:v>
                </c:pt>
                <c:pt idx="887">
                  <c:v>870.2471836658292</c:v>
                </c:pt>
                <c:pt idx="888">
                  <c:v>854.94271712263912</c:v>
                </c:pt>
                <c:pt idx="889">
                  <c:v>839.6020461956216</c:v>
                </c:pt>
                <c:pt idx="890">
                  <c:v>824.22555045904267</c:v>
                </c:pt>
                <c:pt idx="891">
                  <c:v>808.81360837926786</c:v>
                </c:pt>
                <c:pt idx="892">
                  <c:v>793.36659729562541</c:v>
                </c:pt>
                <c:pt idx="893">
                  <c:v>777.8848934015507</c:v>
                </c:pt>
                <c:pt idx="894">
                  <c:v>762.36887172601371</c:v>
                </c:pt>
                <c:pt idx="895">
                  <c:v>746.81890611522874</c:v>
                </c:pt>
                <c:pt idx="896">
                  <c:v>731.23536921464722</c:v>
                </c:pt>
                <c:pt idx="897">
                  <c:v>715.61863245123448</c:v>
                </c:pt>
                <c:pt idx="898">
                  <c:v>699.96906601603064</c:v>
                </c:pt>
                <c:pt idx="899">
                  <c:v>684.28703884699542</c:v>
                </c:pt>
                <c:pt idx="900">
                  <c:v>668.57291861213776</c:v>
                </c:pt>
                <c:pt idx="901">
                  <c:v>652.82707169292996</c:v>
                </c:pt>
                <c:pt idx="902">
                  <c:v>637.0498631680066</c:v>
                </c:pt>
                <c:pt idx="903">
                  <c:v>621.24165679714861</c:v>
                </c:pt>
                <c:pt idx="904">
                  <c:v>605.40281500555182</c:v>
                </c:pt>
                <c:pt idx="905">
                  <c:v>589.53369886837993</c:v>
                </c:pt>
                <c:pt idx="906">
                  <c:v>573.63466809560305</c:v>
                </c:pt>
                <c:pt idx="907">
                  <c:v>557.70608101711946</c:v>
                </c:pt>
                <c:pt idx="908">
                  <c:v>541.74829456816224</c:v>
                </c:pt>
                <c:pt idx="909">
                  <c:v>525.76166427498947</c:v>
                </c:pt>
                <c:pt idx="910">
                  <c:v>509.74654424085759</c:v>
                </c:pt>
                <c:pt idx="911">
                  <c:v>493.70328713227815</c:v>
                </c:pt>
                <c:pt idx="912">
                  <c:v>477.63224416555676</c:v>
                </c:pt>
                <c:pt idx="913">
                  <c:v>461.53376509361408</c:v>
                </c:pt>
                <c:pt idx="914">
                  <c:v>445.4081981930882</c:v>
                </c:pt>
                <c:pt idx="915">
                  <c:v>429.25589025171746</c:v>
                </c:pt>
                <c:pt idx="916">
                  <c:v>413.07718655600354</c:v>
                </c:pt>
                <c:pt idx="917">
                  <c:v>396.87243087915357</c:v>
                </c:pt>
                <c:pt idx="918">
                  <c:v>380.64196546930066</c:v>
                </c:pt>
                <c:pt idx="919">
                  <c:v>364.38613103800208</c:v>
                </c:pt>
                <c:pt idx="920">
                  <c:v>348.10526674901399</c:v>
                </c:pt>
                <c:pt idx="921">
                  <c:v>331.79971020734172</c:v>
                </c:pt>
                <c:pt idx="922">
                  <c:v>315.46979744856486</c:v>
                </c:pt>
                <c:pt idx="923">
                  <c:v>299.115862928436</c:v>
                </c:pt>
                <c:pt idx="924">
                  <c:v>282.73823951275159</c:v>
                </c:pt>
                <c:pt idx="925">
                  <c:v>266.33725846749462</c:v>
                </c:pt>
                <c:pt idx="926">
                  <c:v>249.91324944924708</c:v>
                </c:pt>
                <c:pt idx="927">
                  <c:v>233.46654049587147</c:v>
                </c:pt>
                <c:pt idx="928">
                  <c:v>216.99745801745991</c:v>
                </c:pt>
                <c:pt idx="929">
                  <c:v>200.50632678754948</c:v>
                </c:pt>
                <c:pt idx="930">
                  <c:v>183.99346993460256</c:v>
                </c:pt>
                <c:pt idx="931">
                  <c:v>167.45920893375052</c:v>
                </c:pt>
                <c:pt idx="932">
                  <c:v>150.90386359879969</c:v>
                </c:pt>
                <c:pt idx="933">
                  <c:v>134.32775207449771</c:v>
                </c:pt>
                <c:pt idx="934">
                  <c:v>117.73119082905899</c:v>
                </c:pt>
                <c:pt idx="935">
                  <c:v>101.11449464694763</c:v>
                </c:pt>
                <c:pt idx="936">
                  <c:v>84.477976621916227</c:v>
                </c:pt>
                <c:pt idx="937">
                  <c:v>67.82194815029888</c:v>
                </c:pt>
                <c:pt idx="938">
                  <c:v>51.146718924556794</c:v>
                </c:pt>
                <c:pt idx="939">
                  <c:v>34.452596927074723</c:v>
                </c:pt>
                <c:pt idx="940">
                  <c:v>17.739888424206502</c:v>
                </c:pt>
                <c:pt idx="941">
                  <c:v>1.0088979605679498</c:v>
                </c:pt>
                <c:pt idx="942">
                  <c:v>-15.740071646424692</c:v>
                </c:pt>
                <c:pt idx="943">
                  <c:v>-15.756829538879217</c:v>
                </c:pt>
                <c:pt idx="944">
                  <c:v>-15.773587448861541</c:v>
                </c:pt>
                <c:pt idx="945">
                  <c:v>-15.790345376371368</c:v>
                </c:pt>
                <c:pt idx="946">
                  <c:v>-15.8071033214084</c:v>
                </c:pt>
                <c:pt idx="947">
                  <c:v>-15.82386128397234</c:v>
                </c:pt>
                <c:pt idx="948">
                  <c:v>-15.840619264062887</c:v>
                </c:pt>
                <c:pt idx="949">
                  <c:v>-15.857377261679746</c:v>
                </c:pt>
                <c:pt idx="950">
                  <c:v>-15.874135276822619</c:v>
                </c:pt>
                <c:pt idx="951">
                  <c:v>-15.890893309491206</c:v>
                </c:pt>
                <c:pt idx="952">
                  <c:v>-15.907651359685211</c:v>
                </c:pt>
                <c:pt idx="953">
                  <c:v>-15.924409427404335</c:v>
                </c:pt>
                <c:pt idx="954">
                  <c:v>-15.941167512648281</c:v>
                </c:pt>
                <c:pt idx="955">
                  <c:v>-15.95792561541675</c:v>
                </c:pt>
                <c:pt idx="956">
                  <c:v>-15.974683735709444</c:v>
                </c:pt>
                <c:pt idx="957">
                  <c:v>-15.991441873526067</c:v>
                </c:pt>
                <c:pt idx="958">
                  <c:v>-16.00820002886632</c:v>
                </c:pt>
                <c:pt idx="959">
                  <c:v>-16.024958201729905</c:v>
                </c:pt>
                <c:pt idx="960">
                  <c:v>-16.041716392116523</c:v>
                </c:pt>
                <c:pt idx="961">
                  <c:v>-16.058474600025878</c:v>
                </c:pt>
                <c:pt idx="962">
                  <c:v>-16.075232825457672</c:v>
                </c:pt>
                <c:pt idx="963">
                  <c:v>-16.091991068411605</c:v>
                </c:pt>
                <c:pt idx="964">
                  <c:v>-16.108749328887381</c:v>
                </c:pt>
                <c:pt idx="965">
                  <c:v>-16.125507606884703</c:v>
                </c:pt>
                <c:pt idx="966">
                  <c:v>-16.14226590240327</c:v>
                </c:pt>
                <c:pt idx="967">
                  <c:v>-16.159024215442788</c:v>
                </c:pt>
                <c:pt idx="968">
                  <c:v>-16.175782546002957</c:v>
                </c:pt>
                <c:pt idx="969">
                  <c:v>-16.192540894083479</c:v>
                </c:pt>
                <c:pt idx="970">
                  <c:v>-16.209299259684055</c:v>
                </c:pt>
                <c:pt idx="971">
                  <c:v>-16.226057642804388</c:v>
                </c:pt>
                <c:pt idx="972">
                  <c:v>-16.242816043444183</c:v>
                </c:pt>
                <c:pt idx="973">
                  <c:v>-16.259574461603137</c:v>
                </c:pt>
                <c:pt idx="974">
                  <c:v>-16.276332897280955</c:v>
                </c:pt>
                <c:pt idx="975">
                  <c:v>-16.29309135047734</c:v>
                </c:pt>
                <c:pt idx="976">
                  <c:v>-16.309849821191992</c:v>
                </c:pt>
                <c:pt idx="977">
                  <c:v>-16.326608309424614</c:v>
                </c:pt>
                <c:pt idx="978">
                  <c:v>-16.34336681517491</c:v>
                </c:pt>
                <c:pt idx="979">
                  <c:v>-16.360125338442579</c:v>
                </c:pt>
                <c:pt idx="980">
                  <c:v>-16.376883879227325</c:v>
                </c:pt>
                <c:pt idx="981">
                  <c:v>-16.39364243752885</c:v>
                </c:pt>
                <c:pt idx="982">
                  <c:v>-16.410401013346856</c:v>
                </c:pt>
                <c:pt idx="983">
                  <c:v>-16.427159606681045</c:v>
                </c:pt>
                <c:pt idx="984">
                  <c:v>-16.443918217531117</c:v>
                </c:pt>
                <c:pt idx="985">
                  <c:v>-16.460676845896778</c:v>
                </c:pt>
                <c:pt idx="986">
                  <c:v>-16.477435491777726</c:v>
                </c:pt>
                <c:pt idx="987">
                  <c:v>-16.494194155173666</c:v>
                </c:pt>
                <c:pt idx="988">
                  <c:v>-16.5109528360843</c:v>
                </c:pt>
                <c:pt idx="989">
                  <c:v>-16.527711534509333</c:v>
                </c:pt>
                <c:pt idx="990">
                  <c:v>-16.544470250448462</c:v>
                </c:pt>
                <c:pt idx="991">
                  <c:v>-16.56122898390139</c:v>
                </c:pt>
                <c:pt idx="992">
                  <c:v>-16.577987734867822</c:v>
                </c:pt>
                <c:pt idx="993">
                  <c:v>-16.594746503347459</c:v>
                </c:pt>
                <c:pt idx="994">
                  <c:v>-16.611505289340002</c:v>
                </c:pt>
                <c:pt idx="995">
                  <c:v>-16.628264092845153</c:v>
                </c:pt>
                <c:pt idx="996">
                  <c:v>-16.645022913862615</c:v>
                </c:pt>
                <c:pt idx="997">
                  <c:v>-16.661781752392091</c:v>
                </c:pt>
                <c:pt idx="998">
                  <c:v>-16.678540608433284</c:v>
                </c:pt>
                <c:pt idx="999">
                  <c:v>-16.695299481985892</c:v>
                </c:pt>
                <c:pt idx="1000">
                  <c:v>-16.712058373049619</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800"/>
</file>

<file path=xl/ctrlProps/ctrlProp12.xml><?xml version="1.0" encoding="utf-8"?>
<formControlPr xmlns="http://schemas.microsoft.com/office/spreadsheetml/2009/9/main" objectType="Spin" dx="15" fmlaLink="$C$11" inc="100" max="30000" noThreeD="1" page="10" val="8100"/>
</file>

<file path=xl/ctrlProps/ctrlProp13.xml><?xml version="1.0" encoding="utf-8"?>
<formControlPr xmlns="http://schemas.microsoft.com/office/spreadsheetml/2009/9/main" objectType="Spin" dx="15" fmlaLink="$C$11" inc="100" max="30000" noThreeD="1" page="10" val="8100"/>
</file>

<file path=xl/ctrlProps/ctrlProp14.xml><?xml version="1.0" encoding="utf-8"?>
<formControlPr xmlns="http://schemas.microsoft.com/office/spreadsheetml/2009/9/main" objectType="Spin" dx="15" fmlaLink="Stabilito!C11" inc="100" max="30000" noThreeD="1" page="10" val="8100"/>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299"/>
</file>

<file path=xl/ctrlProps/ctrlProp18.xml><?xml version="1.0" encoding="utf-8"?>
<formControlPr xmlns="http://schemas.microsoft.com/office/spreadsheetml/2009/9/main" objectType="Spin" dx="15" fmlaLink="$B$53" inc="5" max="30000" noThreeD="1" page="10" val="29"/>
</file>

<file path=xl/ctrlProps/ctrlProp19.xml><?xml version="1.0" encoding="utf-8"?>
<formControlPr xmlns="http://schemas.microsoft.com/office/spreadsheetml/2009/9/main" objectType="Spin" dx="15" fmlaLink="Stabilito!C11" inc="100" max="30000" noThreeD="1" page="10" val="8100"/>
</file>

<file path=xl/ctrlProps/ctrlProp2.xml><?xml version="1.0" encoding="utf-8"?>
<formControlPr xmlns="http://schemas.microsoft.com/office/spreadsheetml/2009/9/main" objectType="Spin" dx="15" fmlaLink="$C$11" inc="100" max="30000" noThreeD="1" page="10" val="8100"/>
</file>

<file path=xl/ctrlProps/ctrlProp20.xml><?xml version="1.0" encoding="utf-8"?>
<formControlPr xmlns="http://schemas.microsoft.com/office/spreadsheetml/2009/9/main" objectType="Spin" dx="15" fmlaLink="Stabilito!C11" inc="100" max="30000" noThreeD="1" page="10" val="8100"/>
</file>

<file path=xl/ctrlProps/ctrlProp3.xml><?xml version="1.0" encoding="utf-8"?>
<formControlPr xmlns="http://schemas.microsoft.com/office/spreadsheetml/2009/9/main" objectType="Spin" dx="15" fmlaLink="$C$12" inc="50" max="30000" noThreeD="1" page="10" val="95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20"/>
</file>

<file path=xl/ctrlProps/ctrlProp6.xml><?xml version="1.0" encoding="utf-8"?>
<formControlPr xmlns="http://schemas.microsoft.com/office/spreadsheetml/2009/9/main" objectType="Spin" dx="15" fmlaLink="$C$28" inc="10" max="30000" noThreeD="1" page="10" val="10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5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10" zoomScaleNormal="100" zoomScaleSheetLayoutView="100" workbookViewId="0">
      <selection activeCell="C27" sqref="C27"/>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73" t="s">
        <v>54</v>
      </c>
      <c r="D2" s="673"/>
      <c r="E2" s="114"/>
      <c r="F2" s="37"/>
      <c r="G2" s="37"/>
      <c r="H2" s="37"/>
      <c r="I2" s="37"/>
      <c r="J2" s="34"/>
      <c r="K2" s="34"/>
      <c r="L2" s="180" t="str">
        <f>"Language/Langue"</f>
        <v>Language/Langue</v>
      </c>
      <c r="M2" s="649" t="s">
        <v>1</v>
      </c>
      <c r="N2" s="649"/>
      <c r="O2" s="649"/>
      <c r="P2" s="650"/>
      <c r="Q2" s="38"/>
      <c r="R2" s="34"/>
    </row>
    <row r="3" spans="1:20" ht="12.75" customHeight="1" x14ac:dyDescent="0.25">
      <c r="A3" s="36"/>
      <c r="B3" s="34"/>
      <c r="C3" s="673"/>
      <c r="D3" s="673"/>
      <c r="E3" s="114"/>
      <c r="F3" s="37"/>
      <c r="G3" s="37"/>
      <c r="H3" s="37"/>
      <c r="I3" s="37"/>
      <c r="J3" s="34"/>
      <c r="K3" s="34"/>
      <c r="L3" s="660"/>
      <c r="M3" s="660"/>
      <c r="N3" s="214"/>
      <c r="O3" s="34"/>
      <c r="P3" s="34"/>
      <c r="Q3" s="38"/>
      <c r="R3" s="34"/>
    </row>
    <row r="4" spans="1:20" ht="12.75" customHeight="1" x14ac:dyDescent="0.25">
      <c r="A4" s="36"/>
      <c r="B4" s="34"/>
      <c r="C4" s="674" t="str">
        <f>IF(Lang="Français","Stabilité de fusée à ailerons",IF(Lang="English","Stability for rocket with fins",""))</f>
        <v>Stabilité de fusée à ailerons</v>
      </c>
      <c r="D4" s="674"/>
      <c r="E4" s="114"/>
      <c r="F4" s="37"/>
      <c r="G4" s="37"/>
      <c r="H4" s="37"/>
      <c r="I4" s="37"/>
      <c r="J4" s="34"/>
      <c r="K4" s="34"/>
      <c r="L4" s="45"/>
      <c r="M4" s="649" t="s">
        <v>552</v>
      </c>
      <c r="N4" s="649"/>
      <c r="O4" s="649"/>
      <c r="P4" s="650"/>
      <c r="Q4" s="38"/>
      <c r="R4" s="34"/>
    </row>
    <row r="5" spans="1:20" ht="12.75" customHeight="1" x14ac:dyDescent="0.3">
      <c r="A5" s="36"/>
      <c r="B5" s="39"/>
      <c r="C5" s="688"/>
      <c r="D5" s="688"/>
      <c r="E5" s="114"/>
      <c r="F5" s="37"/>
      <c r="G5" s="37"/>
      <c r="H5" s="37"/>
      <c r="I5" s="37"/>
      <c r="J5" s="34"/>
      <c r="K5" s="34"/>
      <c r="L5" s="45"/>
      <c r="M5" s="680" t="s">
        <v>157</v>
      </c>
      <c r="N5" s="681"/>
      <c r="O5" s="663" t="s">
        <v>158</v>
      </c>
      <c r="P5" s="663"/>
      <c r="Q5" s="40"/>
      <c r="R5" s="34"/>
    </row>
    <row r="6" spans="1:20" ht="12.75" customHeight="1" thickBot="1" x14ac:dyDescent="0.3">
      <c r="A6" s="36"/>
      <c r="B6" s="111"/>
      <c r="C6" s="698" t="str">
        <f>IF(Lang="Français","Remplir les cases jaunes",IF(Lang="English","Fill-in yellow cells only",""))</f>
        <v>Remplir les cases jaunes</v>
      </c>
      <c r="D6" s="698"/>
      <c r="E6" s="114"/>
      <c r="F6" s="37"/>
      <c r="G6" s="37"/>
      <c r="H6" s="37"/>
      <c r="I6" s="37"/>
      <c r="J6" s="34"/>
      <c r="K6" s="34"/>
      <c r="L6" s="172" t="str">
        <f>IF(Lang="Français","Longueur      'L'",IF(Lang="English","Length      'L'",""))</f>
        <v>Longueur      'L'</v>
      </c>
      <c r="M6" s="669">
        <v>50</v>
      </c>
      <c r="N6" s="670"/>
      <c r="O6" s="655">
        <v>50</v>
      </c>
      <c r="P6" s="655"/>
      <c r="Q6" s="40"/>
      <c r="R6" s="34"/>
    </row>
    <row r="7" spans="1:20" ht="12.75" customHeight="1" thickTop="1" thickBot="1" x14ac:dyDescent="0.3">
      <c r="A7" s="36"/>
      <c r="B7" s="42"/>
      <c r="C7" s="676" t="str">
        <f>IF(Lang="Français","Fusée",IF(Lang="English","Rocket",""))</f>
        <v>Fusée</v>
      </c>
      <c r="D7" s="677"/>
      <c r="E7" s="114"/>
      <c r="F7" s="37"/>
      <c r="G7" s="37"/>
      <c r="H7" s="37"/>
      <c r="I7" s="37"/>
      <c r="J7" s="34"/>
      <c r="K7" s="34"/>
      <c r="L7" s="172" t="str">
        <f>IF(Lang="Français","Diamètre     'D1'",IF(Lang="English","Diameter 'D1'",""))</f>
        <v>Diamètre     'D1'</v>
      </c>
      <c r="M7" s="669">
        <f>D_og</f>
        <v>100</v>
      </c>
      <c r="N7" s="670"/>
      <c r="O7" s="655">
        <f>D2j</f>
        <v>80</v>
      </c>
      <c r="P7" s="655"/>
      <c r="Q7" s="40"/>
      <c r="R7" s="34"/>
    </row>
    <row r="8" spans="1:20" ht="12.75" customHeight="1" thickTop="1" x14ac:dyDescent="0.25">
      <c r="A8" s="36"/>
      <c r="B8" s="171" t="str">
        <f>IF(Lang="Français","Nom",IF(Lang="English","Name",""))</f>
        <v>Nom</v>
      </c>
      <c r="C8" s="699" t="s">
        <v>557</v>
      </c>
      <c r="D8" s="699"/>
      <c r="E8" s="115"/>
      <c r="F8" s="37"/>
      <c r="G8" s="37"/>
      <c r="H8" s="37"/>
      <c r="I8" s="37"/>
      <c r="J8" s="34"/>
      <c r="K8" s="44"/>
      <c r="L8" s="172" t="str">
        <f>IF(Lang="Français","Diamètre     'D2'",IF(Lang="English","Diameter 'D2'",""))</f>
        <v>Diamètre     'D2'</v>
      </c>
      <c r="M8" s="669">
        <v>80</v>
      </c>
      <c r="N8" s="670"/>
      <c r="O8" s="655">
        <f>D_og</f>
        <v>100</v>
      </c>
      <c r="P8" s="655"/>
      <c r="Q8" s="40"/>
      <c r="R8" s="34"/>
    </row>
    <row r="9" spans="1:20" ht="12.75" customHeight="1" x14ac:dyDescent="0.25">
      <c r="A9" s="36"/>
      <c r="B9" s="171" t="s">
        <v>4</v>
      </c>
      <c r="C9" s="700" t="s">
        <v>558</v>
      </c>
      <c r="D9" s="700"/>
      <c r="E9" s="115"/>
      <c r="F9" s="37"/>
      <c r="G9" s="37"/>
      <c r="H9" s="37"/>
      <c r="I9" s="37"/>
      <c r="J9" s="34"/>
      <c r="K9" s="44"/>
      <c r="L9" s="172" t="str">
        <f>IF(Lang="Français","Implantation 'x'",IF(Lang="English","Basement 'x'",""))</f>
        <v>Implantation 'x'</v>
      </c>
      <c r="M9" s="669">
        <v>300</v>
      </c>
      <c r="N9" s="670"/>
      <c r="O9" s="655">
        <v>500</v>
      </c>
      <c r="P9" s="655"/>
      <c r="Q9" s="40"/>
      <c r="R9" s="34"/>
    </row>
    <row r="10" spans="1:20" ht="12.75" customHeight="1" x14ac:dyDescent="0.25">
      <c r="A10" s="36"/>
      <c r="B10" s="172" t="s">
        <v>55</v>
      </c>
      <c r="C10" s="678" t="s">
        <v>559</v>
      </c>
      <c r="D10" s="67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8100</v>
      </c>
      <c r="D11" s="47" t="s">
        <v>425</v>
      </c>
      <c r="E11" s="116"/>
      <c r="F11" s="37"/>
      <c r="G11" s="37"/>
      <c r="H11" s="37"/>
      <c r="I11" s="37"/>
      <c r="J11" s="34"/>
      <c r="K11" s="45"/>
      <c r="L11" s="136"/>
      <c r="M11" s="262" t="str">
        <f>IF(Lang="Français","Propu plein",IF(Lang="English","Loaded Motor",""))</f>
        <v>Propu plein</v>
      </c>
      <c r="N11" s="661" t="str">
        <f>IF(Lang="Français","Propu vide",IF(Lang="English","Empty Motor",""))</f>
        <v>Propu vide</v>
      </c>
      <c r="O11" s="662"/>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950</v>
      </c>
      <c r="D12" s="47" t="s">
        <v>425</v>
      </c>
      <c r="E12" s="114"/>
      <c r="F12" s="37"/>
      <c r="G12" s="37"/>
      <c r="H12" s="37"/>
      <c r="I12" s="37"/>
      <c r="J12" s="34"/>
      <c r="K12" s="34"/>
      <c r="L12" s="137" t="str">
        <f>IF(Lang="Français","Masse propu",IF(Lang="English","Motor Mass",""))</f>
        <v>Masse propu</v>
      </c>
      <c r="M12" s="138">
        <f ca="1">MpropuPlein</f>
        <v>3.5110000000000001</v>
      </c>
      <c r="N12" s="653">
        <f ca="1">MpropuVide</f>
        <v>1.6379999999999999</v>
      </c>
      <c r="O12" s="654"/>
      <c r="P12" s="139" t="s">
        <v>14</v>
      </c>
      <c r="Q12" s="40"/>
      <c r="R12" s="34"/>
      <c r="S12" s="447" t="str">
        <f>IF(Lang="Français","Haut",IF(Lang="English","Top",""))</f>
        <v>Haut</v>
      </c>
      <c r="T12" s="448">
        <f ca="1">XpropuRef-Long_propu</f>
        <v>1314</v>
      </c>
    </row>
    <row r="13" spans="1:20" ht="12.75" customHeight="1" x14ac:dyDescent="0.25">
      <c r="A13" s="36"/>
      <c r="B13" s="172" t="str">
        <f>IF(Lang="Français","Longueur totale",IF(Lang="English","Total length",""))</f>
        <v>Longueur totale</v>
      </c>
      <c r="C13" s="669">
        <v>1800</v>
      </c>
      <c r="D13" s="670"/>
      <c r="E13" s="114"/>
      <c r="F13" s="37"/>
      <c r="G13" s="37"/>
      <c r="H13" s="37"/>
      <c r="I13" s="37"/>
      <c r="J13" s="34"/>
      <c r="K13" s="34"/>
      <c r="L13" s="137" t="str">
        <f>IF(Lang="Français","CdM propu",IF(Lang="English","Motor CoM",""))</f>
        <v>CdM propu</v>
      </c>
      <c r="M13" s="140">
        <f ca="1">XpropuPlein</f>
        <v>243</v>
      </c>
      <c r="N13" s="651">
        <f ca="1">XpropuVide</f>
        <v>243</v>
      </c>
      <c r="O13" s="652"/>
      <c r="P13" s="139" t="s">
        <v>14</v>
      </c>
      <c r="Q13" s="40"/>
      <c r="R13" s="34"/>
      <c r="S13" s="447" t="str">
        <f>IF(Lang="Français","Longueur",IF(Lang="English","Length",""))</f>
        <v>Longueur</v>
      </c>
      <c r="T13" s="448">
        <f ca="1">Long_propu</f>
        <v>486</v>
      </c>
    </row>
    <row r="14" spans="1:20" ht="12.75" customHeight="1" x14ac:dyDescent="0.25">
      <c r="A14" s="36"/>
      <c r="B14" s="172" t="str">
        <f>IF(Lang="Français","Diamètre Réf.",IF(Lang="English","Ref. Diameter",""))</f>
        <v>Diamètre Réf.</v>
      </c>
      <c r="C14" s="669">
        <f>D_og</f>
        <v>100</v>
      </c>
      <c r="D14" s="670"/>
      <c r="E14" s="114"/>
      <c r="F14" s="37"/>
      <c r="G14" s="37"/>
      <c r="H14" s="37"/>
      <c r="I14" s="37"/>
      <c r="J14" s="34"/>
      <c r="K14" s="34"/>
      <c r="L14" s="137" t="str">
        <f>IF(Lang="Français","Masse fusée",IF(Lang="English","Rocket Mass",""))</f>
        <v>Masse fusée</v>
      </c>
      <c r="M14" s="141">
        <f ca="1">MasseSans+MpropuPlein</f>
        <v>11.611000000000001</v>
      </c>
      <c r="N14" s="682">
        <f ca="1">MasseSans+MpropuVide</f>
        <v>9.7379999999999995</v>
      </c>
      <c r="O14" s="683"/>
      <c r="P14" s="138">
        <f>IF(OR(D11="sans propu",D11="without motor"),C11/1000,IF(OR(D11="avec propu vide",D11="with empty motor"),C11/1000-MpropuVide,IF(OR(D11="avec propu plein",D11="with loaded motor"),C11/1000-MpropuPlein,"Erreur")))</f>
        <v>8.1</v>
      </c>
      <c r="Q14" s="40"/>
      <c r="R14" s="34"/>
      <c r="S14" s="447" t="str">
        <f>IF(Lang="Français","Bas",IF(Lang="English","Base",""))</f>
        <v>Bas</v>
      </c>
      <c r="T14" s="448">
        <f>XpropuRef</f>
        <v>1800</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1133.5481009387649</v>
      </c>
      <c r="N15" s="684">
        <f ca="1">(XcgSans*MasseSans+(XpropuRef-Long_propu+XpropuVide)*MpropuVide)/MasseVide</f>
        <v>1052.1016635859519</v>
      </c>
      <c r="O15" s="685"/>
      <c r="P15" s="142">
        <f>IF(OR(D12="sans propu",D12="without motor"),C12,IF(OR(D12="avec propu vide",D12="with empty motor"),(C12*MasseVide-(XpropuRef-Long_propu+XpropuVide)*MpropuVide)/MasseSans,IF(OR(D12="avec propu plein",D12="with loaded motor"),(C12*MassePlein-(XpropuRef-Long_propu+XpropuPlein)*MpropuPlein)/MasseSans,"Erreur")))</f>
        <v>950</v>
      </c>
      <c r="Q15" s="40"/>
      <c r="R15" s="34"/>
    </row>
    <row r="16" spans="1:20" ht="12.75" customHeight="1" thickTop="1" thickBot="1" x14ac:dyDescent="0.3">
      <c r="A16" s="36"/>
      <c r="B16" s="34"/>
      <c r="C16" s="690" t="str">
        <f>IF(Lang="Français","Propulseur",IF(Lang="English","Motor",""))</f>
        <v>Propulseur</v>
      </c>
      <c r="D16" s="691"/>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92" t="s">
        <v>555</v>
      </c>
      <c r="D17" s="693"/>
      <c r="E17" s="114"/>
      <c r="F17" s="37"/>
      <c r="G17" s="37"/>
      <c r="H17" s="37"/>
      <c r="I17" s="37"/>
      <c r="J17" s="34"/>
      <c r="K17" s="34"/>
      <c r="L17" s="143"/>
      <c r="M17" s="686" t="s">
        <v>56</v>
      </c>
      <c r="N17" s="687"/>
      <c r="O17" s="664" t="s">
        <v>66</v>
      </c>
      <c r="P17" s="664"/>
      <c r="Q17" s="40"/>
      <c r="R17" s="34"/>
      <c r="S17" s="447" t="str">
        <f>IF(Lang="Français","Haut","Top")</f>
        <v>Haut</v>
      </c>
      <c r="T17" s="448">
        <f>X_ail-m_ail</f>
        <v>1580</v>
      </c>
    </row>
    <row r="18" spans="1:20" ht="12.75" customHeight="1" x14ac:dyDescent="0.25">
      <c r="A18" s="36"/>
      <c r="B18" s="172" t="str">
        <f>IF(Lang="Français","Position du bas",IF(Lang="English","Basement",""))</f>
        <v>Position du bas</v>
      </c>
      <c r="C18" s="655">
        <f>Long_tot</f>
        <v>1800</v>
      </c>
      <c r="D18" s="655"/>
      <c r="F18" s="37"/>
      <c r="G18" s="37"/>
      <c r="H18" s="37"/>
      <c r="I18" s="37"/>
      <c r="J18" s="34"/>
      <c r="K18" s="50"/>
      <c r="L18" s="137" t="str">
        <f>IF(Lang="Français","Coiffe",IF(Lang="English","Nose Cone",""))</f>
        <v>Coiffe</v>
      </c>
      <c r="M18" s="658">
        <f>IF(LEFT(Forme_ogive,5)="Parab",1/2*Long_ogive,IF(LEFT(Forme_ogive,4)="Ogiv",7/15*Long_ogive,IF(LEFT(Forme_ogive,3)="Con",2/3*Long_ogive)))</f>
        <v>116.66666666666667</v>
      </c>
      <c r="N18" s="659"/>
      <c r="O18" s="665">
        <f>2*POWER(D_og/D_ref, 2)</f>
        <v>2</v>
      </c>
      <c r="P18" s="665"/>
      <c r="Q18" s="40"/>
      <c r="R18" s="34"/>
      <c r="S18" s="447" t="str">
        <f>IF(Lang="Français","Emplanture","Root edge")</f>
        <v>Emplanture</v>
      </c>
      <c r="T18" s="448">
        <f>m_ail</f>
        <v>220</v>
      </c>
    </row>
    <row r="19" spans="1:20" ht="12.75" customHeight="1" thickBot="1" x14ac:dyDescent="0.3">
      <c r="A19" s="36"/>
      <c r="B19" s="493" t="str">
        <f>IF(Propu="Cariacou","Cariacou :"," ")</f>
        <v xml:space="preserve"> </v>
      </c>
      <c r="C19" s="668" t="str">
        <f>IF(Propu="Pandora (Pro24-6G)",IF(Lang="Français","C'Space Seulement",IF(Lang="English","C'Space only","")),"")</f>
        <v/>
      </c>
      <c r="D19" s="668"/>
      <c r="E19" s="114"/>
      <c r="F19" s="37"/>
      <c r="G19" s="37"/>
      <c r="H19" s="37"/>
      <c r="I19" s="37"/>
      <c r="J19" s="34"/>
      <c r="K19" s="34"/>
      <c r="L19" s="137" t="str">
        <f>IF(Lang="Français","Ailerons",IF(Lang="English","Fins",""))</f>
        <v>Ailerons</v>
      </c>
      <c r="M19" s="658">
        <f>(XCpa*Cnail-0.5*XCpi*Cni)/Cnai</f>
        <v>1709.375</v>
      </c>
      <c r="N19" s="659"/>
      <c r="O19" s="694">
        <f>Cnail-Cni/2</f>
        <v>17.135014339693754</v>
      </c>
      <c r="P19" s="695"/>
      <c r="Q19" s="40"/>
      <c r="R19" s="34"/>
      <c r="S19" s="447" t="str">
        <f>IF(Lang="Français","Bas","Base")</f>
        <v>Bas</v>
      </c>
      <c r="T19" s="448">
        <f>X_ail</f>
        <v>1800</v>
      </c>
    </row>
    <row r="20" spans="1:20" ht="12.75" customHeight="1" thickTop="1" thickBot="1" x14ac:dyDescent="0.3">
      <c r="A20" s="36"/>
      <c r="B20" s="51"/>
      <c r="C20" s="696" t="str">
        <f>IF(Lang="Français","Coiffe",IF(Lang="English","Nose Cone",""))</f>
        <v>Coiffe</v>
      </c>
      <c r="D20" s="697"/>
      <c r="E20" s="114"/>
      <c r="F20" s="37"/>
      <c r="G20" s="37"/>
      <c r="H20" s="37"/>
      <c r="I20" s="37"/>
      <c r="J20" s="34"/>
      <c r="K20" s="34"/>
      <c r="L20" s="137" t="str">
        <f>IF(Lang="Français","Ail bas entier",IF(Lang="English","Total Lower Fins",""))</f>
        <v>Ail bas entier</v>
      </c>
      <c r="M20" s="658">
        <f>X_ail-m_ail+p_ail*(m_ail+2*n_ail)/(3*(m_ail+n_ail))+(m_ail+n_ail-m_ail*n_ail/(m_ail+n_ail))/6</f>
        <v>1709.375</v>
      </c>
      <c r="N20" s="659"/>
      <c r="O20" s="665">
        <f>4*Q_ail*POWER((E_ail/D_ref),2)*(1+D_ail/(2*E_ail+D_ail))/(1+SQRT(1+POWER(2*f_ail/(m_ail+n_ail),2)))</f>
        <v>17.135014339693754</v>
      </c>
      <c r="P20" s="665"/>
      <c r="Q20" s="40"/>
      <c r="R20" s="34"/>
    </row>
    <row r="21" spans="1:20" ht="12.75" customHeight="1" thickTop="1" x14ac:dyDescent="0.25">
      <c r="A21" s="36"/>
      <c r="B21" s="172" t="str">
        <f>IF(Lang="Français","Forme",IF(Lang="English","Shape",""))</f>
        <v>Forme</v>
      </c>
      <c r="C21" s="671" t="s">
        <v>550</v>
      </c>
      <c r="D21" s="672"/>
      <c r="E21" s="114"/>
      <c r="F21" s="37"/>
      <c r="G21" s="37"/>
      <c r="H21" s="37"/>
      <c r="I21" s="37"/>
      <c r="J21" s="34"/>
      <c r="K21" s="34"/>
      <c r="L21" s="137" t="str">
        <f>IF(Lang="Français","Ailerons haut",IF(Lang="English","Upper Fins",""))</f>
        <v>Ailerons haut</v>
      </c>
      <c r="M21" s="658">
        <f>IF(LEFT(Type_masquage,1)="M",0, X_can-m_can+p_can*(m_can+2*n_can)/(3*(m_can+n_can))+(m_can+n_can-m_can*n_can/(m_can+n_can))/6)</f>
        <v>0</v>
      </c>
      <c r="N21" s="659"/>
      <c r="O21" s="665">
        <f>IF(LEFT(Type_masquage,1)="M",0, 4*Q_can*POWER((E_can/D_ref),2)*(1+D_can/(2*E_can+D_can))/(1+SQRT(1+POWER(2*f_can/(m_can+n_can),2))))</f>
        <v>0</v>
      </c>
      <c r="P21" s="665"/>
      <c r="Q21" s="40"/>
      <c r="R21" s="34"/>
    </row>
    <row r="22" spans="1:20" ht="12.75" customHeight="1" x14ac:dyDescent="0.25">
      <c r="A22" s="36"/>
      <c r="B22" s="172" t="str">
        <f>IF(Lang="Français","Hauteur",IF(Lang="English","Heigth",""))</f>
        <v>Hauteur</v>
      </c>
      <c r="C22" s="669">
        <v>250</v>
      </c>
      <c r="D22" s="670"/>
      <c r="E22" s="114"/>
      <c r="F22" s="37"/>
      <c r="G22" s="37"/>
      <c r="H22" s="37"/>
      <c r="I22" s="37"/>
      <c r="J22" s="34"/>
      <c r="K22" s="34"/>
      <c r="L22" s="137" t="str">
        <f>IF(Lang="Français","Partie masquée",IF(Lang="English","Interation zone",""))</f>
        <v>Partie masquée</v>
      </c>
      <c r="M22" s="675">
        <f>IF(LEFT(Type_masquage,1)="B", X_int-m_int+p_int*(m_int+2*n_int)/(3*(m_int+n_int))+(m_int+n_int-m_int*n_int/(m_int+n_int))/6, 0 )</f>
        <v>0</v>
      </c>
      <c r="N22" s="675"/>
      <c r="O22" s="694">
        <f>IF(LEFT(Type_masquage,1)="B", 4*Q_int*POWER((E_int/D_ref),2)*(1+D_int/(2*E_int+D_int))/(1+SQRT(1+POWER(2*f_int/(m_int+n_int),2))), 0 )</f>
        <v>0</v>
      </c>
      <c r="P22" s="695"/>
      <c r="Q22" s="40"/>
      <c r="R22" s="34"/>
    </row>
    <row r="23" spans="1:20" ht="12.75" customHeight="1" x14ac:dyDescent="0.25">
      <c r="A23" s="36"/>
      <c r="B23" s="172" t="str">
        <f>IF(Lang="Français","Diamètre",IF(Lang="English","Diameter",""))</f>
        <v>Diamètre</v>
      </c>
      <c r="C23" s="669">
        <v>100</v>
      </c>
      <c r="D23" s="670"/>
      <c r="E23" s="114"/>
      <c r="F23" s="37"/>
      <c r="G23" s="37"/>
      <c r="H23" s="37"/>
      <c r="I23" s="37"/>
      <c r="J23" s="34"/>
      <c r="K23" s="34"/>
      <c r="L23" s="137" t="s">
        <v>157</v>
      </c>
      <c r="M23" s="658">
        <f>IF(OR(RIGHT(Nb_diam,1)=",",D2j=0),0, X_j+l_j/3*(1+1/(1+D1j/D2j)) )</f>
        <v>0</v>
      </c>
      <c r="N23" s="659"/>
      <c r="O23" s="665">
        <f>IF(OR(RIGHT(Nb_diam,1)=",",D2j=0),0,2*(POWER(D2j/D_ref,2)-POWER(D1j/D_ref,2)))</f>
        <v>0</v>
      </c>
      <c r="P23" s="665"/>
      <c r="Q23" s="40"/>
      <c r="R23" s="34"/>
    </row>
    <row r="24" spans="1:20" ht="12.75" customHeight="1" thickBot="1" x14ac:dyDescent="0.3">
      <c r="A24" s="36"/>
      <c r="E24" s="114"/>
      <c r="F24" s="37"/>
      <c r="G24" s="37"/>
      <c r="H24" s="37"/>
      <c r="I24" s="37"/>
      <c r="J24" s="34"/>
      <c r="K24" s="34"/>
      <c r="L24" s="137" t="s">
        <v>158</v>
      </c>
      <c r="M24" s="658">
        <f>IF( OR(RIGHT(Nb_diam,1)=",",D2r=0), 0, X_r+l_r/3*(1+1/(1+D1r/D2r)) )</f>
        <v>0</v>
      </c>
      <c r="N24" s="659"/>
      <c r="O24" s="665">
        <f>IF( OR(RIGHT(Nb_diam,1)=",",D2r=0), 0, 2*(POWER(D2r/D_ref,2)-POWER(D1r/D_ref,2)) )</f>
        <v>0</v>
      </c>
      <c r="P24" s="665"/>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66" t="s">
        <v>426</v>
      </c>
      <c r="D26" s="667"/>
      <c r="E26" s="117"/>
      <c r="F26" s="55">
        <f ca="1">TODAY()</f>
        <v>44882</v>
      </c>
      <c r="G26" s="170" t="s">
        <v>63</v>
      </c>
      <c r="H26" s="689" t="str">
        <f>IF(Lang="Français","Résultats",IF(Lang="English","Results",""))</f>
        <v>Résultats</v>
      </c>
      <c r="I26" s="689"/>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220</v>
      </c>
      <c r="D27" s="210">
        <v>70</v>
      </c>
      <c r="E27" s="179">
        <f>m_ail</f>
        <v>220</v>
      </c>
      <c r="F27" s="134" t="s">
        <v>65</v>
      </c>
      <c r="G27" s="133">
        <f>IF(RIGHT(Type_fusee,1)=".",10, IF(OR(LEFT(Type_fusee,1)="R",LEFT(Type_fusee,1)=",",LEFT(Type_fusee,4)="Mini"),10, IF(LEFT(Type_fusee,5)="Micro",10, IF(RIGHT(Type_fusee,1)=" ",1))))</f>
        <v>10</v>
      </c>
      <c r="H27" s="656">
        <f>Long_tot/D_ref</f>
        <v>18</v>
      </c>
      <c r="I27" s="657"/>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100</v>
      </c>
      <c r="D28" s="48">
        <v>10</v>
      </c>
      <c r="E28" s="179">
        <f>n_ail+(m_ail-n_ail)*(1-E_int/E_ail)</f>
        <v>180</v>
      </c>
      <c r="F28" s="134" t="str">
        <f>IF(Lang="Français","Portance","Lift")</f>
        <v>Portance</v>
      </c>
      <c r="G28" s="133">
        <f>IF(RIGHT(Type_fusee,1)=".",15,IF(OR(LEFT(Type_fusee,1)="R",LEFT(Type_fusee,1)=",",LEFT(Type_fusee,4)="Mini"),15, IF(LEFT(Type_fusee,5)="Micro",15, IF(RIGHT(Type_fusee,1)=" ",15))))</f>
        <v>15</v>
      </c>
      <c r="H28" s="597">
        <f>Cnai+Cnc+Cno+Cnj+Cnr</f>
        <v>19.135014339693754</v>
      </c>
      <c r="I28" s="597">
        <f>Cnail+Cnc+Cno+Cnj+Cnr</f>
        <v>19.135014339693754</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66.666666666666671</v>
      </c>
      <c r="F29" s="605" t="str">
        <f>IF(Lang="Français","MargeStat.","StatMargin")</f>
        <v>MargeStat.</v>
      </c>
      <c r="G29" s="599">
        <f>IF(RIGHT(Type_fusee,1)=".",2, IF(OR(LEFT(Type_fusee,1)="R",LEFT(Type_fusee,1)=",",LEFT(Type_fusee,4)="Mini"),1.5, IF(LEFT(Type_fusee,5)="Micro",1, IF(RIGHT(Type_fusee,1)=" ",1))))</f>
        <v>2</v>
      </c>
      <c r="H29" s="126">
        <f ca="1">(XCp-XcgPlein)/D_ref</f>
        <v>4.0935633310723798</v>
      </c>
      <c r="I29" s="127">
        <f ca="1">(XCp0-XcgVide)/D_ref</f>
        <v>4.908027704600511</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150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78.330393040514522</v>
      </c>
      <c r="I30" s="125">
        <f ca="1">MS_max*Cn0</f>
        <v>93.915180507144996</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1542.904434046003</v>
      </c>
      <c r="I31" s="598">
        <f>(Cnail*XCpa+Cnc*XCpc+Cnj*XCpj+Cnr*XCpr+Cno*XCpo)/(Cnail+Cnc+Cnr+Cnj+Cno)</f>
        <v>1542.904434046003</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22.742018505957667</v>
      </c>
      <c r="I32" s="130">
        <f ca="1">(XCp-XcgVide)/Long_tot*100</f>
        <v>27.266820581113947</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1800</v>
      </c>
      <c r="D33" s="48">
        <v>700</v>
      </c>
      <c r="E33" s="179">
        <f>X_ail</f>
        <v>1800</v>
      </c>
      <c r="F33" s="37"/>
      <c r="G33" s="34"/>
      <c r="H33" s="645" t="str">
        <f ca="1">IF(AND(CritCnmin&lt;Cn,Cn0&lt;CritCnmax,CritMsmin&lt;MS_min,MS_max&lt;CritMsmax,CritMsCnmin&lt;MS_Cn_min,MS_Cn_max&lt;CritMsCnmax),"STABLE",IF(OR(Cn&lt;CritCnmin,MS_min&lt;CritMsmin,MS_Cn_min&lt;CritMsCnmin),"INSTABLE",IF(Lang="Français","SURSTABLE","OVERSTABLE")))</f>
        <v>STABLE</v>
      </c>
      <c r="I33" s="646"/>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47"/>
      <c r="I34" s="648"/>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205.18284528683191</v>
      </c>
      <c r="D35" s="178">
        <f>SQRT(POWER(p_can+n_can/2-m_can/2,2)+POWER(E_can,2))</f>
        <v>50.990195135927848</v>
      </c>
      <c r="E35" s="179">
        <f>SQRT(POWER(p_int+n_int/2-m_int/2,2)+POWER(E_int,2))</f>
        <v>68.394281762277316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-1800</v>
      </c>
      <c r="D130" s="67">
        <f>D129</f>
        <v>50</v>
      </c>
      <c r="E130" s="121">
        <f t="shared" si="0"/>
        <v>-50</v>
      </c>
      <c r="K130" s="67"/>
    </row>
    <row r="131" spans="2:11" x14ac:dyDescent="0.25">
      <c r="B131" s="66" t="s">
        <v>78</v>
      </c>
      <c r="C131" s="67">
        <f>-Long_tot</f>
        <v>-1800</v>
      </c>
      <c r="D131" s="67">
        <v>0</v>
      </c>
      <c r="E131" s="121">
        <f t="shared" si="0"/>
        <v>0</v>
      </c>
      <c r="K131" s="67"/>
    </row>
    <row r="132" spans="2:11" x14ac:dyDescent="0.25">
      <c r="B132" s="217" t="s">
        <v>79</v>
      </c>
      <c r="C132" s="231">
        <f>-X_ail+m_ail</f>
        <v>-1580</v>
      </c>
      <c r="D132" s="231">
        <f>D_ail/2</f>
        <v>50</v>
      </c>
      <c r="E132" s="232">
        <f t="shared" si="0"/>
        <v>-50</v>
      </c>
      <c r="K132" s="67"/>
    </row>
    <row r="133" spans="2:11" x14ac:dyDescent="0.25">
      <c r="B133" s="219" t="s">
        <v>80</v>
      </c>
      <c r="C133" s="233">
        <f>-X_ail+m_ail-p_ail</f>
        <v>-1780</v>
      </c>
      <c r="D133" s="233">
        <f>D_ail/2+E_ail</f>
        <v>200</v>
      </c>
      <c r="E133" s="234">
        <f t="shared" si="0"/>
        <v>-200</v>
      </c>
      <c r="K133" s="67"/>
    </row>
    <row r="134" spans="2:11" x14ac:dyDescent="0.25">
      <c r="B134" s="219" t="s">
        <v>81</v>
      </c>
      <c r="C134" s="233">
        <f>-X_ail+m_ail-p_ail-n_ail</f>
        <v>-1880</v>
      </c>
      <c r="D134" s="233">
        <f>D_ail/2+E_ail</f>
        <v>200</v>
      </c>
      <c r="E134" s="234">
        <f t="shared" si="0"/>
        <v>-200</v>
      </c>
      <c r="K134" s="67"/>
    </row>
    <row r="135" spans="2:11" x14ac:dyDescent="0.25">
      <c r="B135" s="219" t="s">
        <v>82</v>
      </c>
      <c r="C135" s="233">
        <f>-X_ail</f>
        <v>-1800</v>
      </c>
      <c r="D135" s="233">
        <f>D_ail/2</f>
        <v>50</v>
      </c>
      <c r="E135" s="234">
        <f t="shared" si="0"/>
        <v>-50</v>
      </c>
      <c r="K135" s="67"/>
    </row>
    <row r="136" spans="2:11" x14ac:dyDescent="0.25">
      <c r="B136" s="221" t="s">
        <v>79</v>
      </c>
      <c r="C136" s="235">
        <f>-X_ail+m_ail</f>
        <v>-1580</v>
      </c>
      <c r="D136" s="235">
        <f>D_ail/2</f>
        <v>50</v>
      </c>
      <c r="E136" s="236">
        <f t="shared" si="0"/>
        <v>-50</v>
      </c>
      <c r="K136" s="67"/>
    </row>
    <row r="137" spans="2:11" x14ac:dyDescent="0.25">
      <c r="B137" s="226" t="str">
        <f>IF(E_ail&gt;0,IF(Lang="Français","Envergure","Span"),"")</f>
        <v>Envergure</v>
      </c>
      <c r="C137" s="231">
        <f>MIN(-X_ail,-X_ail+m_ail-p_ail-n_ail)-Long_tot/30</f>
        <v>-1940</v>
      </c>
      <c r="D137" s="242">
        <f>-D_ail/2-E_ail</f>
        <v>-200</v>
      </c>
      <c r="E137" s="247"/>
      <c r="K137" s="67"/>
    </row>
    <row r="138" spans="2:11" x14ac:dyDescent="0.25">
      <c r="B138" s="229" t="s">
        <v>167</v>
      </c>
      <c r="C138" s="233">
        <f>MIN(-X_ail,-X_ail+m_ail-p_ail-n_ail)-Long_tot/30</f>
        <v>-1940</v>
      </c>
      <c r="D138" s="243">
        <f>-D_ail/2-E_ail/2</f>
        <v>-125</v>
      </c>
      <c r="E138" s="247"/>
      <c r="K138" s="67"/>
    </row>
    <row r="139" spans="2:11" x14ac:dyDescent="0.25">
      <c r="B139" s="248" t="s">
        <v>163</v>
      </c>
      <c r="C139" s="235">
        <f>MIN(-X_ail,-X_ail+m_ail-p_ail-n_ail)-Long_tot/30</f>
        <v>-1940</v>
      </c>
      <c r="D139" s="244">
        <f>-D_ail/2</f>
        <v>-50</v>
      </c>
      <c r="E139" s="247"/>
      <c r="K139" s="67"/>
    </row>
    <row r="140" spans="2:11" x14ac:dyDescent="0.25">
      <c r="B140" s="226" t="str">
        <f>IF(Lang="Français","Emplanture","Root edge")</f>
        <v>Emplanture</v>
      </c>
      <c r="C140" s="231">
        <f>-X_ail+m_ail</f>
        <v>-1580</v>
      </c>
      <c r="D140" s="242">
        <f>D_ail/2+E_ail+Long_tot/20</f>
        <v>290</v>
      </c>
      <c r="E140" s="247"/>
      <c r="K140" s="67"/>
    </row>
    <row r="141" spans="2:11" x14ac:dyDescent="0.25">
      <c r="B141" s="229" t="s">
        <v>169</v>
      </c>
      <c r="C141" s="233">
        <f>-X_ail+m_ail/2</f>
        <v>-1690</v>
      </c>
      <c r="D141" s="243">
        <f>D_ail/2+E_ail+Long_tot/20</f>
        <v>290</v>
      </c>
      <c r="E141" s="247"/>
      <c r="K141" s="67"/>
    </row>
    <row r="142" spans="2:11" x14ac:dyDescent="0.25">
      <c r="B142" s="248" t="s">
        <v>170</v>
      </c>
      <c r="C142" s="235">
        <f>-X_ail</f>
        <v>-1800</v>
      </c>
      <c r="D142" s="244">
        <f>D_ail/2+E_ail+Long_tot/20</f>
        <v>290</v>
      </c>
      <c r="E142" s="247"/>
      <c r="K142" s="67"/>
    </row>
    <row r="143" spans="2:11" x14ac:dyDescent="0.25">
      <c r="B143" s="226" t="str">
        <f>IF(p_ail&lt;&gt;0,IF(Lang="Français","Flèche","Offset"),"")</f>
        <v>Flèche</v>
      </c>
      <c r="C143" s="231">
        <f>-X_ail+m_ail</f>
        <v>-1580</v>
      </c>
      <c r="D143" s="242">
        <f>-D_ail/2-E_ail-Long_tot/30</f>
        <v>-260</v>
      </c>
      <c r="E143" s="247"/>
      <c r="K143" s="67"/>
    </row>
    <row r="144" spans="2:11" x14ac:dyDescent="0.25">
      <c r="B144" s="229" t="s">
        <v>166</v>
      </c>
      <c r="C144" s="233">
        <f>-X_ail+m_ail-p_ail/2</f>
        <v>-1680</v>
      </c>
      <c r="D144" s="243">
        <f>-D_ail/2-E_ail-Long_tot/30</f>
        <v>-260</v>
      </c>
      <c r="E144" s="247"/>
      <c r="K144" s="67"/>
    </row>
    <row r="145" spans="2:11" x14ac:dyDescent="0.25">
      <c r="B145" s="248" t="s">
        <v>164</v>
      </c>
      <c r="C145" s="235">
        <f>-X_ail+m_ail-p_ail</f>
        <v>-1780</v>
      </c>
      <c r="D145" s="244">
        <f>-D_ail/2-E_ail-Long_tot/30</f>
        <v>-260</v>
      </c>
      <c r="E145" s="247"/>
      <c r="K145" s="67"/>
    </row>
    <row r="146" spans="2:11" x14ac:dyDescent="0.25">
      <c r="B146" s="226" t="str">
        <f>IF(n_ail&gt;0,IF(Lang="Français","Saumon","Tip edge"),"")</f>
        <v>Saumon</v>
      </c>
      <c r="C146" s="231">
        <f>-X_ail+m_ail-p_ail</f>
        <v>-1780</v>
      </c>
      <c r="D146" s="242">
        <f>-D_ail/2-E_ail-Long_tot/20</f>
        <v>-290</v>
      </c>
      <c r="E146" s="247"/>
      <c r="K146" s="67"/>
    </row>
    <row r="147" spans="2:11" x14ac:dyDescent="0.25">
      <c r="B147" s="229" t="s">
        <v>168</v>
      </c>
      <c r="C147" s="233">
        <f>-X_ail+m_ail-p_ail-n_ail/2</f>
        <v>-1830</v>
      </c>
      <c r="D147" s="243">
        <f>-D_ail/2-E_ail-Long_tot/20</f>
        <v>-290</v>
      </c>
      <c r="E147" s="247"/>
      <c r="K147" s="67"/>
    </row>
    <row r="148" spans="2:11" x14ac:dyDescent="0.25">
      <c r="B148" s="248" t="s">
        <v>165</v>
      </c>
      <c r="C148" s="235">
        <f>-X_ail+m_ail-p_ail-n_ail</f>
        <v>-1880</v>
      </c>
      <c r="D148" s="244">
        <f>-D_ail/2-E_ail-Long_tot/20</f>
        <v>-290</v>
      </c>
      <c r="E148" s="247"/>
      <c r="K148" s="67"/>
    </row>
    <row r="149" spans="2:11" x14ac:dyDescent="0.25">
      <c r="B149" s="217" t="s">
        <v>83</v>
      </c>
      <c r="C149" s="231">
        <f ca="1">-XcgPlein</f>
        <v>-1133.5481009387649</v>
      </c>
      <c r="D149" s="242">
        <v>0</v>
      </c>
      <c r="E149" s="121"/>
      <c r="K149" s="67"/>
    </row>
    <row r="150" spans="2:11" x14ac:dyDescent="0.25">
      <c r="B150" s="221" t="s">
        <v>84</v>
      </c>
      <c r="C150" s="235">
        <f ca="1">-XcgVide</f>
        <v>-1052.1016635859519</v>
      </c>
      <c r="D150" s="244">
        <v>0</v>
      </c>
      <c r="E150" s="121"/>
      <c r="K150" s="67"/>
    </row>
    <row r="151" spans="2:11" x14ac:dyDescent="0.25">
      <c r="B151" s="217" t="s">
        <v>85</v>
      </c>
      <c r="C151" s="231">
        <f>-XCp</f>
        <v>-1542.904434046003</v>
      </c>
      <c r="D151" s="242">
        <v>0</v>
      </c>
      <c r="E151" s="121"/>
      <c r="K151" s="67"/>
    </row>
    <row r="152" spans="2:11" x14ac:dyDescent="0.25">
      <c r="B152" s="221" t="s">
        <v>85</v>
      </c>
      <c r="C152" s="235">
        <f>-XCp</f>
        <v>-1542.904434046003</v>
      </c>
      <c r="D152" s="244">
        <f>Cn*D_ref/CritCnmin</f>
        <v>127.56676226462501</v>
      </c>
      <c r="E152" s="121"/>
      <c r="K152" s="67"/>
    </row>
    <row r="153" spans="2:11" x14ac:dyDescent="0.25">
      <c r="B153" s="219" t="s">
        <v>424</v>
      </c>
      <c r="C153" s="233">
        <f>-XCp0</f>
        <v>-1542.904434046003</v>
      </c>
      <c r="D153" s="243">
        <f>Cn0*D_ref/CritCnmin</f>
        <v>127.56676226462501</v>
      </c>
      <c r="E153" s="121"/>
      <c r="K153" s="67"/>
    </row>
    <row r="154" spans="2:11" x14ac:dyDescent="0.25">
      <c r="B154" s="219" t="s">
        <v>424</v>
      </c>
      <c r="C154" s="233">
        <f>-XCp0</f>
        <v>-1542.904434046003</v>
      </c>
      <c r="D154" s="243">
        <v>0</v>
      </c>
      <c r="E154" s="121"/>
      <c r="K154" s="67"/>
    </row>
    <row r="155" spans="2:11" x14ac:dyDescent="0.25">
      <c r="B155" s="226" t="str">
        <f>IF(n_ail&gt;0,IF(Lang="Français","Marge Statique","Static Margin"),"")</f>
        <v>Marge Statique</v>
      </c>
      <c r="C155" s="231">
        <f ca="1">(-XcgPlein-XcgVide)/2</f>
        <v>-1092.8248822623584</v>
      </c>
      <c r="D155" s="242">
        <f>-D_ail/2-E_ail-Long_tot/20</f>
        <v>-290</v>
      </c>
      <c r="E155" s="121"/>
      <c r="K155" s="67"/>
    </row>
    <row r="156" spans="2:11" x14ac:dyDescent="0.25">
      <c r="B156" s="229" t="s">
        <v>171</v>
      </c>
      <c r="C156" s="233">
        <f ca="1">(C155+C157)/2</f>
        <v>-1317.8646581541807</v>
      </c>
      <c r="D156" s="243">
        <f>-D_ail/2-E_ail-Long_tot/20</f>
        <v>-290</v>
      </c>
      <c r="E156" s="121"/>
      <c r="K156" s="67"/>
    </row>
    <row r="157" spans="2:11" x14ac:dyDescent="0.25">
      <c r="B157" s="248" t="s">
        <v>172</v>
      </c>
      <c r="C157" s="235">
        <f>-XCp</f>
        <v>-1542.904434046003</v>
      </c>
      <c r="D157" s="244">
        <f>-D_ail/2-E_ail-Long_tot/20</f>
        <v>-290</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-1898.8</v>
      </c>
      <c r="D168" s="67">
        <f>MAX(E_ail+D_ail/2, Long_tot/3)</f>
        <v>600</v>
      </c>
      <c r="E168" s="121"/>
      <c r="K168" s="67"/>
    </row>
    <row r="169" spans="2:11" x14ac:dyDescent="0.25">
      <c r="B169" s="66" t="s">
        <v>94</v>
      </c>
      <c r="C169" s="67">
        <f>C168</f>
        <v>-1898.8</v>
      </c>
      <c r="D169" s="67">
        <f>-D168</f>
        <v>-600</v>
      </c>
      <c r="E169" s="121"/>
      <c r="K169" s="67"/>
    </row>
    <row r="170" spans="2:11" x14ac:dyDescent="0.25">
      <c r="B170" s="217" t="s">
        <v>95</v>
      </c>
      <c r="C170" s="231">
        <f ca="1">-XpropuRef+Long_propu</f>
        <v>-1314</v>
      </c>
      <c r="D170" s="242">
        <f ca="1">-Diam_propu/2</f>
        <v>-37.5</v>
      </c>
      <c r="E170" s="121"/>
      <c r="K170" s="67"/>
    </row>
    <row r="171" spans="2:11" x14ac:dyDescent="0.25">
      <c r="B171" s="219" t="s">
        <v>96</v>
      </c>
      <c r="C171" s="233">
        <f ca="1">-XpropuRef+Long_propu</f>
        <v>-1314</v>
      </c>
      <c r="D171" s="243">
        <f ca="1">Diam_propu/2</f>
        <v>37.5</v>
      </c>
      <c r="E171" s="121"/>
      <c r="K171" s="67"/>
    </row>
    <row r="172" spans="2:11" x14ac:dyDescent="0.25">
      <c r="B172" s="219" t="s">
        <v>97</v>
      </c>
      <c r="C172" s="233">
        <f>-XpropuRef</f>
        <v>-1800</v>
      </c>
      <c r="D172" s="243">
        <f ca="1">Diam_propu/2</f>
        <v>37.5</v>
      </c>
      <c r="E172" s="121"/>
      <c r="K172" s="67"/>
    </row>
    <row r="173" spans="2:11" x14ac:dyDescent="0.25">
      <c r="B173" s="219" t="s">
        <v>98</v>
      </c>
      <c r="C173" s="233">
        <f>-XpropuRef</f>
        <v>-1800</v>
      </c>
      <c r="D173" s="243">
        <f ca="1">-Diam_propu/2</f>
        <v>-37.5</v>
      </c>
      <c r="E173" s="121"/>
      <c r="K173" s="67"/>
    </row>
    <row r="174" spans="2:11" x14ac:dyDescent="0.25">
      <c r="B174" s="221" t="s">
        <v>99</v>
      </c>
      <c r="C174" s="235">
        <f ca="1">-XpropuRef+Long_propu</f>
        <v>-1314</v>
      </c>
      <c r="D174" s="244">
        <f ca="1">-Diam_propu/2</f>
        <v>-37.5</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4.0935633310723798</v>
      </c>
      <c r="C190" s="238">
        <f>Cn</f>
        <v>19.135014339693754</v>
      </c>
      <c r="D190" s="219">
        <v>3</v>
      </c>
      <c r="E190" s="240">
        <f t="shared" si="4"/>
        <v>33.333333333333336</v>
      </c>
      <c r="K190" s="66"/>
    </row>
    <row r="191" spans="2:11" x14ac:dyDescent="0.25">
      <c r="B191" s="601">
        <f ca="1">(XCp0-XcgPlein)/D_ref</f>
        <v>4.0935633310723798</v>
      </c>
      <c r="C191" s="602">
        <f>Cn0</f>
        <v>19.135014339693754</v>
      </c>
      <c r="D191" s="219">
        <v>4</v>
      </c>
      <c r="E191" s="240">
        <f t="shared" si="4"/>
        <v>25</v>
      </c>
      <c r="K191" s="66"/>
    </row>
    <row r="192" spans="2:11" x14ac:dyDescent="0.25">
      <c r="B192" s="601">
        <f ca="1">(XCp0-XcgVide)/D_ref</f>
        <v>4.908027704600511</v>
      </c>
      <c r="C192" s="602">
        <f>Cn0</f>
        <v>19.135014339693754</v>
      </c>
      <c r="D192" s="219">
        <v>6</v>
      </c>
      <c r="E192" s="240">
        <f t="shared" si="4"/>
        <v>16.666666666666668</v>
      </c>
      <c r="K192" s="66"/>
    </row>
    <row r="193" spans="2:11" x14ac:dyDescent="0.25">
      <c r="B193" s="601">
        <f ca="1">(XCp-XcgVide)/D_ref</f>
        <v>4.908027704600511</v>
      </c>
      <c r="C193" s="602">
        <f>Cn</f>
        <v>19.135014339693754</v>
      </c>
      <c r="D193" s="221">
        <v>7</v>
      </c>
      <c r="E193" s="241">
        <f t="shared" si="4"/>
        <v>14.285714285714286</v>
      </c>
      <c r="K193" s="66"/>
    </row>
    <row r="194" spans="2:11" x14ac:dyDescent="0.25">
      <c r="B194" s="601">
        <f ca="1">MS_min</f>
        <v>4.0935633310723798</v>
      </c>
      <c r="C194" s="603">
        <f>Cn</f>
        <v>19.135014339693754</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26:D26"/>
    <mergeCell ref="C18:D18"/>
    <mergeCell ref="C19:D19"/>
    <mergeCell ref="O23:P23"/>
    <mergeCell ref="O24:P24"/>
    <mergeCell ref="C22:D22"/>
    <mergeCell ref="C21:D21"/>
    <mergeCell ref="C23:D23"/>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B1" zoomScaleNormal="100" workbookViewId="0">
      <selection activeCell="K24" sqref="K24"/>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01" t="s">
        <v>0</v>
      </c>
      <c r="D2" s="701"/>
      <c r="E2" s="3"/>
      <c r="F2" s="4"/>
      <c r="G2" s="3"/>
      <c r="H2" s="3"/>
      <c r="I2" s="3"/>
      <c r="J2" s="5"/>
      <c r="K2" s="3"/>
      <c r="L2" s="3"/>
      <c r="M2" s="3"/>
      <c r="N2" s="78"/>
    </row>
    <row r="3" spans="1:14" ht="12.75" customHeight="1" x14ac:dyDescent="0.25">
      <c r="A3" s="77"/>
      <c r="B3" s="2"/>
      <c r="C3" s="701"/>
      <c r="D3" s="701"/>
      <c r="E3" s="6"/>
      <c r="F3" s="6"/>
      <c r="G3" s="6"/>
      <c r="H3" s="7"/>
      <c r="I3" s="6"/>
      <c r="J3" s="5"/>
      <c r="K3" s="3"/>
      <c r="L3" s="3"/>
      <c r="M3" s="3"/>
      <c r="N3" s="78"/>
    </row>
    <row r="4" spans="1:14" ht="12.75" customHeight="1" x14ac:dyDescent="0.25">
      <c r="A4" s="77"/>
      <c r="B4" s="2"/>
      <c r="C4" s="705" t="str">
        <f>IF(Lang="Français","Trajectographie de fusée",IF(Lang="English","Rocket Trajectography",""))</f>
        <v>Trajectographie de fusée</v>
      </c>
      <c r="D4" s="705"/>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04" t="str">
        <f>IF(Lang="Français","Remplir les cases jaunes",IF(Lang="English","Fill-in yellow cells only",""))</f>
        <v>Remplir les cases jaunes</v>
      </c>
      <c r="D6" s="704"/>
      <c r="E6" s="6"/>
      <c r="F6" s="6"/>
      <c r="G6" s="3"/>
      <c r="H6" s="3"/>
      <c r="I6" s="6"/>
      <c r="J6" s="5"/>
      <c r="K6" s="3"/>
      <c r="L6" s="3"/>
      <c r="M6" s="3"/>
      <c r="N6" s="78"/>
    </row>
    <row r="7" spans="1:14" x14ac:dyDescent="0.25">
      <c r="A7" s="77"/>
      <c r="B7" s="8"/>
      <c r="C7" s="702" t="str">
        <f>IF(Lang="Français","Fusée",IF(Lang="English","Rocket",""))</f>
        <v>Fusée</v>
      </c>
      <c r="D7" s="702"/>
      <c r="E7" s="6"/>
      <c r="F7" s="6"/>
      <c r="G7" s="3"/>
      <c r="H7" s="3"/>
      <c r="I7" s="6"/>
      <c r="J7" s="3"/>
      <c r="K7" s="3"/>
      <c r="L7" s="3"/>
      <c r="M7" s="3"/>
      <c r="N7" s="79"/>
    </row>
    <row r="8" spans="1:14" ht="12.75" customHeight="1" x14ac:dyDescent="0.3">
      <c r="A8" s="77"/>
      <c r="B8" s="173" t="str">
        <f>IF(Lang="Français","Nom",IF(Lang="English","Name",""))</f>
        <v>Nom</v>
      </c>
      <c r="C8" s="703" t="str">
        <f>Nom</f>
        <v>Indra</v>
      </c>
      <c r="D8" s="703"/>
      <c r="E8" s="7"/>
      <c r="F8" s="7"/>
      <c r="G8" s="3"/>
      <c r="H8" s="3"/>
      <c r="I8" s="6"/>
      <c r="J8" s="5"/>
      <c r="K8" s="3"/>
      <c r="L8" s="3"/>
      <c r="M8" s="3"/>
      <c r="N8" s="78"/>
    </row>
    <row r="9" spans="1:14" ht="12.75" customHeight="1" x14ac:dyDescent="0.3">
      <c r="A9" s="80"/>
      <c r="B9" s="173" t="s">
        <v>4</v>
      </c>
      <c r="C9" s="703" t="str">
        <f>Club</f>
        <v>Space'Tech Orléans</v>
      </c>
      <c r="D9" s="703"/>
      <c r="E9" s="6"/>
      <c r="F9" s="27"/>
      <c r="G9" s="3"/>
      <c r="H9" s="3"/>
      <c r="I9" s="6"/>
      <c r="J9" s="3"/>
      <c r="K9" s="3"/>
      <c r="L9" s="3"/>
      <c r="M9" s="3"/>
      <c r="N9" s="79"/>
    </row>
    <row r="10" spans="1:14" ht="12.75" customHeight="1" x14ac:dyDescent="0.25">
      <c r="A10" s="80"/>
      <c r="B10" s="173" t="str">
        <f>IF(Lang="Français","Masse totale",IF(Lang="English","Total Mass",""))</f>
        <v>Masse totale</v>
      </c>
      <c r="C10" s="727">
        <f ca="1">MassePlein</f>
        <v>11.611000000000001</v>
      </c>
      <c r="D10" s="727"/>
      <c r="E10" s="6"/>
      <c r="F10" s="27"/>
      <c r="G10" s="3"/>
      <c r="H10" s="3"/>
      <c r="I10" s="6"/>
      <c r="J10" s="3"/>
      <c r="K10" s="3"/>
      <c r="L10" s="3"/>
      <c r="M10" s="3"/>
      <c r="N10" s="79"/>
    </row>
    <row r="11" spans="1:14" ht="12.75" customHeight="1" x14ac:dyDescent="0.25">
      <c r="A11" s="80"/>
      <c r="B11" s="266" t="str">
        <f>IF(Lang="Français","Propulseur",IF(Lang="English","Motor",""))</f>
        <v>Propulseur</v>
      </c>
      <c r="C11" s="730" t="str">
        <f>Propu</f>
        <v>Orignal (Pro75-3G C)</v>
      </c>
      <c r="D11" s="731"/>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02" t="str">
        <f>IF(Lang="Français","Traînée Aérdynamique",IF(Lang="English","Drag",""))</f>
        <v>Traînée Aérdynamique</v>
      </c>
      <c r="D13" s="702"/>
      <c r="E13" s="6"/>
      <c r="F13" s="3"/>
      <c r="G13" s="3"/>
      <c r="H13" s="3"/>
      <c r="I13" s="6"/>
      <c r="J13" s="3"/>
      <c r="K13" s="3"/>
      <c r="L13" s="3"/>
      <c r="M13" s="3"/>
      <c r="N13" s="79"/>
    </row>
    <row r="14" spans="1:14" ht="12.75" customHeight="1" x14ac:dyDescent="0.25">
      <c r="A14" s="80"/>
      <c r="B14" s="173" t="s">
        <v>41</v>
      </c>
      <c r="C14" s="732">
        <f>(PI()*D_ref^2/4+E_ail*ep_ail*Q_ail)/10^6</f>
        <v>9.0539816339744832E-3</v>
      </c>
      <c r="D14" s="732"/>
      <c r="E14" s="6"/>
      <c r="F14" s="3"/>
      <c r="G14" s="3"/>
      <c r="H14" s="3"/>
      <c r="I14" s="6"/>
      <c r="J14" s="3"/>
      <c r="K14" s="3"/>
      <c r="L14" s="3"/>
      <c r="M14" s="3"/>
      <c r="N14" s="79"/>
    </row>
    <row r="15" spans="1:14" ht="12.75" customHeight="1" x14ac:dyDescent="0.25">
      <c r="A15" s="80"/>
      <c r="B15" s="174" t="s">
        <v>5</v>
      </c>
      <c r="C15" s="725">
        <v>0.5</v>
      </c>
      <c r="D15" s="726"/>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02" t="str">
        <f>IF(Lang="Français","Rampe de Lancement",IF(Lang="English","Launch Pad",""))</f>
        <v>Rampe de Lancement</v>
      </c>
      <c r="D17" s="702"/>
      <c r="E17" s="6"/>
      <c r="F17" s="3"/>
      <c r="G17" s="3"/>
      <c r="H17" s="3"/>
      <c r="I17" s="6"/>
      <c r="J17" s="3"/>
      <c r="K17" s="3"/>
      <c r="L17" s="3"/>
      <c r="M17" s="3"/>
      <c r="N17" s="79"/>
    </row>
    <row r="18" spans="1:18" ht="12.75" customHeight="1" x14ac:dyDescent="0.25">
      <c r="A18" s="80"/>
      <c r="B18" s="173" t="str">
        <f>IF(Lang="Français","Longueur",IF(Lang="English","Length",""))</f>
        <v>Longueur</v>
      </c>
      <c r="C18" s="729">
        <f>IF(RIGHT(Type_fusee,1)=".",4, IF(LEFT(Type_fusee,4)="Mini",2.5, IF(LEFT(Type_fusee,5)="Micro",1, IF(RIGHT(Type_fusee,1)=" ",0.1,IF(LEFT(Type_fusee,1)="R",3, 2.5)))))</f>
        <v>4</v>
      </c>
      <c r="D18" s="729"/>
      <c r="E18" s="6"/>
      <c r="F18" s="3"/>
      <c r="G18" s="3"/>
      <c r="H18" s="3"/>
      <c r="I18" s="6"/>
      <c r="J18" s="3"/>
      <c r="K18" s="3"/>
      <c r="L18" s="3"/>
      <c r="M18" s="3"/>
      <c r="N18" s="79"/>
    </row>
    <row r="19" spans="1:18" ht="12.75" customHeight="1" x14ac:dyDescent="0.25">
      <c r="A19" s="80"/>
      <c r="B19" s="173" t="str">
        <f>IF(Lang="Français","Élévation",IF(Lang="English","Angle /horizon",""))</f>
        <v>Élévation</v>
      </c>
      <c r="C19" s="728">
        <v>80</v>
      </c>
      <c r="D19" s="728"/>
      <c r="E19" s="6"/>
      <c r="F19" s="3"/>
      <c r="G19" s="3"/>
      <c r="H19" s="3"/>
      <c r="I19" s="6"/>
      <c r="J19" s="3"/>
      <c r="K19" s="3"/>
      <c r="L19" s="3"/>
      <c r="M19" s="3"/>
      <c r="N19" s="79"/>
    </row>
    <row r="20" spans="1:18" ht="12.75" customHeight="1" x14ac:dyDescent="0.25">
      <c r="A20" s="80"/>
      <c r="B20" s="173" t="s">
        <v>6</v>
      </c>
      <c r="C20" s="729">
        <v>0</v>
      </c>
      <c r="D20" s="729"/>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5" t="str">
        <f>IF(Lang="Français","DescenteSousParachute",IF(Lang="English","Over Parachute",""))</f>
        <v>DescenteSousParachute</v>
      </c>
      <c r="D22" s="716"/>
      <c r="E22" s="3"/>
      <c r="F22" s="10"/>
      <c r="G22" s="71">
        <f ca="1">TODAY()</f>
        <v>44882</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17" t="str">
        <f>IF(Lang="Français","Sortie de Rampe",IF(Lang="English","Launch-Pad Exit",""))</f>
        <v>Sortie de Rampe</v>
      </c>
      <c r="G23" s="718"/>
      <c r="H23" s="580"/>
      <c r="I23" s="580"/>
      <c r="J23" s="580"/>
      <c r="K23" s="581">
        <f ca="1">INDEX(vit_xz,MATCH("Sortie de rampe",Event,0))</f>
        <v>26.069893034762604</v>
      </c>
      <c r="L23" s="582"/>
      <c r="M23" s="589"/>
      <c r="N23" s="79"/>
    </row>
    <row r="24" spans="1:18" x14ac:dyDescent="0.25">
      <c r="A24" s="80"/>
      <c r="B24" s="550" t="str">
        <f>IF(Lang="Français","Masse",IF(Lang="English","Mass",""))</f>
        <v>Masse</v>
      </c>
      <c r="C24" s="551">
        <f ca="1">IF(Nb_sat="0 satellite",MasseVide,MasseVide-m_satellite)</f>
        <v>9.7379999999999995</v>
      </c>
      <c r="D24" s="568">
        <f>IF(RIGHT(Type_fusee,1)=".",1,0.15)</f>
        <v>1</v>
      </c>
      <c r="E24" s="28" t="str">
        <f>IF(ABS(T_satellite-0.11-T_para)&lt;0.1,"Pb!","")</f>
        <v/>
      </c>
      <c r="F24" s="721" t="str">
        <f>IF(Lang="Français","Vit max &amp; Acc max",IF(Lang="English","Max Velocity &amp; Acc",""))</f>
        <v>Vit max &amp; Acc max</v>
      </c>
      <c r="G24" s="722"/>
      <c r="H24" s="144"/>
      <c r="I24" s="144"/>
      <c r="J24" s="144"/>
      <c r="K24" s="191">
        <f ca="1">MAX(vit_xz)</f>
        <v>268.96092147040719</v>
      </c>
      <c r="L24" s="583">
        <f ca="1">MAX(acc_xz)</f>
        <v>100.89733970828591</v>
      </c>
      <c r="M24" s="589"/>
      <c r="N24" s="79"/>
    </row>
    <row r="25" spans="1:18" x14ac:dyDescent="0.25">
      <c r="A25" s="80"/>
      <c r="B25" s="554" t="str">
        <f>IF(Lang="Français","Dépotage",IF(Lang="English","Delay",""))</f>
        <v>Dépotage</v>
      </c>
      <c r="C25" s="594" t="s">
        <v>409</v>
      </c>
      <c r="D25" s="567"/>
      <c r="E25" s="3"/>
      <c r="F25" s="723" t="str">
        <f>IF(Lang="Français","Largage du satellite",IF(Lang="English","Satellite separation",""))</f>
        <v>Largage du satellite</v>
      </c>
      <c r="G25" s="724"/>
      <c r="H25" s="185">
        <f>IF(T_satellite&lt;&gt;0,T_satellite,"")</f>
        <v>3.5</v>
      </c>
      <c r="I25" s="189">
        <f ca="1">IF(T_satellite&lt;&gt;0,INDEX(pos_z,MATCH("Satellite",Event_sat,0)),"")</f>
        <v>450.18712532016372</v>
      </c>
      <c r="J25" s="187">
        <f ca="1">IF(T_satellite&lt;&gt;0,INDEX(pos_x,MATCH("Satellite",Event_sat,0)),"")</f>
        <v>99.863367123957531</v>
      </c>
      <c r="K25" s="192">
        <f ca="1">IF(T_satellite&lt;&gt;0,INDEX(vit_xz,MATCH("Satellite",Event_sat,0)),"")</f>
        <v>240.08443214469884</v>
      </c>
      <c r="L25" s="584"/>
      <c r="M25" s="573">
        <f ca="1">1/2*Rho_moyen*1*V_ouv_sat^2*S_satellite</f>
        <v>3530.4827416923531</v>
      </c>
      <c r="N25" s="79"/>
    </row>
    <row r="26" spans="1:18" x14ac:dyDescent="0.25">
      <c r="A26" s="80"/>
      <c r="B26" s="552" t="str">
        <f>IF(Lang="Français","Ouverture para",IF(Lang="English","Opening time",""))</f>
        <v>Ouverture para</v>
      </c>
      <c r="C26" s="596">
        <v>20</v>
      </c>
      <c r="D26" s="553">
        <v>3.5</v>
      </c>
      <c r="E26" s="3"/>
      <c r="F26" s="721" t="s">
        <v>15</v>
      </c>
      <c r="G26" s="722"/>
      <c r="H26" s="186">
        <f ca="1">INDEX(t,MATCH("Apogée",Event,0))</f>
        <v>22.899999999999995</v>
      </c>
      <c r="I26" s="190">
        <f ca="1">INDEX(pos_z,MATCH("Apogée",Event,0))</f>
        <v>2690.3927303966475</v>
      </c>
      <c r="J26" s="188">
        <f ca="1">INDEX(pos_x,MATCH("Apogée",Event,0))</f>
        <v>1001.4267831548117</v>
      </c>
      <c r="K26" s="193">
        <f ca="1">INDEX(vit_xz,MATCH("Apogée",Event,0))</f>
        <v>37.875213163727757</v>
      </c>
      <c r="L26" s="585"/>
      <c r="M26" s="589"/>
      <c r="N26" s="79"/>
    </row>
    <row r="27" spans="1:18" x14ac:dyDescent="0.25">
      <c r="A27" s="80"/>
      <c r="B27" s="174" t="s">
        <v>9</v>
      </c>
      <c r="C27" s="263">
        <f>S_para_croix</f>
        <v>0.64</v>
      </c>
      <c r="D27" s="26">
        <f>IF(RIGHT(Type_fusee,1)=".",0.1,0.02)</f>
        <v>0.1</v>
      </c>
      <c r="E27" s="3"/>
      <c r="F27" s="719" t="str">
        <f>IF(Lang="Français","Ouverture parachute fusée",IF(Lang="English","Rocket parachute opening",""))</f>
        <v>Ouverture parachute fusée</v>
      </c>
      <c r="G27" s="720"/>
      <c r="H27" s="185">
        <f>T_para</f>
        <v>20</v>
      </c>
      <c r="I27" s="189">
        <f ca="1">INDEX(pos_z,MATCH("Para",Event_para,0))</f>
        <v>2647.5377654318622</v>
      </c>
      <c r="J27" s="574">
        <f ca="1">INDEX(pos_x,MATCH("Para",Event_para,0))</f>
        <v>890.19344698904672</v>
      </c>
      <c r="K27" s="192">
        <f ca="1">INDEX(vit_xz,MATCH("Para",Event_para,0))</f>
        <v>48.684789210097016</v>
      </c>
      <c r="L27" s="584"/>
      <c r="M27" s="573">
        <f ca="1">1/2*Rho_moyen*1*V_ouverture^2*S_para</f>
        <v>929.12181056917905</v>
      </c>
      <c r="N27" s="79"/>
      <c r="P27" s="566" t="str">
        <f ca="1">IF(V_para&lt;5, IF(Lang="Français","Parachute fusée trop grand !","Parachute too big!"), IF( V_para&gt;15, IF(Lang="Français","Parachute fusée trop petit !","Parachute too small!"), ""))</f>
        <v>Parachute fusée trop petit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08" t="str">
        <f>IF(Lang="Français","Impact balistique",IF(Lang="English","Balistic Impact",""))</f>
        <v>Impact balistique</v>
      </c>
      <c r="G28" s="709"/>
      <c r="H28" s="586">
        <f ca="1">INDEX(t,MATCH("Impact balistique",Event,0))</f>
        <v>49.200000000000365</v>
      </c>
      <c r="I28" s="607" t="s">
        <v>430</v>
      </c>
      <c r="J28" s="575">
        <f ca="1">INDEX(pos_x,MATCH("Impact balistique",Event,0))</f>
        <v>1783.0236932133373</v>
      </c>
      <c r="K28" s="590">
        <f ca="1">K45</f>
        <v>168.59151943937653</v>
      </c>
      <c r="L28" s="587"/>
      <c r="M28" s="591">
        <f ca="1">0.5*m_vide*K28^2</f>
        <v>138392.07597846739</v>
      </c>
      <c r="N28" s="79"/>
      <c r="P28" s="566"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15.610842974271021</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169.59607945550385</v>
      </c>
      <c r="D31" s="165">
        <f ca="1">IF(V_satellite&lt;&gt;0,Alt_sat/V_satellite,0)</f>
        <v>35.57227274115548</v>
      </c>
      <c r="E31" s="3"/>
      <c r="F31" s="3"/>
      <c r="G31" s="3"/>
      <c r="H31" s="710" t="str">
        <f>IF(Lang="Français","Pour localiser la fusée","To locate the rocket")</f>
        <v>Pour localiser la fusée</v>
      </c>
      <c r="I31" s="710"/>
      <c r="J31" s="570"/>
      <c r="L31" s="3"/>
      <c r="M31" s="3"/>
      <c r="N31" s="456"/>
      <c r="P31" s="566" t="str">
        <f ca="1">IF(Temps_culmi-T_para&gt;2,IF(Lang="Français","Ouverture parachute fusée précoce.","Early rocket parachute opening."),IF(Temps_culmi-T_para&lt;-2,IF(Lang="Français","Ouverture parachute fusée tardive.","Late rocket parachute opening."),""))</f>
        <v>Ouverture parachute fusée précoce.</v>
      </c>
    </row>
    <row r="32" spans="1:18" x14ac:dyDescent="0.25">
      <c r="A32" s="80"/>
      <c r="B32" s="166" t="str">
        <f>IF(Lang="Français","Durée du vol",IF(Lang="English","Fligth duration",""))</f>
        <v>Durée du vol</v>
      </c>
      <c r="C32" s="165">
        <f ca="1">T_para+Dt_para</f>
        <v>189.59607945550385</v>
      </c>
      <c r="D32" s="165">
        <f ca="1">T_satellite+Dt_satellite</f>
        <v>39.07227274115548</v>
      </c>
      <c r="E32" s="3"/>
      <c r="F32" s="710" t="str">
        <f>IF(Lang="Français","Couleur fuselage/coiffe","Body/Nose color")</f>
        <v>Couleur fuselage/coiffe</v>
      </c>
      <c r="G32" s="710"/>
      <c r="H32" s="706" t="s">
        <v>267</v>
      </c>
      <c r="I32" s="707"/>
      <c r="J32" s="3"/>
      <c r="L32" s="3"/>
      <c r="M32" s="3"/>
      <c r="N32" s="455"/>
      <c r="P32" s="566" t="str">
        <f ca="1">IF(ABS(Temps_culmi-T_para)&gt;2,IF(Lang="Français","Attention, aux efforts sur le parachute lors de l'ouverture !","Becarefull to the opening chute efforts!"),"")</f>
        <v>Attention, aux efforts sur le parachute lors de l'ouverture !</v>
      </c>
    </row>
    <row r="33" spans="1:16" customFormat="1" x14ac:dyDescent="0.25">
      <c r="A33" s="96"/>
      <c r="B33" s="166" t="str">
        <f>IF(Lang="Français","Déport latéral",IF(Lang="English","Lateral shift",""))</f>
        <v>Déport latéral</v>
      </c>
      <c r="C33" s="184">
        <f ca="1">Alt_para*V_vent/V_para</f>
        <v>847.98039727751927</v>
      </c>
      <c r="D33" s="184">
        <f ca="1">IF(V_satellite&lt;&gt;0,Alt_sat*V_vent_sat/V_satellite,0)</f>
        <v>177.86136370577739</v>
      </c>
      <c r="E33" s="81"/>
      <c r="F33" s="710" t="str">
        <f>IF(Lang="Français","Couleur parachute fusée","Rocket parachute color")</f>
        <v>Couleur parachute fusée</v>
      </c>
      <c r="G33" s="710"/>
      <c r="H33" s="706" t="s">
        <v>268</v>
      </c>
      <c r="I33" s="707"/>
      <c r="J33" s="81"/>
      <c r="K33" s="81"/>
      <c r="L33" s="81"/>
      <c r="M33" s="81"/>
      <c r="N33" s="455" t="str">
        <f>IF(Lang="Français","fichier initial","Initial file")</f>
        <v>fichier initial</v>
      </c>
    </row>
    <row r="34" spans="1:16" x14ac:dyDescent="0.25">
      <c r="A34" s="80"/>
      <c r="B34" s="3"/>
      <c r="C34" s="3"/>
      <c r="D34" s="3"/>
      <c r="E34" s="3"/>
      <c r="F34" s="710" t="str">
        <f>IF(Lang="Français","Couleur parachute satellite","Satellite parachute color")</f>
        <v>Couleur parachute satellite</v>
      </c>
      <c r="G34" s="710"/>
      <c r="H34" s="714" t="s">
        <v>159</v>
      </c>
      <c r="I34" s="71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11" t="str">
        <f>IF(Lang="Français","Calcul de la surface d'un parachute","Parachute surface calculation")</f>
        <v>Calcul de la surface d'un parachute</v>
      </c>
      <c r="B38" s="712"/>
      <c r="C38" s="712"/>
      <c r="D38" s="713"/>
      <c r="F38" s="711" t="str">
        <f>IF(Lang="Français","Résultats détaillés","Detailled results")</f>
        <v>Résultats détaillés</v>
      </c>
      <c r="G38" s="71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35" t="str">
        <f>IF(Lang="Français","Décollage",IF(Lang="English","Lift-Off",""))</f>
        <v>Décollage</v>
      </c>
      <c r="G40" s="735"/>
      <c r="H40" s="183">
        <v>0</v>
      </c>
      <c r="I40" s="183">
        <v>0</v>
      </c>
      <c r="J40" s="183">
        <v>0</v>
      </c>
      <c r="K40" s="183">
        <v>0</v>
      </c>
      <c r="L40" s="181" t="s">
        <v>14</v>
      </c>
      <c r="M40" s="182">
        <f>Beta_rampe</f>
        <v>80</v>
      </c>
    </row>
    <row r="41" spans="1:16" x14ac:dyDescent="0.25">
      <c r="A41" s="194"/>
      <c r="B41" s="3"/>
      <c r="C41" s="3"/>
      <c r="D41" s="195"/>
      <c r="F41" s="722" t="str">
        <f>IF(Lang="Français","Sortie de Rampe",IF(Lang="English","Launch-Pad Exit",""))</f>
        <v>Sortie de Rampe</v>
      </c>
      <c r="G41" s="722"/>
      <c r="H41" s="144">
        <f ca="1">INDEX(t,MATCH("Sortie de rampe",Event,0))</f>
        <v>0.33000000000000013</v>
      </c>
      <c r="I41" s="144">
        <f ca="1">INDEX(pos_z,MATCH("Sortie de rampe",Event,0))</f>
        <v>3.9165542000688531</v>
      </c>
      <c r="J41" s="144">
        <f ca="1">INDEX(pos_x,MATCH("Sortie de rampe",Event,0))</f>
        <v>0.69055514814820318</v>
      </c>
      <c r="K41" s="145">
        <f ca="1">INDEX(vit_xz,MATCH("Sortie de rampe",Event,0))</f>
        <v>26.069893034762604</v>
      </c>
      <c r="L41" s="146">
        <f ca="1">INDEX(acc_xz,MATCH("Sortie de rampe",Event,0))</f>
        <v>81.063000865583632</v>
      </c>
      <c r="M41" s="146">
        <f ca="1">INDEX(BetaD,MATCH("Sortie de rampe",Event,0))</f>
        <v>80</v>
      </c>
    </row>
    <row r="42" spans="1:16" x14ac:dyDescent="0.25">
      <c r="A42" s="194"/>
      <c r="B42" s="199" t="str">
        <f>IF(Lang="Français","Longeur du bord","Side length")</f>
        <v>Longeur du bord</v>
      </c>
      <c r="C42" s="3"/>
      <c r="D42" s="195"/>
      <c r="F42" s="722" t="str">
        <f>IF(Lang="Français","Vit max &amp; Acc max",IF(Lang="English","Max Velocity &amp; Acc",""))</f>
        <v>Vit max &amp; Acc max</v>
      </c>
      <c r="G42" s="722"/>
      <c r="H42" s="144" t="s">
        <v>14</v>
      </c>
      <c r="I42" s="144" t="s">
        <v>14</v>
      </c>
      <c r="J42" s="144" t="s">
        <v>14</v>
      </c>
      <c r="K42" s="147">
        <f ca="1">MAX(vit_xz)</f>
        <v>268.96092147040719</v>
      </c>
      <c r="L42" s="148">
        <f ca="1">MAX(acc_xz)</f>
        <v>100.89733970828591</v>
      </c>
      <c r="M42" s="145" t="s">
        <v>14</v>
      </c>
    </row>
    <row r="43" spans="1:16" x14ac:dyDescent="0.25">
      <c r="A43" s="194"/>
      <c r="B43" s="200">
        <v>400</v>
      </c>
      <c r="C43" s="3"/>
      <c r="D43" s="195"/>
      <c r="F43" s="722" t="str">
        <f>IF(Lang="Français","Fin de Propulsion",IF(Lang="English","Motor Burn-Out",""))</f>
        <v>Fin de Propulsion</v>
      </c>
      <c r="G43" s="722"/>
      <c r="H43" s="146">
        <f ca="1">INDEX(t,MATCH("Fin de propulsion",Event,0))</f>
        <v>4.6899999999999444</v>
      </c>
      <c r="I43" s="149">
        <f ca="1">INDEX(pos_z,MATCH("Fin de propulsion",Event,0))</f>
        <v>750.31867968628046</v>
      </c>
      <c r="J43" s="149">
        <f ca="1">INDEX(pos_x,MATCH("Fin de propulsion",Event,0))</f>
        <v>172.77188088604353</v>
      </c>
      <c r="K43" s="150">
        <f ca="1">INDEX(vit_xz,MATCH("Fin de propulsion",Event,0))</f>
        <v>264.64676248654081</v>
      </c>
      <c r="L43" s="146">
        <f ca="1">INDEX(acc_xz,MATCH("Fin de propulsion",Event,0))</f>
        <v>28.164595670564626</v>
      </c>
      <c r="M43" s="146">
        <f ca="1">INDEX(BetaD,MATCH("Fin de propulsion",Event,0))</f>
        <v>76.051047319331033</v>
      </c>
    </row>
    <row r="44" spans="1:16" x14ac:dyDescent="0.25">
      <c r="A44" s="194"/>
      <c r="B44" s="199" t="str">
        <f>IF(Lang="Français","Largeur du coté","Side width")</f>
        <v>Largeur du coté</v>
      </c>
      <c r="C44" s="3"/>
      <c r="D44" s="195"/>
      <c r="F44" s="722" t="s">
        <v>15</v>
      </c>
      <c r="G44" s="722"/>
      <c r="H44" s="148">
        <f ca="1">INDEX(t,MATCH("Apogée",Event,0))</f>
        <v>22.899999999999995</v>
      </c>
      <c r="I44" s="147">
        <f ca="1">INDEX(pos_z,MATCH("Apogée",Event,0))</f>
        <v>2690.3927303966475</v>
      </c>
      <c r="J44" s="151">
        <f ca="1">INDEX(pos_x,MATCH("Apogée",Event,0))</f>
        <v>1001.4267831548117</v>
      </c>
      <c r="K44" s="151">
        <f ca="1">INDEX(vit_xz,MATCH("Apogée",Event,0))</f>
        <v>37.875213163727757</v>
      </c>
      <c r="L44" s="145">
        <f ca="1">INDEX(acc_xz,MATCH("Apogée",Event,0))</f>
        <v>9.8264812849464089</v>
      </c>
      <c r="M44" s="152">
        <f ca="1">INDEX(BetaD,MATCH("Apogée",Event,0))</f>
        <v>0.62896694915977036</v>
      </c>
    </row>
    <row r="45" spans="1:16" x14ac:dyDescent="0.25">
      <c r="A45" s="194"/>
      <c r="B45" s="201">
        <v>300</v>
      </c>
      <c r="C45" s="3"/>
      <c r="D45" s="195"/>
      <c r="F45" s="737" t="str">
        <f>IF(Lang="Français","Impact balistique",IF(Lang="English","Balistic Impact",""))</f>
        <v>Impact balistique</v>
      </c>
      <c r="G45" s="737"/>
      <c r="H45" s="145">
        <f ca="1">INDEX(t,MATCH("Impact balistique",Event,0))</f>
        <v>49.200000000000365</v>
      </c>
      <c r="I45" s="181" t="s">
        <v>16</v>
      </c>
      <c r="J45" s="147">
        <f ca="1">INDEX(pos_x,MATCH("Impact balistique",Event,0))</f>
        <v>1783.0236932133373</v>
      </c>
      <c r="K45" s="150">
        <f ca="1">INDEX(vit_xz,MATCH("Impact balistique",Event,0))</f>
        <v>168.59151943937653</v>
      </c>
      <c r="L45" s="145">
        <f ca="1">INDEX(acc_xz,MATCH("Impact balistique",Event,0))</f>
        <v>1.9921814924237671</v>
      </c>
      <c r="M45" s="145">
        <f ca="1">INDEX(BetaD,MATCH("Impact balistique",Event,0))</f>
        <v>-83.716898754032357</v>
      </c>
    </row>
    <row r="46" spans="1:16" x14ac:dyDescent="0.25">
      <c r="A46" s="194"/>
      <c r="B46" s="202" t="s">
        <v>9</v>
      </c>
      <c r="C46" s="3"/>
      <c r="D46" s="195"/>
      <c r="F46" s="720" t="str">
        <f>IF(Lang="Français","Ouverture parachute fusée",IF(Lang="English","Rocket parachute opening",""))</f>
        <v>Ouverture parachute fusée</v>
      </c>
      <c r="G46" s="720"/>
      <c r="H46" s="153">
        <f>T_para</f>
        <v>20</v>
      </c>
      <c r="I46" s="154">
        <f ca="1">INDEX(pos_z,MATCH("Para",Event_para,0))</f>
        <v>2647.5377654318622</v>
      </c>
      <c r="J46" s="154">
        <f ca="1">INDEX(pos_x,MATCH("Para",Event_para,0))</f>
        <v>890.19344698904672</v>
      </c>
      <c r="K46" s="154">
        <f ca="1">INDEX(vit_xz,MATCH("Para",Event_para,0))</f>
        <v>48.684789210097016</v>
      </c>
      <c r="L46" s="155">
        <f ca="1">INDEX(acc_xz,MATCH("Para",Event_para,0))</f>
        <v>10.144889091865135</v>
      </c>
      <c r="M46" s="156">
        <f ca="1">INDEX(BetaD,MATCH("Para",Event_para,0))</f>
        <v>36.982046705775296</v>
      </c>
    </row>
    <row r="47" spans="1:16" x14ac:dyDescent="0.25">
      <c r="A47" s="194"/>
      <c r="B47" s="207">
        <f>(4*B43*B45+B43^2)/10^6</f>
        <v>0.64</v>
      </c>
      <c r="C47" s="3"/>
      <c r="D47" s="195"/>
      <c r="F47" s="738" t="str">
        <f>IF(Lang="Français","Impact fusée sous para.",IF(Lang="English","Impact of rocket with para. ",""))</f>
        <v>Impact fusée sous para.</v>
      </c>
      <c r="G47" s="738"/>
      <c r="H47" s="157">
        <f ca="1">T_para+Dt_para</f>
        <v>189.59607945550385</v>
      </c>
      <c r="I47" s="159" t="s">
        <v>16</v>
      </c>
      <c r="J47" s="158" t="str">
        <f ca="1">CONCATENATE(TEXT(X_para-Dx_para,"0")," | ",TEXT(X_para+Dx_para,"0"))</f>
        <v>42 | 1738</v>
      </c>
      <c r="K47" s="160">
        <f ca="1">V_para</f>
        <v>15.610842974271021</v>
      </c>
      <c r="L47" s="161">
        <f>g</f>
        <v>9.81</v>
      </c>
      <c r="M47" s="161" t="s">
        <v>14</v>
      </c>
    </row>
    <row r="48" spans="1:16" x14ac:dyDescent="0.25">
      <c r="A48" s="194"/>
      <c r="B48" s="3"/>
      <c r="C48" s="3"/>
      <c r="D48" s="195"/>
      <c r="F48" s="736" t="str">
        <f>IF(Lang="Français","Largage du satellite",IF(Lang="English","Satellite separation",""))</f>
        <v>Largage du satellite</v>
      </c>
      <c r="G48" s="724"/>
      <c r="H48" s="153">
        <f>IF(T_satellite&lt;&gt;0,T_satellite,"")</f>
        <v>3.5</v>
      </c>
      <c r="I48" s="154">
        <f ca="1">IF(T_satellite&lt;&gt;0,INDEX(pos_z,MATCH("Satellite",Event_sat,0)),"")</f>
        <v>450.18712532016372</v>
      </c>
      <c r="J48" s="162">
        <f ca="1">IF(T_satellite&lt;&gt;0,INDEX(pos_x,MATCH("Satellite",Event_sat,0)),"")</f>
        <v>99.863367123957531</v>
      </c>
      <c r="K48" s="154">
        <f ca="1">IF(T_satellite&lt;&gt;0,INDEX(vit_xz,MATCH("Satellite",Event_sat,0)),"")</f>
        <v>240.08443214469884</v>
      </c>
      <c r="L48" s="155">
        <f ca="1">IF(T_satellite&lt;&gt;0,INDEX(acc_xz,MATCH("Satellite",Event_sat,0)),"")</f>
        <v>42.701938571684082</v>
      </c>
      <c r="M48" s="156">
        <f ca="1">IF(T_satellite&lt;&gt;0,INDEX(BetaD,MATCH("Satellite",Event_sat,0)),"")</f>
        <v>76.659260059569306</v>
      </c>
    </row>
    <row r="49" spans="1:13" x14ac:dyDescent="0.25">
      <c r="A49" s="194"/>
      <c r="B49" s="3"/>
      <c r="C49" s="3"/>
      <c r="D49" s="195"/>
      <c r="F49" s="733" t="str">
        <f>IF(Lang="Français","Impact du satellite",IF(Lang="English","Satellite impact",""))</f>
        <v>Impact du satellite</v>
      </c>
      <c r="G49" s="734"/>
      <c r="H49" s="157">
        <f ca="1">IF(T_satellite&lt;&gt;0,T_satellite+Dt_satellite,"")</f>
        <v>39.07227274115548</v>
      </c>
      <c r="I49" s="163" t="str">
        <f>IF(T_satellite&lt;&gt;0,"~0","")</f>
        <v>~0</v>
      </c>
      <c r="J49" s="163" t="str">
        <f ca="1">IF(T_satellite&lt;&gt;0,CONCATENATE(TEXT(X_satellite-Dx_sat,"0")," | ",TEXT(X_satellite+Dx_sat,"0")),"")</f>
        <v>-78 | 278</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299</v>
      </c>
      <c r="C51" s="3"/>
      <c r="D51" s="195"/>
    </row>
    <row r="52" spans="1:13" x14ac:dyDescent="0.25">
      <c r="A52" s="194"/>
      <c r="B52" s="199" t="str">
        <f>IF(Lang="Français","Rayon intérieur","Half-diameter int")</f>
        <v>Rayon intérieur</v>
      </c>
      <c r="C52" s="3"/>
      <c r="D52" s="195"/>
    </row>
    <row r="53" spans="1:13" x14ac:dyDescent="0.25">
      <c r="A53" s="194"/>
      <c r="B53" s="201">
        <v>29</v>
      </c>
      <c r="C53" s="3"/>
      <c r="D53" s="195"/>
    </row>
    <row r="54" spans="1:13" x14ac:dyDescent="0.25">
      <c r="A54" s="194"/>
      <c r="B54" s="202" t="s">
        <v>9</v>
      </c>
      <c r="C54" s="3"/>
      <c r="D54" s="195"/>
    </row>
    <row r="55" spans="1:13" x14ac:dyDescent="0.25">
      <c r="A55" s="194"/>
      <c r="B55" s="207">
        <f>PI()*(B51^2-B53^2)/10^6</f>
        <v>0.27821944540191207</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20</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2690.3927303966475</v>
      </c>
    </row>
    <row r="119" spans="2:3" x14ac:dyDescent="0.25">
      <c r="B119" s="245" t="s">
        <v>48</v>
      </c>
      <c r="C119" s="9"/>
    </row>
    <row r="120" spans="2:3" x14ac:dyDescent="0.25">
      <c r="B120" s="256">
        <f ca="1">MAX(Altitude_culmi,Portee_balistique)</f>
        <v>2690.3927303966475</v>
      </c>
      <c r="C120" s="254" t="s">
        <v>46</v>
      </c>
    </row>
    <row r="121" spans="2:3" x14ac:dyDescent="0.25">
      <c r="B121" s="9"/>
      <c r="C121" s="250">
        <f ca="1">Alt_para</f>
        <v>2647.5377654318622</v>
      </c>
    </row>
    <row r="122" spans="2:3" x14ac:dyDescent="0.25">
      <c r="B122" s="253" t="s">
        <v>50</v>
      </c>
      <c r="C122" s="250">
        <f ca="1">Alt_para/2</f>
        <v>1323.7688827159311</v>
      </c>
    </row>
    <row r="123" spans="2:3" x14ac:dyDescent="0.25">
      <c r="B123" s="255">
        <f ca="1">X_para</f>
        <v>890.19344698904672</v>
      </c>
      <c r="C123" s="250">
        <v>0</v>
      </c>
    </row>
    <row r="124" spans="2:3" x14ac:dyDescent="0.25">
      <c r="B124" s="255">
        <f ca="1">X_para</f>
        <v>890.19344698904672</v>
      </c>
      <c r="C124" s="250">
        <f ca="1">Alt_para/20</f>
        <v>132.37688827159312</v>
      </c>
    </row>
    <row r="125" spans="2:3" x14ac:dyDescent="0.25">
      <c r="B125" s="255">
        <f ca="1">X_para</f>
        <v>890.19344698904672</v>
      </c>
      <c r="C125" s="250">
        <v>0</v>
      </c>
    </row>
    <row r="126" spans="2:3" x14ac:dyDescent="0.25">
      <c r="B126" s="255">
        <f ca="1">X_para+Alt_para/40</f>
        <v>956.38189112484326</v>
      </c>
      <c r="C126" s="250">
        <f ca="1">Alt_para/20</f>
        <v>132.37688827159312</v>
      </c>
    </row>
    <row r="127" spans="2:3" x14ac:dyDescent="0.25">
      <c r="B127" s="255">
        <f ca="1">X_para</f>
        <v>890.19344698904672</v>
      </c>
      <c r="C127" s="257">
        <v>0</v>
      </c>
    </row>
    <row r="128" spans="2:3" x14ac:dyDescent="0.25">
      <c r="B128" s="255">
        <f ca="1">X_para-Alt_para/40</f>
        <v>824.00500285325018</v>
      </c>
      <c r="C128" s="246" t="s">
        <v>46</v>
      </c>
    </row>
    <row r="129" spans="2:6" x14ac:dyDescent="0.25">
      <c r="B129" s="256">
        <f ca="1">X_para</f>
        <v>890.19344698904672</v>
      </c>
      <c r="C129" s="250">
        <f ca="1">Alt_para</f>
        <v>2647.5377654318622</v>
      </c>
      <c r="E129" s="274">
        <v>1</v>
      </c>
      <c r="F129" s="275" t="s">
        <v>176</v>
      </c>
    </row>
    <row r="130" spans="2:6" x14ac:dyDescent="0.25">
      <c r="B130" s="245" t="s">
        <v>49</v>
      </c>
      <c r="C130" s="250">
        <f ca="1">(C129+C131)/2</f>
        <v>1323.7688827159311</v>
      </c>
      <c r="E130" s="194">
        <v>1</v>
      </c>
      <c r="F130" s="276" t="s">
        <v>177</v>
      </c>
    </row>
    <row r="131" spans="2:6" x14ac:dyDescent="0.25">
      <c r="B131" s="249">
        <f>T_para</f>
        <v>20</v>
      </c>
      <c r="C131" s="250">
        <f>0</f>
        <v>0</v>
      </c>
      <c r="E131" s="194"/>
      <c r="F131" s="283" t="s">
        <v>178</v>
      </c>
    </row>
    <row r="132" spans="2:6" x14ac:dyDescent="0.25">
      <c r="B132" s="249">
        <f ca="1">(B131+B133)/2</f>
        <v>104.79803972775193</v>
      </c>
      <c r="C132" s="250">
        <f ca="1">Alt_para-V_para*(H47-T_para)+E129*sS*Altitude_culmi/H47*zZ_fus+E130*sS/2*Altitude_culmi/H47*tT_fus</f>
        <v>101.04082364566122</v>
      </c>
      <c r="E132" s="277" t="s">
        <v>173</v>
      </c>
      <c r="F132" s="278">
        <f ca="1">T_balistique/10</f>
        <v>4.9200000000000363</v>
      </c>
    </row>
    <row r="133" spans="2:6" x14ac:dyDescent="0.25">
      <c r="B133" s="249">
        <f ca="1">H47</f>
        <v>189.59607945550385</v>
      </c>
      <c r="C133" s="250">
        <f ca="1">Alt_para-V_para*(H47-T_para)</f>
        <v>0</v>
      </c>
      <c r="E133" s="277" t="s">
        <v>174</v>
      </c>
      <c r="F133" s="278">
        <f ca="1">(H47-T_para)/H47</f>
        <v>0.89451258666615108</v>
      </c>
    </row>
    <row r="134" spans="2:6" x14ac:dyDescent="0.25">
      <c r="B134" s="249">
        <f ca="1">H47+E129*sS/2*zZ_fus-E130*sS*tT_fus</f>
        <v>187.65507752910636</v>
      </c>
      <c r="C134" s="250">
        <f ca="1">Alt_para-V_para*(H47-T_para)+E129*sS*Altitude_culmi/H47*zZ_fus-E130*sS/2*Altitude_culmi/H47*tT_fus</f>
        <v>38.590040785352734</v>
      </c>
      <c r="E134" s="279" t="s">
        <v>175</v>
      </c>
      <c r="F134" s="280">
        <f ca="1">V_para*(H47-T_para)/Alt_para</f>
        <v>1</v>
      </c>
    </row>
    <row r="135" spans="2:6" x14ac:dyDescent="0.25">
      <c r="B135" s="249">
        <f ca="1">H47</f>
        <v>189.59607945550385</v>
      </c>
      <c r="C135" s="252">
        <f ca="1">Alt_para-V_para*(H47-T_para)</f>
        <v>0</v>
      </c>
    </row>
    <row r="136" spans="2:6" x14ac:dyDescent="0.25">
      <c r="B136" s="249">
        <f ca="1">H47-E129*sS/2*zZ_fus-E130*sS*tT_fus</f>
        <v>182.73507752910635</v>
      </c>
      <c r="C136" s="3"/>
    </row>
    <row r="137" spans="2:6" x14ac:dyDescent="0.25">
      <c r="B137" s="251">
        <f ca="1">H47</f>
        <v>189.59607945550385</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0.92886178861788671</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1.2847084675342537</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1323.7688827159311</v>
      </c>
      <c r="D155" s="273">
        <f ca="1">X_para/4</f>
        <v>222.54836174726168</v>
      </c>
    </row>
    <row r="156" spans="2:6" x14ac:dyDescent="0.25">
      <c r="B156" s="245" t="s">
        <v>2</v>
      </c>
      <c r="C156" s="269">
        <f ca="1">Altitude_culmi/2</f>
        <v>1345.1963651983237</v>
      </c>
      <c r="D156" s="270">
        <f ca="1">X_culmi+(Portee_balistique-X_culmi)*2/3</f>
        <v>1522.4913898604955</v>
      </c>
    </row>
    <row r="157" spans="2:6" x14ac:dyDescent="0.25">
      <c r="B157" s="271">
        <f>T_para/4</f>
        <v>5</v>
      </c>
    </row>
    <row r="158" spans="2:6" x14ac:dyDescent="0.25">
      <c r="B158" s="268">
        <f ca="1">Temps_culmi + (T_balistique-Temps_culmi)/2</f>
        <v>36.050000000000182</v>
      </c>
      <c r="C158" s="267" t="s">
        <v>304</v>
      </c>
      <c r="D158" s="484" t="s">
        <v>306</v>
      </c>
      <c r="E158" s="484"/>
      <c r="F158" s="485" t="s">
        <v>306</v>
      </c>
    </row>
    <row r="159" spans="2:6" x14ac:dyDescent="0.25">
      <c r="C159" s="303">
        <v>0</v>
      </c>
      <c r="D159" s="272">
        <f t="shared" ref="D159:D174" ca="1" si="0">X_culmi+C159</f>
        <v>1001.4267831548117</v>
      </c>
      <c r="E159" s="272"/>
      <c r="F159" s="273">
        <f t="shared" ref="F159:F174" ca="1" si="1">X_culmi-C159</f>
        <v>1001.4267831548117</v>
      </c>
    </row>
    <row r="160" spans="2:6" x14ac:dyDescent="0.25">
      <c r="B160" s="245" t="s">
        <v>305</v>
      </c>
      <c r="C160" s="303">
        <v>23</v>
      </c>
      <c r="D160" s="272">
        <f t="shared" ca="1" si="0"/>
        <v>1024.4267831548118</v>
      </c>
      <c r="E160" s="272"/>
      <c r="F160" s="273">
        <f t="shared" ca="1" si="1"/>
        <v>978.42678315481169</v>
      </c>
    </row>
    <row r="161" spans="2:6" x14ac:dyDescent="0.25">
      <c r="B161" s="271" t="e">
        <f ca="1">IF(AND(Altitude_culmi&gt;80, Altitude_culmi&lt;=350), 49, NA())</f>
        <v>#N/A</v>
      </c>
      <c r="C161" s="303">
        <v>23</v>
      </c>
      <c r="D161" s="272">
        <f t="shared" ca="1" si="0"/>
        <v>1024.4267831548118</v>
      </c>
      <c r="E161" s="272"/>
      <c r="F161" s="273">
        <f t="shared" ca="1" si="1"/>
        <v>978.42678315481169</v>
      </c>
    </row>
    <row r="162" spans="2:6" x14ac:dyDescent="0.25">
      <c r="B162" s="271" t="e">
        <f ca="1">IF(AND(Altitude_culmi&gt;80, Altitude_culmi&lt;=350), 49, NA())</f>
        <v>#N/A</v>
      </c>
      <c r="C162" s="303">
        <v>0</v>
      </c>
      <c r="D162" s="272">
        <f t="shared" ca="1" si="0"/>
        <v>1001.4267831548117</v>
      </c>
      <c r="E162" s="272"/>
      <c r="F162" s="273">
        <f t="shared" ca="1" si="1"/>
        <v>1001.4267831548117</v>
      </c>
    </row>
    <row r="163" spans="2:6" x14ac:dyDescent="0.25">
      <c r="B163" s="271" t="e">
        <f ca="1">IF(AND(Altitude_culmi&gt;80, Altitude_culmi&lt;=350), 43, NA())</f>
        <v>#N/A</v>
      </c>
      <c r="C163" s="303">
        <v>23</v>
      </c>
      <c r="D163" s="272">
        <f t="shared" ca="1" si="0"/>
        <v>1024.4267831548118</v>
      </c>
      <c r="E163" s="272"/>
      <c r="F163" s="273">
        <f t="shared" ca="1" si="1"/>
        <v>978.42678315481169</v>
      </c>
    </row>
    <row r="164" spans="2:6" x14ac:dyDescent="0.25">
      <c r="B164" s="271" t="e">
        <f ca="1">IF(AND(Altitude_culmi&gt;80, Altitude_culmi&lt;=350), 43, NA())</f>
        <v>#N/A</v>
      </c>
      <c r="C164" s="303">
        <v>23</v>
      </c>
      <c r="D164" s="272">
        <f t="shared" ca="1" si="0"/>
        <v>1024.4267831548118</v>
      </c>
      <c r="E164" s="272"/>
      <c r="F164" s="273">
        <f t="shared" ca="1" si="1"/>
        <v>978.42678315481169</v>
      </c>
    </row>
    <row r="165" spans="2:6" x14ac:dyDescent="0.25">
      <c r="B165" s="271" t="e">
        <f ca="1">IF(AND(Altitude_culmi&gt;80, Altitude_culmi&lt;=350), 43, NA())</f>
        <v>#N/A</v>
      </c>
      <c r="C165" s="303">
        <v>8</v>
      </c>
      <c r="D165" s="272">
        <f t="shared" ca="1" si="0"/>
        <v>1009.4267831548117</v>
      </c>
      <c r="E165" s="272"/>
      <c r="F165" s="273">
        <f t="shared" ca="1" si="1"/>
        <v>993.42678315481169</v>
      </c>
    </row>
    <row r="166" spans="2:6" x14ac:dyDescent="0.25">
      <c r="B166" s="271" t="e">
        <f ca="1">IF(AND(Altitude_culmi&gt;80, Altitude_culmi&lt;=350), 0.5, NA())</f>
        <v>#N/A</v>
      </c>
      <c r="C166" s="303">
        <v>8</v>
      </c>
      <c r="D166" s="272">
        <f t="shared" ca="1" si="0"/>
        <v>1009.4267831548117</v>
      </c>
      <c r="E166" s="272"/>
      <c r="F166" s="273">
        <f t="shared" ca="1" si="1"/>
        <v>993.42678315481169</v>
      </c>
    </row>
    <row r="167" spans="2:6" x14ac:dyDescent="0.25">
      <c r="B167" s="271" t="e">
        <f ca="1">IF(AND(Altitude_culmi&gt;80, Altitude_culmi&lt;=350), 0.5, NA())</f>
        <v>#N/A</v>
      </c>
      <c r="C167" s="303">
        <v>23</v>
      </c>
      <c r="D167" s="272">
        <f t="shared" ca="1" si="0"/>
        <v>1024.4267831548118</v>
      </c>
      <c r="E167" s="272"/>
      <c r="F167" s="273">
        <f t="shared" ca="1" si="1"/>
        <v>978.42678315481169</v>
      </c>
    </row>
    <row r="168" spans="2:6" x14ac:dyDescent="0.25">
      <c r="B168" s="271" t="e">
        <f ca="1">IF(AND(Altitude_culmi&gt;80, Altitude_culmi&lt;=350), 27, NA())</f>
        <v>#N/A</v>
      </c>
      <c r="C168" s="303">
        <v>8</v>
      </c>
      <c r="D168" s="272">
        <f t="shared" ca="1" si="0"/>
        <v>1009.4267831548117</v>
      </c>
      <c r="E168" s="272"/>
      <c r="F168" s="273">
        <f t="shared" ca="1" si="1"/>
        <v>993.42678315481169</v>
      </c>
    </row>
    <row r="169" spans="2:6" x14ac:dyDescent="0.25">
      <c r="B169" s="271" t="e">
        <f ca="1">IF(AND(Altitude_culmi&gt;80, Altitude_culmi&lt;=350), 27, NA())</f>
        <v>#N/A</v>
      </c>
      <c r="C169" s="303">
        <v>7.6</v>
      </c>
      <c r="D169" s="272">
        <f t="shared" ca="1" si="0"/>
        <v>1009.0267831548117</v>
      </c>
      <c r="E169" s="272"/>
      <c r="F169" s="273">
        <f t="shared" ca="1" si="1"/>
        <v>993.82678315481166</v>
      </c>
    </row>
    <row r="170" spans="2:6" x14ac:dyDescent="0.25">
      <c r="B170" s="271" t="e">
        <f ca="1">IF(AND(Altitude_culmi&gt;80, Altitude_culmi&lt;=350), 27, NA())</f>
        <v>#N/A</v>
      </c>
      <c r="C170" s="303">
        <v>6.8</v>
      </c>
      <c r="D170" s="272">
        <f t="shared" ca="1" si="0"/>
        <v>1008.2267831548116</v>
      </c>
      <c r="E170" s="272"/>
      <c r="F170" s="273">
        <f t="shared" ca="1" si="1"/>
        <v>994.62678315481173</v>
      </c>
    </row>
    <row r="171" spans="2:6" x14ac:dyDescent="0.25">
      <c r="B171" s="271" t="e">
        <f ca="1">IF(AND(Altitude_culmi&gt;80, Altitude_culmi&lt;=350), 29, NA())</f>
        <v>#N/A</v>
      </c>
      <c r="C171" s="303">
        <v>6</v>
      </c>
      <c r="D171" s="272">
        <f t="shared" ca="1" si="0"/>
        <v>1007.4267831548117</v>
      </c>
      <c r="E171" s="272"/>
      <c r="F171" s="273">
        <f t="shared" ca="1" si="1"/>
        <v>995.42678315481169</v>
      </c>
    </row>
    <row r="172" spans="2:6" x14ac:dyDescent="0.25">
      <c r="B172" s="271" t="e">
        <f ca="1">IF(AND(Altitude_culmi&gt;80, Altitude_culmi&lt;=350), 31, NA())</f>
        <v>#N/A</v>
      </c>
      <c r="C172" s="303">
        <v>5</v>
      </c>
      <c r="D172" s="272">
        <f t="shared" ca="1" si="0"/>
        <v>1006.4267831548117</v>
      </c>
      <c r="E172" s="272"/>
      <c r="F172" s="273">
        <f t="shared" ca="1" si="1"/>
        <v>996.42678315481169</v>
      </c>
    </row>
    <row r="173" spans="2:6" x14ac:dyDescent="0.25">
      <c r="B173" s="271" t="e">
        <f ca="1">IF(AND(Altitude_culmi&gt;80, Altitude_culmi&lt;=350), 32, NA())</f>
        <v>#N/A</v>
      </c>
      <c r="C173" s="303">
        <v>3.8</v>
      </c>
      <c r="D173" s="272">
        <f t="shared" ca="1" si="0"/>
        <v>1005.2267831548116</v>
      </c>
      <c r="E173" s="272"/>
      <c r="F173" s="273">
        <f t="shared" ca="1" si="1"/>
        <v>997.62678315481173</v>
      </c>
    </row>
    <row r="174" spans="2:6" x14ac:dyDescent="0.25">
      <c r="B174" s="271" t="e">
        <f ca="1">IF(AND(Altitude_culmi&gt;80, Altitude_culmi&lt;=350), 33, NA())</f>
        <v>#N/A</v>
      </c>
      <c r="C174" s="482">
        <v>0</v>
      </c>
      <c r="D174" s="483">
        <f t="shared" ca="1" si="0"/>
        <v>1001.4267831548117</v>
      </c>
      <c r="E174" s="483"/>
      <c r="F174" s="270">
        <f t="shared" ca="1" si="1"/>
        <v>1001.4267831548117</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1001.4267831548117</v>
      </c>
      <c r="E177" s="272"/>
      <c r="F177" s="273">
        <f t="shared" ref="F177:F197" ca="1" si="3">X_culmi-C177</f>
        <v>1001.4267831548117</v>
      </c>
    </row>
    <row r="178" spans="2:6" x14ac:dyDescent="0.25">
      <c r="B178" s="245" t="s">
        <v>307</v>
      </c>
      <c r="C178" s="303">
        <v>0</v>
      </c>
      <c r="D178" s="272">
        <f t="shared" ca="1" si="2"/>
        <v>1001.4267831548117</v>
      </c>
      <c r="E178" s="272"/>
      <c r="F178" s="273">
        <f t="shared" ca="1" si="3"/>
        <v>1001.4267831548117</v>
      </c>
    </row>
    <row r="179" spans="2:6" x14ac:dyDescent="0.25">
      <c r="B179" s="271">
        <f ca="1">IF(Altitude_culmi&gt;350, 324, NA())</f>
        <v>324</v>
      </c>
      <c r="C179" s="303">
        <v>10</v>
      </c>
      <c r="D179" s="272">
        <f t="shared" ca="1" si="2"/>
        <v>1011.4267831548117</v>
      </c>
      <c r="E179" s="272"/>
      <c r="F179" s="273">
        <f t="shared" ca="1" si="3"/>
        <v>991.42678315481169</v>
      </c>
    </row>
    <row r="180" spans="2:6" x14ac:dyDescent="0.25">
      <c r="B180" s="271">
        <f ca="1">IF(Altitude_culmi&gt;350, 300, NA())</f>
        <v>300</v>
      </c>
      <c r="C180" s="303">
        <v>0</v>
      </c>
      <c r="D180" s="272">
        <f t="shared" ca="1" si="2"/>
        <v>1001.4267831548117</v>
      </c>
      <c r="E180" s="272"/>
      <c r="F180" s="273">
        <f t="shared" ca="1" si="3"/>
        <v>1001.4267831548117</v>
      </c>
    </row>
    <row r="181" spans="2:6" x14ac:dyDescent="0.25">
      <c r="B181" s="271">
        <f ca="1">IF(Altitude_culmi&gt;350, 280, NA())</f>
        <v>280</v>
      </c>
      <c r="C181" s="303">
        <v>10</v>
      </c>
      <c r="D181" s="272">
        <f t="shared" ca="1" si="2"/>
        <v>1011.4267831548117</v>
      </c>
      <c r="E181" s="272"/>
      <c r="F181" s="273">
        <f t="shared" ca="1" si="3"/>
        <v>991.42678315481169</v>
      </c>
    </row>
    <row r="182" spans="2:6" x14ac:dyDescent="0.25">
      <c r="B182" s="271">
        <f ca="1">IF(Altitude_culmi&gt;350, 280, NA())</f>
        <v>280</v>
      </c>
      <c r="C182" s="303">
        <v>13</v>
      </c>
      <c r="D182" s="272">
        <f t="shared" ca="1" si="2"/>
        <v>1014.4267831548117</v>
      </c>
      <c r="E182" s="272"/>
      <c r="F182" s="273">
        <f t="shared" ca="1" si="3"/>
        <v>988.42678315481169</v>
      </c>
    </row>
    <row r="183" spans="2:6" x14ac:dyDescent="0.25">
      <c r="B183" s="271">
        <f ca="1">IF(Altitude_culmi&gt;350, 280, NA())</f>
        <v>280</v>
      </c>
      <c r="C183" s="303">
        <v>17</v>
      </c>
      <c r="D183" s="272">
        <f t="shared" ca="1" si="2"/>
        <v>1018.4267831548117</v>
      </c>
      <c r="E183" s="272"/>
      <c r="F183" s="273">
        <f t="shared" ca="1" si="3"/>
        <v>984.42678315481169</v>
      </c>
    </row>
    <row r="184" spans="2:6" x14ac:dyDescent="0.25">
      <c r="B184" s="271">
        <f ca="1">IF(Altitude_culmi&gt;350, 200, NA())</f>
        <v>200</v>
      </c>
      <c r="C184" s="303">
        <v>20</v>
      </c>
      <c r="D184" s="272">
        <f t="shared" ca="1" si="2"/>
        <v>1021.4267831548117</v>
      </c>
      <c r="E184" s="272"/>
      <c r="F184" s="273">
        <f t="shared" ca="1" si="3"/>
        <v>981.42678315481169</v>
      </c>
    </row>
    <row r="185" spans="2:6" x14ac:dyDescent="0.25">
      <c r="B185" s="271">
        <f ca="1">IF(Altitude_culmi&gt;350, 160, NA())</f>
        <v>160</v>
      </c>
      <c r="C185" s="303">
        <v>25</v>
      </c>
      <c r="D185" s="272">
        <f t="shared" ca="1" si="2"/>
        <v>1026.4267831548118</v>
      </c>
      <c r="E185" s="272"/>
      <c r="F185" s="273">
        <f t="shared" ca="1" si="3"/>
        <v>976.42678315481169</v>
      </c>
    </row>
    <row r="186" spans="2:6" x14ac:dyDescent="0.25">
      <c r="B186" s="271">
        <f ca="1">IF(Altitude_culmi&gt;350, 115, NA())</f>
        <v>115</v>
      </c>
      <c r="C186" s="303">
        <v>30</v>
      </c>
      <c r="D186" s="272">
        <f t="shared" ca="1" si="2"/>
        <v>1031.4267831548118</v>
      </c>
      <c r="E186" s="272"/>
      <c r="F186" s="273">
        <f t="shared" ca="1" si="3"/>
        <v>971.42678315481169</v>
      </c>
    </row>
    <row r="187" spans="2:6" x14ac:dyDescent="0.25">
      <c r="B187" s="271">
        <f ca="1">IF(Altitude_culmi&gt;350, 90, NA())</f>
        <v>90</v>
      </c>
      <c r="C187" s="303">
        <v>36</v>
      </c>
      <c r="D187" s="272">
        <f t="shared" ca="1" si="2"/>
        <v>1037.4267831548118</v>
      </c>
      <c r="E187" s="272"/>
      <c r="F187" s="273">
        <f t="shared" ca="1" si="3"/>
        <v>965.42678315481169</v>
      </c>
    </row>
    <row r="188" spans="2:6" x14ac:dyDescent="0.25">
      <c r="B188" s="271">
        <f ca="1">IF(Altitude_culmi&gt;350, 57, NA())</f>
        <v>57</v>
      </c>
      <c r="C188" s="303">
        <v>48</v>
      </c>
      <c r="D188" s="272">
        <f t="shared" ca="1" si="2"/>
        <v>1049.4267831548118</v>
      </c>
      <c r="E188" s="272"/>
      <c r="F188" s="273">
        <f t="shared" ca="1" si="3"/>
        <v>953.42678315481169</v>
      </c>
    </row>
    <row r="189" spans="2:6" x14ac:dyDescent="0.25">
      <c r="B189" s="271">
        <f ca="1">IF(Altitude_culmi&gt;350, 40, NA())</f>
        <v>40</v>
      </c>
      <c r="C189" s="303">
        <v>62</v>
      </c>
      <c r="D189" s="272">
        <f t="shared" ca="1" si="2"/>
        <v>1063.4267831548118</v>
      </c>
      <c r="E189" s="272"/>
      <c r="F189" s="273">
        <f t="shared" ca="1" si="3"/>
        <v>939.42678315481169</v>
      </c>
    </row>
    <row r="190" spans="2:6" x14ac:dyDescent="0.25">
      <c r="B190" s="271">
        <f ca="1">IF(Altitude_culmi&gt;350, 20, NA())</f>
        <v>20</v>
      </c>
      <c r="C190" s="303">
        <v>37</v>
      </c>
      <c r="D190" s="272">
        <f t="shared" ca="1" si="2"/>
        <v>1038.4267831548118</v>
      </c>
      <c r="E190" s="272"/>
      <c r="F190" s="273">
        <f t="shared" ca="1" si="3"/>
        <v>964.42678315481169</v>
      </c>
    </row>
    <row r="191" spans="2:6" x14ac:dyDescent="0.25">
      <c r="B191" s="271">
        <f ca="1">IF(Altitude_culmi&gt;350, 0.5, NA())</f>
        <v>0.5</v>
      </c>
      <c r="C191" s="303">
        <v>30</v>
      </c>
      <c r="D191" s="272">
        <f t="shared" ca="1" si="2"/>
        <v>1031.4267831548118</v>
      </c>
      <c r="E191" s="272"/>
      <c r="F191" s="273">
        <f t="shared" ca="1" si="3"/>
        <v>971.42678315481169</v>
      </c>
    </row>
    <row r="192" spans="2:6" x14ac:dyDescent="0.25">
      <c r="B192" s="271">
        <f ca="1">IF(Altitude_culmi&gt;350, 0.5, NA())</f>
        <v>0.5</v>
      </c>
      <c r="C192" s="303">
        <v>15</v>
      </c>
      <c r="D192" s="272">
        <f t="shared" ca="1" si="2"/>
        <v>1016.4267831548117</v>
      </c>
      <c r="E192" s="272"/>
      <c r="F192" s="273">
        <f t="shared" ca="1" si="3"/>
        <v>986.42678315481169</v>
      </c>
    </row>
    <row r="193" spans="2:6" x14ac:dyDescent="0.25">
      <c r="B193" s="271">
        <f ca="1">IF(Altitude_culmi&gt;350, 15, NA())</f>
        <v>15</v>
      </c>
      <c r="C193" s="303">
        <v>0</v>
      </c>
      <c r="D193" s="272">
        <f t="shared" ca="1" si="2"/>
        <v>1001.4267831548117</v>
      </c>
      <c r="E193" s="272"/>
      <c r="F193" s="273">
        <f t="shared" ca="1" si="3"/>
        <v>1001.4267831548117</v>
      </c>
    </row>
    <row r="194" spans="2:6" x14ac:dyDescent="0.25">
      <c r="B194" s="271">
        <f ca="1">IF(Altitude_culmi&gt;350, 30, NA())</f>
        <v>30</v>
      </c>
      <c r="C194" s="303">
        <v>0</v>
      </c>
      <c r="D194" s="272">
        <f t="shared" ca="1" si="2"/>
        <v>1001.4267831548117</v>
      </c>
      <c r="E194" s="272"/>
      <c r="F194" s="273">
        <f t="shared" ca="1" si="3"/>
        <v>1001.4267831548117</v>
      </c>
    </row>
    <row r="195" spans="2:6" x14ac:dyDescent="0.25">
      <c r="B195" s="271">
        <f ca="1">IF(Altitude_culmi&gt;350, 37, NA())</f>
        <v>37</v>
      </c>
      <c r="C195" s="303">
        <v>17</v>
      </c>
      <c r="D195" s="272">
        <f t="shared" ca="1" si="2"/>
        <v>1018.4267831548117</v>
      </c>
      <c r="E195" s="272"/>
      <c r="F195" s="273">
        <f t="shared" ca="1" si="3"/>
        <v>984.42678315481169</v>
      </c>
    </row>
    <row r="196" spans="2:6" x14ac:dyDescent="0.25">
      <c r="B196" s="271">
        <f ca="1">IF(Altitude_culmi&gt;350, 67, NA())</f>
        <v>67</v>
      </c>
      <c r="C196" s="303">
        <v>11</v>
      </c>
      <c r="D196" s="272">
        <f t="shared" ca="1" si="2"/>
        <v>1012.4267831548117</v>
      </c>
      <c r="E196" s="272"/>
      <c r="F196" s="273">
        <f t="shared" ca="1" si="3"/>
        <v>990.42678315481169</v>
      </c>
    </row>
    <row r="197" spans="2:6" x14ac:dyDescent="0.25">
      <c r="B197" s="271">
        <f ca="1">IF(Altitude_culmi&gt;350, 67, NA())</f>
        <v>67</v>
      </c>
      <c r="C197" s="482">
        <v>0</v>
      </c>
      <c r="D197" s="483">
        <f t="shared" ca="1" si="2"/>
        <v>1001.4267831548117</v>
      </c>
      <c r="E197" s="483"/>
      <c r="F197" s="270">
        <f t="shared" ca="1" si="3"/>
        <v>1001.4267831548117</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F49:G49"/>
    <mergeCell ref="F40:G40"/>
    <mergeCell ref="F41:G41"/>
    <mergeCell ref="F42:G42"/>
    <mergeCell ref="F43:G43"/>
    <mergeCell ref="F48:G48"/>
    <mergeCell ref="F44:G44"/>
    <mergeCell ref="F45:G45"/>
    <mergeCell ref="F47:G47"/>
    <mergeCell ref="F46:G46"/>
    <mergeCell ref="C15:D15"/>
    <mergeCell ref="C10:D10"/>
    <mergeCell ref="C19:D19"/>
    <mergeCell ref="C20:D20"/>
    <mergeCell ref="C11:D11"/>
    <mergeCell ref="C13:D13"/>
    <mergeCell ref="C14:D14"/>
    <mergeCell ref="C18:D18"/>
    <mergeCell ref="C22:D22"/>
    <mergeCell ref="C17:D17"/>
    <mergeCell ref="F23:G23"/>
    <mergeCell ref="F27:G27"/>
    <mergeCell ref="F26:G26"/>
    <mergeCell ref="F24:G24"/>
    <mergeCell ref="F25:G25"/>
    <mergeCell ref="H33:I33"/>
    <mergeCell ref="H32:I32"/>
    <mergeCell ref="F28:G28"/>
    <mergeCell ref="H31:I31"/>
    <mergeCell ref="A38:D38"/>
    <mergeCell ref="H34:I34"/>
    <mergeCell ref="F34:G34"/>
    <mergeCell ref="F33:G33"/>
    <mergeCell ref="F32:G32"/>
    <mergeCell ref="F38:G38"/>
    <mergeCell ref="C2:D3"/>
    <mergeCell ref="C7:D7"/>
    <mergeCell ref="C8:D8"/>
    <mergeCell ref="C9:D9"/>
    <mergeCell ref="C6:D6"/>
    <mergeCell ref="C4:D4"/>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Orignal (Pro75-3G C)</v>
      </c>
      <c r="B2" s="407">
        <f>VLOOKUP(A2,A26:B314,2,FALSE)</f>
        <v>289</v>
      </c>
      <c r="C2" s="418" t="s">
        <v>116</v>
      </c>
      <c r="D2" s="408">
        <f ca="1">INDIRECT(ADDRESS(B2,4))</f>
        <v>3739.0284999999994</v>
      </c>
      <c r="E2" s="418" t="s">
        <v>115</v>
      </c>
      <c r="F2" s="409">
        <f ca="1">INDIRECT(ADDRESS(B2,6))</f>
        <v>203.4941790441234</v>
      </c>
      <c r="G2" s="418" t="s">
        <v>57</v>
      </c>
      <c r="H2" s="410">
        <f ca="1">INDIRECT(ADDRESS(B2,8))</f>
        <v>3.5110000000000001</v>
      </c>
      <c r="I2" s="418" t="s">
        <v>274</v>
      </c>
      <c r="J2" s="411">
        <f ca="1">INDIRECT(ADDRESS(B2,10))</f>
        <v>1.8730000000000002</v>
      </c>
      <c r="K2" s="418" t="s">
        <v>59</v>
      </c>
      <c r="L2" s="410">
        <f ca="1">INDIRECT(ADDRESS(B2,12))</f>
        <v>1.6379999999999999</v>
      </c>
      <c r="M2" s="418" t="s">
        <v>58</v>
      </c>
      <c r="N2" s="412">
        <f ca="1">INDIRECT(ADDRESS(B2,14))</f>
        <v>243</v>
      </c>
      <c r="O2" s="418" t="s">
        <v>60</v>
      </c>
      <c r="P2" s="412">
        <f ca="1">INDIRECT(ADDRESS(B2,16))</f>
        <v>243</v>
      </c>
      <c r="Q2" s="418" t="s">
        <v>61</v>
      </c>
      <c r="R2" s="412">
        <f ca="1">INDIRECT(ADDRESS(B2,18))</f>
        <v>486</v>
      </c>
      <c r="S2" s="418" t="s">
        <v>62</v>
      </c>
      <c r="T2" s="412">
        <f ca="1">INDIRECT(ADDRESS(B2,20))</f>
        <v>75</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0.01</v>
      </c>
      <c r="D3" s="420">
        <f t="shared" ca="1" si="0"/>
        <v>0.1</v>
      </c>
      <c r="E3" s="420">
        <f t="shared" ca="1" si="0"/>
        <v>0.12</v>
      </c>
      <c r="F3" s="420">
        <f t="shared" ca="1" si="0"/>
        <v>0.26</v>
      </c>
      <c r="G3" s="420">
        <f t="shared" ca="1" si="0"/>
        <v>0.71</v>
      </c>
      <c r="H3" s="420">
        <f t="shared" ca="1" si="0"/>
        <v>1.28</v>
      </c>
      <c r="I3" s="420">
        <f t="shared" ca="1" si="0"/>
        <v>2.0499999999999998</v>
      </c>
      <c r="J3" s="420">
        <f t="shared" ca="1" si="0"/>
        <v>2.41</v>
      </c>
      <c r="K3" s="420">
        <f t="shared" ca="1" si="0"/>
        <v>2.83</v>
      </c>
      <c r="L3" s="420">
        <f t="shared" ca="1" si="0"/>
        <v>3.25</v>
      </c>
      <c r="M3" s="420">
        <f t="shared" ca="1" si="0"/>
        <v>3.65</v>
      </c>
      <c r="N3" s="420">
        <f t="shared" ca="1" si="0"/>
        <v>3.8</v>
      </c>
      <c r="O3" s="420">
        <f t="shared" ca="1" si="0"/>
        <v>4</v>
      </c>
      <c r="P3" s="420">
        <f t="shared" ca="1" si="0"/>
        <v>4.0999999999999996</v>
      </c>
      <c r="Q3" s="420">
        <f t="shared" ca="1" si="0"/>
        <v>4.1900000000000004</v>
      </c>
      <c r="R3" s="420">
        <f t="shared" ca="1" si="0"/>
        <v>4.3099999999999996</v>
      </c>
      <c r="S3" s="420">
        <f t="shared" ca="1" si="0"/>
        <v>4.41</v>
      </c>
      <c r="T3" s="420">
        <f t="shared" ca="1" si="0"/>
        <v>4.5199999999999996</v>
      </c>
      <c r="U3" s="420">
        <f t="shared" ca="1" si="0"/>
        <v>4.5999999999999996</v>
      </c>
      <c r="V3" s="420">
        <f t="shared" ca="1" si="0"/>
        <v>4.6500000000000004</v>
      </c>
      <c r="W3" s="420">
        <f t="shared" ca="1" si="0"/>
        <v>4.67</v>
      </c>
      <c r="X3" s="420">
        <f ca="1">INDIRECT(ADDRESS($B2+1,COLUMN(X3)))</f>
        <v>4.68</v>
      </c>
      <c r="Y3" s="421">
        <f t="shared" ca="1" si="0"/>
        <v>1000</v>
      </c>
    </row>
    <row r="4" spans="1:26" ht="13.8" thickBot="1" x14ac:dyDescent="0.3">
      <c r="A4" s="435" t="str">
        <f>IF(Lang="Français","Poussée (en N)","Thrust (N)")</f>
        <v>Poussée (en N)</v>
      </c>
      <c r="B4" s="422">
        <f t="shared" ref="B4:Y4" ca="1" si="1">INDIRECT(ADDRESS($B2+2,COLUMN(B3)))</f>
        <v>27</v>
      </c>
      <c r="C4" s="423">
        <f t="shared" ca="1" si="1"/>
        <v>402.4</v>
      </c>
      <c r="D4" s="423">
        <f t="shared" ca="1" si="1"/>
        <v>1286</v>
      </c>
      <c r="E4" s="423">
        <f t="shared" ca="1" si="1"/>
        <v>1257</v>
      </c>
      <c r="F4" s="423">
        <f t="shared" ca="1" si="1"/>
        <v>1042</v>
      </c>
      <c r="G4" s="423">
        <f t="shared" ca="1" si="1"/>
        <v>1027</v>
      </c>
      <c r="H4" s="423">
        <f t="shared" ca="1" si="1"/>
        <v>998.4</v>
      </c>
      <c r="I4" s="423">
        <f t="shared" ca="1" si="1"/>
        <v>901.4</v>
      </c>
      <c r="J4" s="423">
        <f t="shared" ca="1" si="1"/>
        <v>849.6</v>
      </c>
      <c r="K4" s="423">
        <f t="shared" ca="1" si="1"/>
        <v>763.5</v>
      </c>
      <c r="L4" s="423">
        <f t="shared" ca="1" si="1"/>
        <v>707.1</v>
      </c>
      <c r="M4" s="423">
        <f t="shared" ca="1" si="1"/>
        <v>655.1</v>
      </c>
      <c r="N4" s="423">
        <f t="shared" ca="1" si="1"/>
        <v>651.70000000000005</v>
      </c>
      <c r="O4" s="423">
        <f t="shared" ca="1" si="1"/>
        <v>624.1</v>
      </c>
      <c r="P4" s="423">
        <f t="shared" ca="1" si="1"/>
        <v>601.29999999999995</v>
      </c>
      <c r="Q4" s="423">
        <f t="shared" ca="1" si="1"/>
        <v>536.20000000000005</v>
      </c>
      <c r="R4" s="423">
        <f t="shared" ca="1" si="1"/>
        <v>415.7</v>
      </c>
      <c r="S4" s="423">
        <f t="shared" ca="1" si="1"/>
        <v>270.2</v>
      </c>
      <c r="T4" s="423">
        <f t="shared" ca="1" si="1"/>
        <v>140.19999999999999</v>
      </c>
      <c r="U4" s="423">
        <f t="shared" ca="1" si="1"/>
        <v>76.900000000000006</v>
      </c>
      <c r="V4" s="423">
        <f t="shared" ca="1" si="1"/>
        <v>54.9</v>
      </c>
      <c r="W4" s="423">
        <f t="shared" ca="1" si="1"/>
        <v>40.200000000000003</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43" t="s">
        <v>277</v>
      </c>
      <c r="D316" s="744"/>
      <c r="F316" s="743" t="s">
        <v>182</v>
      </c>
      <c r="G316" s="744"/>
      <c r="H316" s="555"/>
      <c r="I316" s="751" t="s">
        <v>399</v>
      </c>
      <c r="J316" s="744"/>
      <c r="K316" s="555"/>
      <c r="L316" s="743" t="s">
        <v>183</v>
      </c>
      <c r="M316" s="744"/>
      <c r="O316" s="751" t="s">
        <v>398</v>
      </c>
      <c r="P316" s="744"/>
      <c r="R316" s="743" t="s">
        <v>119</v>
      </c>
      <c r="S316" s="744"/>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45" t="str">
        <f>A26</f>
        <v>H2O 1.5L 300g 6bar</v>
      </c>
      <c r="D317" s="746"/>
      <c r="F317" s="745" t="str">
        <f>A67</f>
        <v>µ-propu A8-3</v>
      </c>
      <c r="G317" s="746"/>
      <c r="H317" s="558"/>
      <c r="I317" s="747" t="str">
        <f>A148</f>
        <v>p29-1G 56F31</v>
      </c>
      <c r="J317" s="748"/>
      <c r="K317" s="558"/>
      <c r="L317" s="747" t="str">
        <f>A148</f>
        <v>p29-1G 56F31</v>
      </c>
      <c r="M317" s="748"/>
      <c r="O317" s="745" t="str">
        <f>A108</f>
        <v>p24-1G 24E22</v>
      </c>
      <c r="P317" s="746"/>
      <c r="R317" s="745" t="str">
        <f>A279</f>
        <v>Barasinga (Pro54-5G C)</v>
      </c>
      <c r="S317" s="746"/>
    </row>
    <row r="318" spans="1:25" x14ac:dyDescent="0.25">
      <c r="A318" s="459" t="str">
        <v>Orignal (Pro75-3G C)</v>
      </c>
      <c r="C318" s="745" t="str">
        <f>A31</f>
        <v>H2O 1.5L 450g 6bar</v>
      </c>
      <c r="D318" s="746"/>
      <c r="F318" s="745" t="str">
        <f>A72</f>
        <v>µ-propu B4-4</v>
      </c>
      <c r="G318" s="746"/>
      <c r="H318" s="558"/>
      <c r="I318" s="747" t="str">
        <f>A153</f>
        <v>p29-1G 56F120</v>
      </c>
      <c r="J318" s="748"/>
      <c r="K318" s="558"/>
      <c r="L318" s="747" t="str">
        <f>A153</f>
        <v>p29-1G 56F120</v>
      </c>
      <c r="M318" s="748"/>
      <c r="O318" s="745" t="str">
        <f>A113</f>
        <v>p24-1G 25E75 (Rufina)</v>
      </c>
      <c r="P318" s="746"/>
      <c r="R318" s="745" t="str">
        <f>A289</f>
        <v>Orignal (Pro75-3G C)</v>
      </c>
      <c r="S318" s="746"/>
    </row>
    <row r="319" spans="1:25" x14ac:dyDescent="0.25">
      <c r="A319" s="459" t="str">
        <v xml:space="preserve"> </v>
      </c>
      <c r="C319" s="745" t="str">
        <f>A36</f>
        <v>H2O 1.5L 600g 6bar</v>
      </c>
      <c r="D319" s="746"/>
      <c r="F319" s="745" t="str">
        <f>A77</f>
        <v>µ-propu C6-3</v>
      </c>
      <c r="G319" s="746"/>
      <c r="H319" s="558"/>
      <c r="I319" s="747" t="str">
        <f>A158</f>
        <v>p29-1G 57F59</v>
      </c>
      <c r="J319" s="748"/>
      <c r="K319" s="558"/>
      <c r="L319" s="747" t="str">
        <f>A158</f>
        <v>p29-1G 57F59</v>
      </c>
      <c r="M319" s="748"/>
      <c r="O319" s="745" t="str">
        <f>A118</f>
        <v>p24-1G 26E31</v>
      </c>
      <c r="P319" s="746"/>
      <c r="R319" s="745" t="s">
        <v>184</v>
      </c>
      <c r="S319" s="746"/>
    </row>
    <row r="320" spans="1:25" x14ac:dyDescent="0.25">
      <c r="A320" s="459" t="str">
        <v xml:space="preserve"> </v>
      </c>
      <c r="C320" s="745" t="str">
        <f>A41</f>
        <v>H2O 1.5L 750g 6bar</v>
      </c>
      <c r="D320" s="746"/>
      <c r="F320" s="745" t="str">
        <f>A82</f>
        <v>µ-propu C6-3 x2</v>
      </c>
      <c r="G320" s="746"/>
      <c r="H320" s="558"/>
      <c r="I320" s="747" t="str">
        <f>A183</f>
        <v>p24-3G 74F85</v>
      </c>
      <c r="J320" s="748"/>
      <c r="K320" s="558"/>
      <c r="L320" s="747" t="str">
        <f>A228</f>
        <v>p29-2G 116G126</v>
      </c>
      <c r="M320" s="748"/>
      <c r="O320" s="745" t="str">
        <f>A123</f>
        <v>p24-2G 50E51</v>
      </c>
      <c r="P320" s="746"/>
      <c r="R320" s="745" t="s">
        <v>184</v>
      </c>
      <c r="S320" s="746"/>
    </row>
    <row r="321" spans="1:19" x14ac:dyDescent="0.25">
      <c r="A321" s="459" t="str">
        <v xml:space="preserve"> </v>
      </c>
      <c r="C321" s="745" t="str">
        <f>A46</f>
        <v>H2O 2.0L 400g 6bar</v>
      </c>
      <c r="D321" s="746"/>
      <c r="F321" s="745" t="str">
        <f>A87</f>
        <v>µ-propu C6-3 x3</v>
      </c>
      <c r="G321" s="746"/>
      <c r="H321" s="558"/>
      <c r="I321" s="747" t="str">
        <f>A188</f>
        <v>p24-3G 75F51</v>
      </c>
      <c r="J321" s="748"/>
      <c r="K321" s="558"/>
      <c r="L321" s="747" t="s">
        <v>184</v>
      </c>
      <c r="M321" s="748"/>
      <c r="O321" s="745" t="str">
        <f>A128</f>
        <v>p24-1G 53E70</v>
      </c>
      <c r="P321" s="746"/>
      <c r="R321" s="745" t="s">
        <v>184</v>
      </c>
      <c r="S321" s="746"/>
    </row>
    <row r="322" spans="1:19" x14ac:dyDescent="0.25">
      <c r="A322" s="459" t="str">
        <v xml:space="preserve"> </v>
      </c>
      <c r="C322" s="745" t="str">
        <f>A51</f>
        <v>H2O 2.0L 600g 6bar</v>
      </c>
      <c r="D322" s="746"/>
      <c r="F322" s="745" t="s">
        <v>184</v>
      </c>
      <c r="G322" s="746"/>
      <c r="H322" s="558"/>
      <c r="I322" s="747" t="s">
        <v>184</v>
      </c>
      <c r="J322" s="748"/>
      <c r="K322" s="558"/>
      <c r="L322" s="745" t="str">
        <f>A198</f>
        <v>Pandora (Pro24-6G BS)</v>
      </c>
      <c r="M322" s="746"/>
      <c r="O322" s="745" t="str">
        <f>A133</f>
        <v>p29-1G 41F36</v>
      </c>
      <c r="P322" s="746"/>
      <c r="R322" s="745" t="s">
        <v>184</v>
      </c>
      <c r="S322" s="746"/>
    </row>
    <row r="323" spans="1:19" x14ac:dyDescent="0.25">
      <c r="A323" s="459" t="str">
        <v xml:space="preserve"> </v>
      </c>
      <c r="C323" s="745" t="str">
        <f>A56</f>
        <v>H2O 2.0L 800g 6bar</v>
      </c>
      <c r="D323" s="746"/>
      <c r="F323" s="745" t="s">
        <v>184</v>
      </c>
      <c r="G323" s="746"/>
      <c r="H323" s="558"/>
      <c r="I323" s="747" t="s">
        <v>184</v>
      </c>
      <c r="J323" s="748"/>
      <c r="K323" s="558"/>
      <c r="L323" s="745" t="s">
        <v>184</v>
      </c>
      <c r="M323" s="746"/>
      <c r="O323" s="745" t="str">
        <f>A138</f>
        <v>p29-1G 51F36</v>
      </c>
      <c r="P323" s="746"/>
      <c r="R323" s="745" t="s">
        <v>184</v>
      </c>
      <c r="S323" s="746"/>
    </row>
    <row r="324" spans="1:19" x14ac:dyDescent="0.25">
      <c r="A324" s="459" t="str">
        <v xml:space="preserve"> </v>
      </c>
      <c r="C324" s="745" t="str">
        <f>A61</f>
        <v>H2O 2.0L 1000g 6bar</v>
      </c>
      <c r="D324" s="746"/>
      <c r="F324" s="745" t="s">
        <v>184</v>
      </c>
      <c r="G324" s="746"/>
      <c r="H324" s="558"/>
      <c r="I324" s="747" t="s">
        <v>184</v>
      </c>
      <c r="J324" s="748"/>
      <c r="K324" s="558"/>
      <c r="L324" s="745" t="str">
        <f>A92</f>
        <v>Klima D9-7</v>
      </c>
      <c r="M324" s="746"/>
      <c r="O324" s="745" t="str">
        <f>A143</f>
        <v>p29-1G 55F29</v>
      </c>
      <c r="P324" s="746"/>
      <c r="R324" s="745" t="s">
        <v>184</v>
      </c>
      <c r="S324" s="746"/>
    </row>
    <row r="325" spans="1:19" x14ac:dyDescent="0.25">
      <c r="A325" s="459" t="str">
        <v xml:space="preserve"> </v>
      </c>
      <c r="C325" s="745" t="s">
        <v>184</v>
      </c>
      <c r="D325" s="746"/>
      <c r="F325" s="745" t="s">
        <v>184</v>
      </c>
      <c r="G325" s="746"/>
      <c r="H325" s="558"/>
      <c r="I325" s="747" t="s">
        <v>184</v>
      </c>
      <c r="J325" s="748"/>
      <c r="K325" s="558"/>
      <c r="L325" s="745" t="str">
        <f>A97</f>
        <v>Klima D9-7 x2</v>
      </c>
      <c r="M325" s="746"/>
      <c r="O325" s="745" t="str">
        <f>A153</f>
        <v>p29-1G 56F120</v>
      </c>
      <c r="P325" s="746"/>
      <c r="R325" s="745" t="s">
        <v>184</v>
      </c>
      <c r="S325" s="746"/>
    </row>
    <row r="326" spans="1:19" x14ac:dyDescent="0.25">
      <c r="A326" s="459" t="str">
        <v xml:space="preserve"> </v>
      </c>
      <c r="C326" s="745" t="s">
        <v>184</v>
      </c>
      <c r="D326" s="746"/>
      <c r="F326" s="745" t="s">
        <v>184</v>
      </c>
      <c r="G326" s="746"/>
      <c r="H326" s="558"/>
      <c r="I326" s="747" t="s">
        <v>184</v>
      </c>
      <c r="J326" s="748"/>
      <c r="K326" s="558"/>
      <c r="L326" s="745" t="str">
        <f>A102</f>
        <v>Klima D9-7 x3</v>
      </c>
      <c r="M326" s="746"/>
      <c r="O326" s="745" t="str">
        <f>A158</f>
        <v>p29-1G 57F59</v>
      </c>
      <c r="P326" s="746"/>
      <c r="R326" s="745" t="s">
        <v>184</v>
      </c>
      <c r="S326" s="746"/>
    </row>
    <row r="327" spans="1:19" x14ac:dyDescent="0.25">
      <c r="A327" s="459" t="str">
        <v xml:space="preserve"> </v>
      </c>
      <c r="C327" s="745" t="s">
        <v>184</v>
      </c>
      <c r="D327" s="746"/>
      <c r="F327" s="745" t="s">
        <v>184</v>
      </c>
      <c r="G327" s="746"/>
      <c r="H327" s="558"/>
      <c r="I327" s="747" t="s">
        <v>184</v>
      </c>
      <c r="J327" s="748"/>
      <c r="K327" s="558"/>
      <c r="L327" s="745" t="s">
        <v>184</v>
      </c>
      <c r="M327" s="746"/>
      <c r="O327" s="745" t="str">
        <f>A163</f>
        <v>p24-3G 60F50</v>
      </c>
      <c r="P327" s="746"/>
      <c r="R327" s="745" t="s">
        <v>184</v>
      </c>
      <c r="S327" s="746"/>
    </row>
    <row r="328" spans="1:19" x14ac:dyDescent="0.25">
      <c r="A328" s="459" t="str">
        <v xml:space="preserve"> </v>
      </c>
      <c r="C328" s="745" t="s">
        <v>184</v>
      </c>
      <c r="D328" s="746"/>
      <c r="F328" s="745" t="s">
        <v>184</v>
      </c>
      <c r="G328" s="746"/>
      <c r="H328" s="558"/>
      <c r="I328" s="747" t="s">
        <v>184</v>
      </c>
      <c r="J328" s="748"/>
      <c r="K328" s="558"/>
      <c r="L328" s="745" t="s">
        <v>184</v>
      </c>
      <c r="M328" s="746"/>
      <c r="O328" s="745" t="str">
        <f>A168</f>
        <v>p24-3G 68F79</v>
      </c>
      <c r="P328" s="746"/>
      <c r="R328" s="745" t="s">
        <v>184</v>
      </c>
      <c r="S328" s="746"/>
    </row>
    <row r="329" spans="1:19" x14ac:dyDescent="0.25">
      <c r="A329" s="459" t="str">
        <v xml:space="preserve"> </v>
      </c>
      <c r="C329" s="745" t="s">
        <v>184</v>
      </c>
      <c r="D329" s="746"/>
      <c r="F329" s="745" t="s">
        <v>184</v>
      </c>
      <c r="G329" s="746"/>
      <c r="H329" s="558"/>
      <c r="I329" s="747" t="s">
        <v>184</v>
      </c>
      <c r="J329" s="748"/>
      <c r="K329" s="558"/>
      <c r="L329" s="745" t="s">
        <v>184</v>
      </c>
      <c r="M329" s="746"/>
      <c r="O329" s="745" t="str">
        <f>A173</f>
        <v>p24-3G 68F240</v>
      </c>
      <c r="P329" s="746"/>
      <c r="R329" s="745" t="s">
        <v>184</v>
      </c>
      <c r="S329" s="746"/>
    </row>
    <row r="330" spans="1:19" x14ac:dyDescent="0.25">
      <c r="A330" s="459" t="str">
        <v xml:space="preserve"> </v>
      </c>
      <c r="C330" s="745" t="s">
        <v>184</v>
      </c>
      <c r="D330" s="746"/>
      <c r="F330" s="745" t="s">
        <v>184</v>
      </c>
      <c r="G330" s="746"/>
      <c r="H330" s="558"/>
      <c r="I330" s="747" t="s">
        <v>184</v>
      </c>
      <c r="J330" s="748"/>
      <c r="K330" s="558"/>
      <c r="L330" s="745" t="s">
        <v>184</v>
      </c>
      <c r="M330" s="746"/>
      <c r="O330" s="745" t="str">
        <f>A178</f>
        <v>p24-3G 73F30</v>
      </c>
      <c r="P330" s="746"/>
      <c r="R330" s="745" t="s">
        <v>184</v>
      </c>
      <c r="S330" s="746"/>
    </row>
    <row r="331" spans="1:19" x14ac:dyDescent="0.25">
      <c r="A331" s="459" t="str">
        <v xml:space="preserve"> </v>
      </c>
      <c r="C331" s="745" t="s">
        <v>184</v>
      </c>
      <c r="D331" s="746"/>
      <c r="F331" s="745" t="s">
        <v>184</v>
      </c>
      <c r="G331" s="746"/>
      <c r="H331" s="558"/>
      <c r="I331" s="752" t="s">
        <v>184</v>
      </c>
      <c r="J331" s="753"/>
      <c r="K331" s="558"/>
      <c r="L331" s="745" t="s">
        <v>184</v>
      </c>
      <c r="M331" s="746"/>
      <c r="O331" s="745" t="str">
        <f>A183</f>
        <v>p24-3G 74F85</v>
      </c>
      <c r="P331" s="746"/>
      <c r="R331" s="745" t="s">
        <v>184</v>
      </c>
      <c r="S331" s="746"/>
    </row>
    <row r="332" spans="1:19" x14ac:dyDescent="0.25">
      <c r="A332" s="545" t="str">
        <v xml:space="preserve"> </v>
      </c>
      <c r="C332" s="749" t="s">
        <v>184</v>
      </c>
      <c r="D332" s="750"/>
      <c r="F332" s="749" t="s">
        <v>184</v>
      </c>
      <c r="G332" s="750"/>
      <c r="H332" s="558"/>
      <c r="I332" s="749" t="s">
        <v>184</v>
      </c>
      <c r="J332" s="750"/>
      <c r="K332" s="558"/>
      <c r="L332" s="749" t="s">
        <v>184</v>
      </c>
      <c r="M332" s="750"/>
      <c r="O332" s="745" t="str">
        <f>A188</f>
        <v>p24-3G 75F51</v>
      </c>
      <c r="P332" s="746"/>
      <c r="R332" s="749" t="s">
        <v>184</v>
      </c>
      <c r="S332" s="750"/>
    </row>
    <row r="333" spans="1:19" x14ac:dyDescent="0.25">
      <c r="A333" s="459" t="str">
        <v xml:space="preserve"> </v>
      </c>
      <c r="C333" s="739" t="s">
        <v>184</v>
      </c>
      <c r="D333" s="739"/>
      <c r="F333" s="739" t="s">
        <v>184</v>
      </c>
      <c r="G333" s="739"/>
      <c r="I333" s="742" t="s">
        <v>184</v>
      </c>
      <c r="J333" s="742"/>
      <c r="L333" s="742" t="s">
        <v>184</v>
      </c>
      <c r="M333" s="742"/>
      <c r="O333" s="745" t="str">
        <f>A213</f>
        <v>p29-2G 84G88</v>
      </c>
      <c r="P333" s="746"/>
      <c r="R333" s="756" t="s">
        <v>184</v>
      </c>
      <c r="S333" s="756"/>
    </row>
    <row r="334" spans="1:19" x14ac:dyDescent="0.25">
      <c r="A334" s="546" t="str">
        <v>Isard</v>
      </c>
      <c r="C334" s="741" t="s">
        <v>184</v>
      </c>
      <c r="D334" s="741"/>
      <c r="F334" s="741" t="s">
        <v>184</v>
      </c>
      <c r="G334" s="741"/>
      <c r="I334" s="742" t="s">
        <v>184</v>
      </c>
      <c r="J334" s="742"/>
      <c r="L334" s="742" t="s">
        <v>184</v>
      </c>
      <c r="M334" s="742"/>
      <c r="O334" s="745" t="str">
        <f>A218</f>
        <v>p29-2G 93G80</v>
      </c>
      <c r="P334" s="746"/>
      <c r="R334" s="755" t="str">
        <f>A269</f>
        <v>Isard</v>
      </c>
      <c r="S334" s="755"/>
    </row>
    <row r="335" spans="1:19" x14ac:dyDescent="0.25">
      <c r="A335" s="546" t="str">
        <v>Chamois</v>
      </c>
      <c r="C335" s="741" t="s">
        <v>184</v>
      </c>
      <c r="D335" s="741"/>
      <c r="F335" s="741" t="s">
        <v>184</v>
      </c>
      <c r="G335" s="741"/>
      <c r="I335" s="742" t="s">
        <v>184</v>
      </c>
      <c r="J335" s="742"/>
      <c r="L335" s="742" t="s">
        <v>184</v>
      </c>
      <c r="M335" s="742"/>
      <c r="O335" s="745" t="str">
        <f>A223</f>
        <v>p29-2G 110G250</v>
      </c>
      <c r="P335" s="746"/>
      <c r="R335" s="755" t="str">
        <f>A274</f>
        <v>Chamois</v>
      </c>
      <c r="S335" s="755"/>
    </row>
    <row r="336" spans="1:19" x14ac:dyDescent="0.25">
      <c r="A336" s="546" t="str">
        <v>Pro75-2G</v>
      </c>
      <c r="C336" s="741" t="s">
        <v>184</v>
      </c>
      <c r="D336" s="741"/>
      <c r="F336" s="741" t="s">
        <v>184</v>
      </c>
      <c r="G336" s="741"/>
      <c r="I336" s="742" t="s">
        <v>184</v>
      </c>
      <c r="J336" s="742"/>
      <c r="L336" s="742" t="s">
        <v>184</v>
      </c>
      <c r="M336" s="742"/>
      <c r="O336" s="745" t="str">
        <f>A228</f>
        <v>p29-2G 116G126</v>
      </c>
      <c r="P336" s="746"/>
      <c r="R336" s="755" t="str">
        <f>A284</f>
        <v>Pro75-2G</v>
      </c>
      <c r="S336" s="755"/>
    </row>
    <row r="337" spans="1:19" x14ac:dyDescent="0.25">
      <c r="A337" s="546" t="str">
        <v>Pro98-2G WT</v>
      </c>
      <c r="C337" s="741" t="s">
        <v>184</v>
      </c>
      <c r="D337" s="741"/>
      <c r="F337" s="741" t="s">
        <v>184</v>
      </c>
      <c r="G337" s="741"/>
      <c r="I337" s="742" t="s">
        <v>184</v>
      </c>
      <c r="J337" s="742"/>
      <c r="L337" s="742" t="s">
        <v>184</v>
      </c>
      <c r="M337" s="742"/>
      <c r="O337" s="745" t="str">
        <f>A233</f>
        <v>p29-3G 125G131</v>
      </c>
      <c r="P337" s="746"/>
      <c r="R337" s="755" t="str">
        <f>A294</f>
        <v>Pro98-2G WT</v>
      </c>
      <c r="S337" s="755"/>
    </row>
    <row r="338" spans="1:19" x14ac:dyDescent="0.25">
      <c r="A338" s="546" t="str">
        <v>Pro98-3G WT</v>
      </c>
      <c r="C338" s="741" t="s">
        <v>184</v>
      </c>
      <c r="D338" s="741"/>
      <c r="F338" s="741" t="s">
        <v>184</v>
      </c>
      <c r="G338" s="741"/>
      <c r="I338" s="742" t="s">
        <v>184</v>
      </c>
      <c r="J338" s="742"/>
      <c r="L338" s="742" t="s">
        <v>184</v>
      </c>
      <c r="M338" s="742"/>
      <c r="O338" s="745" t="str">
        <f>A248</f>
        <v>p38-1G 128G185</v>
      </c>
      <c r="P338" s="746"/>
      <c r="R338" s="755" t="str">
        <f>A299</f>
        <v>Pro98-3G WT</v>
      </c>
      <c r="S338" s="755"/>
    </row>
    <row r="339" spans="1:19" x14ac:dyDescent="0.25">
      <c r="A339" s="546" t="str">
        <v>Aucun (2e ét. inerte)</v>
      </c>
      <c r="C339" s="741" t="s">
        <v>184</v>
      </c>
      <c r="D339" s="741"/>
      <c r="F339" s="741" t="s">
        <v>184</v>
      </c>
      <c r="G339" s="741"/>
      <c r="I339" s="742" t="s">
        <v>184</v>
      </c>
      <c r="J339" s="742"/>
      <c r="L339" s="742" t="s">
        <v>184</v>
      </c>
      <c r="M339" s="742"/>
      <c r="O339" s="745" t="str">
        <f>A243</f>
        <v>p38-1G 137G58</v>
      </c>
      <c r="P339" s="746"/>
      <c r="R339" s="755" t="str">
        <f>A309</f>
        <v>Aucun (2e ét. inerte)</v>
      </c>
      <c r="S339" s="755"/>
    </row>
    <row r="340" spans="1:19" x14ac:dyDescent="0.25">
      <c r="A340" s="546" t="str">
        <v xml:space="preserve"> </v>
      </c>
      <c r="C340" s="741" t="s">
        <v>184</v>
      </c>
      <c r="D340" s="741"/>
      <c r="F340" s="741" t="s">
        <v>184</v>
      </c>
      <c r="G340" s="741"/>
      <c r="I340" s="742" t="s">
        <v>184</v>
      </c>
      <c r="J340" s="742"/>
      <c r="L340" s="742" t="s">
        <v>184</v>
      </c>
      <c r="M340" s="742"/>
      <c r="O340" s="745" t="str">
        <f>A253</f>
        <v>p38-1G 141G78</v>
      </c>
      <c r="P340" s="746"/>
      <c r="R340" s="754" t="s">
        <v>184</v>
      </c>
      <c r="S340" s="754"/>
    </row>
    <row r="341" spans="1:19" x14ac:dyDescent="0.25">
      <c r="A341" s="546" t="str">
        <v xml:space="preserve"> </v>
      </c>
      <c r="C341" s="741" t="s">
        <v>184</v>
      </c>
      <c r="D341" s="741"/>
      <c r="F341" s="741" t="s">
        <v>184</v>
      </c>
      <c r="G341" s="741"/>
      <c r="I341" s="740" t="s">
        <v>184</v>
      </c>
      <c r="J341" s="740"/>
      <c r="L341" s="742" t="s">
        <v>184</v>
      </c>
      <c r="M341" s="742"/>
      <c r="O341" s="745" t="str">
        <f>A193</f>
        <v>p24-6G 140G145 PK</v>
      </c>
      <c r="P341" s="746"/>
      <c r="R341" s="741" t="s">
        <v>184</v>
      </c>
      <c r="S341" s="741"/>
    </row>
    <row r="342" spans="1:19" x14ac:dyDescent="0.25">
      <c r="A342" s="546" t="str">
        <v xml:space="preserve"> </v>
      </c>
      <c r="C342" s="741" t="s">
        <v>184</v>
      </c>
      <c r="D342" s="741"/>
      <c r="F342" s="741" t="s">
        <v>184</v>
      </c>
      <c r="G342" s="741"/>
      <c r="I342" s="740" t="s">
        <v>184</v>
      </c>
      <c r="J342" s="740"/>
      <c r="L342" s="742" t="s">
        <v>184</v>
      </c>
      <c r="M342" s="742"/>
      <c r="O342" s="745" t="str">
        <f>A198</f>
        <v>Pandora (Pro24-6G BS)</v>
      </c>
      <c r="P342" s="746"/>
      <c r="R342" s="741" t="s">
        <v>184</v>
      </c>
      <c r="S342" s="741"/>
    </row>
    <row r="343" spans="1:19" x14ac:dyDescent="0.25">
      <c r="A343" s="546" t="str">
        <v xml:space="preserve"> </v>
      </c>
      <c r="C343" s="741" t="s">
        <v>184</v>
      </c>
      <c r="D343" s="741"/>
      <c r="F343" s="741" t="s">
        <v>184</v>
      </c>
      <c r="G343" s="741"/>
      <c r="I343" s="740" t="s">
        <v>184</v>
      </c>
      <c r="J343" s="740"/>
      <c r="L343" s="740" t="s">
        <v>184</v>
      </c>
      <c r="M343" s="740"/>
      <c r="O343" s="747" t="str">
        <f>A203</f>
        <v>p24-6G 142G117 WT</v>
      </c>
      <c r="P343" s="748"/>
      <c r="R343" s="741" t="s">
        <v>184</v>
      </c>
      <c r="S343" s="741"/>
    </row>
    <row r="344" spans="1:19" x14ac:dyDescent="0.25">
      <c r="A344" s="546" t="str">
        <v xml:space="preserve"> </v>
      </c>
      <c r="C344" s="741" t="s">
        <v>184</v>
      </c>
      <c r="D344" s="741"/>
      <c r="F344" s="741" t="s">
        <v>184</v>
      </c>
      <c r="G344" s="741"/>
      <c r="I344" s="759" t="s">
        <v>184</v>
      </c>
      <c r="J344" s="759"/>
      <c r="L344" s="740" t="s">
        <v>184</v>
      </c>
      <c r="M344" s="740"/>
      <c r="O344" s="747" t="str">
        <f>A208</f>
        <v>p24-6G 139G107 DT</v>
      </c>
      <c r="P344" s="748"/>
      <c r="R344" s="741" t="s">
        <v>184</v>
      </c>
      <c r="S344" s="741"/>
    </row>
    <row r="345" spans="1:19" x14ac:dyDescent="0.25">
      <c r="A345" s="546" t="str">
        <v xml:space="preserve"> </v>
      </c>
      <c r="C345" s="741" t="s">
        <v>184</v>
      </c>
      <c r="D345" s="741"/>
      <c r="F345" s="741" t="s">
        <v>184</v>
      </c>
      <c r="G345" s="741"/>
      <c r="I345" s="741" t="s">
        <v>184</v>
      </c>
      <c r="J345" s="741"/>
      <c r="L345" s="740" t="s">
        <v>184</v>
      </c>
      <c r="M345" s="740"/>
      <c r="O345" s="747" t="str">
        <f>A263</f>
        <v>Cariacou</v>
      </c>
      <c r="P345" s="748"/>
      <c r="R345" s="741" t="s">
        <v>184</v>
      </c>
      <c r="S345" s="741"/>
    </row>
    <row r="346" spans="1:19" x14ac:dyDescent="0.25">
      <c r="A346" s="559" t="str">
        <v xml:space="preserve"> </v>
      </c>
      <c r="C346" s="741" t="s">
        <v>184</v>
      </c>
      <c r="D346" s="741"/>
      <c r="F346" s="741" t="s">
        <v>184</v>
      </c>
      <c r="G346" s="741"/>
      <c r="I346" s="741" t="s">
        <v>184</v>
      </c>
      <c r="J346" s="741"/>
      <c r="L346" s="759" t="s">
        <v>184</v>
      </c>
      <c r="M346" s="759"/>
      <c r="O346" s="757" t="str">
        <f>A258</f>
        <v>Wapiti</v>
      </c>
      <c r="P346" s="758"/>
      <c r="R346" s="741" t="s">
        <v>184</v>
      </c>
      <c r="S346" s="741"/>
    </row>
  </sheetData>
  <sheetProtection password="C6AC"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F326:G326"/>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11.611000000000001</v>
      </c>
      <c r="T4" s="380">
        <f t="shared" ref="T4:T67" ca="1" si="1">m*g</f>
        <v>113.90391000000001</v>
      </c>
      <c r="U4" s="381">
        <f t="shared" ref="U4:U67" ca="1" si="2">IF(pos_xz&lt;L_rampe,Poids*COS(Beta),0)</f>
        <v>19.779206400638053</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1.533476633350324</v>
      </c>
      <c r="E5" s="360">
        <f t="shared" ref="E5:E68" ca="1" si="9">IF(AND(L4&lt;L_rampe,Poussee&lt;Poids*SIN(M4)),0,(-W4+Poussee)/m*SIN(M4)+U4/m*COS(M4)-Poids/m)</f>
        <v>8.6976869145736462</v>
      </c>
      <c r="F5" s="357">
        <f t="shared" ref="F5:F68" ca="1" si="10">SQRT(acc_x^2+acc_z^2)</f>
        <v>8.8318349310308726</v>
      </c>
      <c r="G5" s="359">
        <f t="shared" ref="G5:G68" ca="1" si="11">G4+acc_x*pas</f>
        <v>1.533476633350324E-2</v>
      </c>
      <c r="H5" s="360">
        <f t="shared" ref="H5:H68" ca="1" si="12">H4+acc_z*pas</f>
        <v>8.6976869145736463E-2</v>
      </c>
      <c r="I5" s="357">
        <f t="shared" ref="I5:I68" ca="1" si="13">SQRT(vit_x^2+vit_z^2)</f>
        <v>8.8318349310308714E-2</v>
      </c>
      <c r="J5" s="359">
        <f t="shared" ref="J5:J68" ca="1" si="14">J4+0.5*(vit_x+G4)*pas*(K4&gt;=0)</f>
        <v>7.6673831667516202E-5</v>
      </c>
      <c r="K5" s="360">
        <f t="shared" ref="K5:K68" ca="1" si="15">K4+0.5*(vit_z+H4)*pas</f>
        <v>4.348843457286823E-4</v>
      </c>
      <c r="L5" s="357">
        <f t="shared" ca="1" si="0"/>
        <v>4.4159174655154353E-4</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214.70000000000002</v>
      </c>
      <c r="R5" s="359">
        <f t="shared" ref="R5:R68" ca="1" si="20">Poussee/(g*ISP)</f>
        <v>0.10755015641095009</v>
      </c>
      <c r="S5" s="360">
        <f t="shared" ref="S5:S68" ca="1" si="21">S4-Débit*pas</f>
        <v>11.609924498435891</v>
      </c>
      <c r="T5" s="357">
        <f t="shared" ca="1" si="1"/>
        <v>113.89335932965609</v>
      </c>
      <c r="U5" s="364">
        <f t="shared" ca="1" si="2"/>
        <v>19.777374295959667</v>
      </c>
      <c r="V5" s="359">
        <f t="shared" ca="1" si="3"/>
        <v>1.2249999467266688</v>
      </c>
      <c r="W5" s="357">
        <f t="shared" ca="1" si="4"/>
        <v>2.1628060436491251E-5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4.348843457286823E-4</v>
      </c>
      <c r="AF5" s="344"/>
      <c r="AG5" s="359">
        <f t="shared" ref="AG5:AG68" ca="1" si="27">IF(AND(L4&lt;L_rampe,Poussee&lt;Poids*SIN(M4)),0,(-W4+Poussee)/m-Poids*SIN(M4)/m)</f>
        <v>8.8318349296210634</v>
      </c>
      <c r="AH5" s="357">
        <f t="shared" ref="AH5:AH68" ca="1" si="28">IF(AND(L4&lt;L_rampe,Poussee&lt;Poids*SIN(M4)), g*SIN(M4), (-W4+Poussee)/m)</f>
        <v>18.492798986670824</v>
      </c>
    </row>
    <row r="6" spans="1:248" x14ac:dyDescent="0.25">
      <c r="A6" s="402">
        <f t="shared" ca="1" si="6"/>
        <v>0.01</v>
      </c>
      <c r="B6" s="357">
        <f t="shared" ca="1" si="7"/>
        <v>0.02</v>
      </c>
      <c r="C6" s="342"/>
      <c r="D6" s="359">
        <f t="shared" ca="1" si="8"/>
        <v>5.076242158563752</v>
      </c>
      <c r="E6" s="360">
        <f t="shared" ca="1" si="9"/>
        <v>28.790711260158886</v>
      </c>
      <c r="F6" s="357">
        <f t="shared" ca="1" si="10"/>
        <v>29.234795865855119</v>
      </c>
      <c r="G6" s="359">
        <f t="shared" ca="1" si="11"/>
        <v>6.6097187919140765E-2</v>
      </c>
      <c r="H6" s="360">
        <f t="shared" ca="1" si="12"/>
        <v>0.37488398174732529</v>
      </c>
      <c r="I6" s="357">
        <f t="shared" ca="1" si="13"/>
        <v>0.38066630796742063</v>
      </c>
      <c r="J6" s="359">
        <f t="shared" ca="1" si="14"/>
        <v>4.8383360293073624E-4</v>
      </c>
      <c r="K6" s="360">
        <f t="shared" ca="1" si="15"/>
        <v>2.7441886001939907E-3</v>
      </c>
      <c r="L6" s="357">
        <f t="shared" ca="1" si="0"/>
        <v>2.7865150329326399E-3</v>
      </c>
      <c r="M6" s="359">
        <f t="shared" ca="1" si="16"/>
        <v>1.3962634015954636</v>
      </c>
      <c r="N6" s="357">
        <f t="shared" ca="1" si="17"/>
        <v>80</v>
      </c>
      <c r="O6" s="343"/>
      <c r="P6" s="363">
        <f t="shared" ca="1" si="18"/>
        <v>2</v>
      </c>
      <c r="Q6" s="357">
        <f t="shared" ca="1" si="19"/>
        <v>451.48888888888888</v>
      </c>
      <c r="R6" s="359">
        <f t="shared" ca="1" si="20"/>
        <v>0.22616534987333983</v>
      </c>
      <c r="S6" s="360">
        <f t="shared" ca="1" si="21"/>
        <v>11.607662844937158</v>
      </c>
      <c r="T6" s="357">
        <f t="shared" ca="1" si="1"/>
        <v>113.87117250883352</v>
      </c>
      <c r="U6" s="364">
        <f t="shared" ca="1" si="2"/>
        <v>19.773521594955607</v>
      </c>
      <c r="V6" s="359">
        <f t="shared" ca="1" si="3"/>
        <v>1.2249996638369425</v>
      </c>
      <c r="W6" s="357">
        <f t="shared" ca="1" si="4"/>
        <v>4.0179494382822285E-4</v>
      </c>
      <c r="X6" s="343"/>
      <c r="Y6" s="367" t="str">
        <f t="shared" ca="1" si="22"/>
        <v/>
      </c>
      <c r="Z6" s="368" t="str">
        <f t="shared" ca="1" si="23"/>
        <v/>
      </c>
      <c r="AA6" s="369" t="str">
        <f t="shared" ca="1" si="24"/>
        <v/>
      </c>
      <c r="AB6" s="344"/>
      <c r="AC6" s="363" t="e">
        <f t="shared" ca="1" si="25"/>
        <v>#N/A</v>
      </c>
      <c r="AD6" s="376" t="e">
        <f t="shared" ca="1" si="26"/>
        <v>#N/A</v>
      </c>
      <c r="AE6" s="377">
        <f t="shared" ca="1" si="5"/>
        <v>2.7441886001939907E-3</v>
      </c>
      <c r="AF6" s="344"/>
      <c r="AG6" s="359">
        <f t="shared" ca="1" si="27"/>
        <v>29.234795863970994</v>
      </c>
      <c r="AH6" s="357">
        <f t="shared" ca="1" si="28"/>
        <v>38.895759921020755</v>
      </c>
    </row>
    <row r="7" spans="1:248" x14ac:dyDescent="0.25">
      <c r="A7" s="402">
        <f t="shared" ca="1" si="6"/>
        <v>0.01</v>
      </c>
      <c r="B7" s="357">
        <f t="shared" ca="1" si="7"/>
        <v>0.03</v>
      </c>
      <c r="C7" s="342"/>
      <c r="D7" s="359">
        <f t="shared" ca="1" si="8"/>
        <v>6.5468350775918047</v>
      </c>
      <c r="E7" s="360">
        <f t="shared" ca="1" si="9"/>
        <v>37.131274337153592</v>
      </c>
      <c r="F7" s="357">
        <f t="shared" ca="1" si="10"/>
        <v>37.704012829328228</v>
      </c>
      <c r="G7" s="359">
        <f t="shared" ca="1" si="11"/>
        <v>0.13156553869505883</v>
      </c>
      <c r="H7" s="360">
        <f t="shared" ca="1" si="12"/>
        <v>0.74619672511886126</v>
      </c>
      <c r="I7" s="357">
        <f t="shared" ca="1" si="13"/>
        <v>0.75770643626026724</v>
      </c>
      <c r="J7" s="359">
        <f t="shared" ca="1" si="14"/>
        <v>1.4721472360017343E-3</v>
      </c>
      <c r="K7" s="360">
        <f t="shared" ca="1" si="15"/>
        <v>8.3495921345249236E-3</v>
      </c>
      <c r="L7" s="357">
        <f t="shared" ca="1" si="0"/>
        <v>8.4783787540654264E-3</v>
      </c>
      <c r="M7" s="359">
        <f t="shared" ca="1" si="16"/>
        <v>1.3962634015954636</v>
      </c>
      <c r="N7" s="357">
        <f t="shared" ca="1" si="17"/>
        <v>80</v>
      </c>
      <c r="O7" s="343"/>
      <c r="P7" s="363">
        <f t="shared" ca="1" si="18"/>
        <v>2</v>
      </c>
      <c r="Q7" s="357">
        <f t="shared" ca="1" si="19"/>
        <v>549.66666666666663</v>
      </c>
      <c r="R7" s="359">
        <f t="shared" ca="1" si="20"/>
        <v>0.27534576606374267</v>
      </c>
      <c r="S7" s="360">
        <f t="shared" ca="1" si="21"/>
        <v>11.604909387276521</v>
      </c>
      <c r="T7" s="357">
        <f t="shared" ca="1" si="1"/>
        <v>113.84416108918268</v>
      </c>
      <c r="U7" s="364">
        <f t="shared" ca="1" si="2"/>
        <v>19.768831111157041</v>
      </c>
      <c r="V7" s="359">
        <f t="shared" ca="1" si="3"/>
        <v>1.2249989771753904</v>
      </c>
      <c r="W7" s="357">
        <f t="shared" ca="1" si="4"/>
        <v>1.5919055491040032E-3</v>
      </c>
      <c r="X7" s="343"/>
      <c r="Y7" s="367" t="str">
        <f t="shared" ca="1" si="22"/>
        <v/>
      </c>
      <c r="Z7" s="368" t="str">
        <f t="shared" ca="1" si="23"/>
        <v/>
      </c>
      <c r="AA7" s="369" t="str">
        <f t="shared" ca="1" si="24"/>
        <v/>
      </c>
      <c r="AB7" s="344"/>
      <c r="AC7" s="363" t="e">
        <f t="shared" ca="1" si="25"/>
        <v>#N/A</v>
      </c>
      <c r="AD7" s="376" t="e">
        <f t="shared" ca="1" si="26"/>
        <v>#N/A</v>
      </c>
      <c r="AE7" s="377">
        <f t="shared" ca="1" si="5"/>
        <v>8.3495921345249236E-3</v>
      </c>
      <c r="AF7" s="344"/>
      <c r="AG7" s="359">
        <f t="shared" ca="1" si="27"/>
        <v>37.704012827161854</v>
      </c>
      <c r="AH7" s="357">
        <f t="shared" ca="1" si="28"/>
        <v>47.364976884211615</v>
      </c>
    </row>
    <row r="8" spans="1:248" x14ac:dyDescent="0.25">
      <c r="A8" s="402">
        <f t="shared" ca="1" si="6"/>
        <v>0.01</v>
      </c>
      <c r="B8" s="357">
        <f t="shared" ca="1" si="7"/>
        <v>0.04</v>
      </c>
      <c r="C8" s="342"/>
      <c r="D8" s="359">
        <f t="shared" ca="1" si="8"/>
        <v>8.0185248948523977</v>
      </c>
      <c r="E8" s="360">
        <f t="shared" ca="1" si="9"/>
        <v>45.47805854701528</v>
      </c>
      <c r="F8" s="357">
        <f t="shared" ca="1" si="10"/>
        <v>46.179546887070224</v>
      </c>
      <c r="G8" s="359">
        <f t="shared" ca="1" si="11"/>
        <v>0.21175078764358279</v>
      </c>
      <c r="H8" s="360">
        <f t="shared" ca="1" si="12"/>
        <v>1.200977310589014</v>
      </c>
      <c r="I8" s="357">
        <f t="shared" ca="1" si="13"/>
        <v>1.2195019051306557</v>
      </c>
      <c r="J8" s="359">
        <f t="shared" ca="1" si="14"/>
        <v>3.1887288676949424E-3</v>
      </c>
      <c r="K8" s="360">
        <f t="shared" ca="1" si="15"/>
        <v>1.80854623130643E-2</v>
      </c>
      <c r="L8" s="357">
        <f t="shared" ca="1" si="0"/>
        <v>1.8364420461014833E-2</v>
      </c>
      <c r="M8" s="359">
        <f t="shared" ca="1" si="16"/>
        <v>1.3962634015954636</v>
      </c>
      <c r="N8" s="357">
        <f t="shared" ca="1" si="17"/>
        <v>80</v>
      </c>
      <c r="O8" s="343"/>
      <c r="P8" s="363">
        <f t="shared" ca="1" si="18"/>
        <v>2</v>
      </c>
      <c r="Q8" s="357">
        <f t="shared" ca="1" si="19"/>
        <v>647.84444444444443</v>
      </c>
      <c r="R8" s="359">
        <f t="shared" ca="1" si="20"/>
        <v>0.32452618225414559</v>
      </c>
      <c r="S8" s="360">
        <f t="shared" ca="1" si="21"/>
        <v>11.601664125453979</v>
      </c>
      <c r="T8" s="357">
        <f t="shared" ca="1" si="1"/>
        <v>113.81232507070354</v>
      </c>
      <c r="U8" s="364">
        <f t="shared" ca="1" si="2"/>
        <v>19.763302844563967</v>
      </c>
      <c r="V8" s="359">
        <f t="shared" ca="1" si="3"/>
        <v>1.2249977845328699</v>
      </c>
      <c r="W8" s="357">
        <f t="shared" ca="1" si="4"/>
        <v>4.1236318689304163E-3</v>
      </c>
      <c r="X8" s="343"/>
      <c r="Y8" s="367" t="str">
        <f t="shared" ca="1" si="22"/>
        <v/>
      </c>
      <c r="Z8" s="368" t="str">
        <f t="shared" ca="1" si="23"/>
        <v/>
      </c>
      <c r="AA8" s="369" t="str">
        <f t="shared" ca="1" si="24"/>
        <v/>
      </c>
      <c r="AB8" s="344"/>
      <c r="AC8" s="363" t="e">
        <f t="shared" ca="1" si="25"/>
        <v>#N/A</v>
      </c>
      <c r="AD8" s="376" t="e">
        <f t="shared" ca="1" si="26"/>
        <v>#N/A</v>
      </c>
      <c r="AE8" s="377">
        <f t="shared" ca="1" si="5"/>
        <v>1.80854623130643E-2</v>
      </c>
      <c r="AF8" s="344"/>
      <c r="AG8" s="359">
        <f t="shared" ca="1" si="27"/>
        <v>46.179546884611803</v>
      </c>
      <c r="AH8" s="357">
        <f t="shared" ca="1" si="28"/>
        <v>55.840510941661563</v>
      </c>
    </row>
    <row r="9" spans="1:248" x14ac:dyDescent="0.25">
      <c r="A9" s="402">
        <f t="shared" ca="1" si="6"/>
        <v>0.01</v>
      </c>
      <c r="B9" s="357">
        <f t="shared" ca="1" si="7"/>
        <v>0.05</v>
      </c>
      <c r="C9" s="342"/>
      <c r="D9" s="359">
        <f t="shared" ca="1" si="8"/>
        <v>9.4914917895115121</v>
      </c>
      <c r="E9" s="360">
        <f t="shared" ca="1" si="9"/>
        <v>53.832085789820781</v>
      </c>
      <c r="F9" s="357">
        <f t="shared" ca="1" si="10"/>
        <v>54.662435701979007</v>
      </c>
      <c r="G9" s="359">
        <f t="shared" ca="1" si="11"/>
        <v>0.30666570553869793</v>
      </c>
      <c r="H9" s="360">
        <f t="shared" ca="1" si="12"/>
        <v>1.7392981684872217</v>
      </c>
      <c r="I9" s="357">
        <f t="shared" ca="1" si="13"/>
        <v>1.7661262621501757</v>
      </c>
      <c r="J9" s="359">
        <f t="shared" ca="1" si="14"/>
        <v>5.780811333606346E-3</v>
      </c>
      <c r="K9" s="360">
        <f t="shared" ca="1" si="15"/>
        <v>3.2786839708445481E-2</v>
      </c>
      <c r="L9" s="357">
        <f t="shared" ca="1" si="0"/>
        <v>3.3292561297413703E-2</v>
      </c>
      <c r="M9" s="359">
        <f t="shared" ca="1" si="16"/>
        <v>1.3962634015954636</v>
      </c>
      <c r="N9" s="357">
        <f t="shared" ca="1" si="17"/>
        <v>80</v>
      </c>
      <c r="O9" s="343"/>
      <c r="P9" s="363">
        <f t="shared" ca="1" si="18"/>
        <v>2</v>
      </c>
      <c r="Q9" s="357">
        <f t="shared" ca="1" si="19"/>
        <v>746.02222222222224</v>
      </c>
      <c r="R9" s="359">
        <f t="shared" ca="1" si="20"/>
        <v>0.37370659844454851</v>
      </c>
      <c r="S9" s="360">
        <f t="shared" ca="1" si="21"/>
        <v>11.597927059469534</v>
      </c>
      <c r="T9" s="357">
        <f t="shared" ca="1" si="1"/>
        <v>113.77566445339613</v>
      </c>
      <c r="U9" s="364">
        <f t="shared" ca="1" si="2"/>
        <v>19.75693679517639</v>
      </c>
      <c r="V9" s="359">
        <f t="shared" ca="1" si="3"/>
        <v>1.2249959836187203</v>
      </c>
      <c r="W9" s="357">
        <f t="shared" ca="1" si="4"/>
        <v>8.6488383419818411E-3</v>
      </c>
      <c r="X9" s="343"/>
      <c r="Y9" s="367" t="str">
        <f t="shared" ca="1" si="22"/>
        <v/>
      </c>
      <c r="Z9" s="368" t="str">
        <f t="shared" ca="1" si="23"/>
        <v/>
      </c>
      <c r="AA9" s="369" t="str">
        <f t="shared" ca="1" si="24"/>
        <v/>
      </c>
      <c r="AB9" s="344"/>
      <c r="AC9" s="363" t="e">
        <f t="shared" ca="1" si="25"/>
        <v>#N/A</v>
      </c>
      <c r="AD9" s="376" t="e">
        <f t="shared" ca="1" si="26"/>
        <v>#N/A</v>
      </c>
      <c r="AE9" s="377">
        <f t="shared" ca="1" si="5"/>
        <v>3.2786839708445481E-2</v>
      </c>
      <c r="AF9" s="344"/>
      <c r="AG9" s="359">
        <f t="shared" ca="1" si="27"/>
        <v>54.662435699223131</v>
      </c>
      <c r="AH9" s="357">
        <f t="shared" ca="1" si="28"/>
        <v>64.323399756272892</v>
      </c>
    </row>
    <row r="10" spans="1:248" x14ac:dyDescent="0.25">
      <c r="A10" s="402">
        <f t="shared" ca="1" si="6"/>
        <v>0.01</v>
      </c>
      <c r="B10" s="357">
        <f t="shared" ca="1" si="7"/>
        <v>6.0000000000000005E-2</v>
      </c>
      <c r="C10" s="342"/>
      <c r="D10" s="359">
        <f t="shared" ca="1" si="8"/>
        <v>10.965914682583751</v>
      </c>
      <c r="E10" s="360">
        <f t="shared" ca="1" si="9"/>
        <v>62.19437083047346</v>
      </c>
      <c r="F10" s="357">
        <f t="shared" ca="1" si="10"/>
        <v>63.153709691705004</v>
      </c>
      <c r="G10" s="359">
        <f t="shared" ca="1" si="11"/>
        <v>0.41632485236453542</v>
      </c>
      <c r="H10" s="360">
        <f t="shared" ca="1" si="12"/>
        <v>2.3612418767919565</v>
      </c>
      <c r="I10" s="357">
        <f t="shared" ca="1" si="13"/>
        <v>2.3976633590669798</v>
      </c>
      <c r="J10" s="359">
        <f t="shared" ca="1" si="14"/>
        <v>9.3957641231225131E-3</v>
      </c>
      <c r="K10" s="360">
        <f t="shared" ca="1" si="15"/>
        <v>5.3289539934841368E-2</v>
      </c>
      <c r="L10" s="357">
        <f t="shared" ca="1" si="0"/>
        <v>5.41115094034939E-2</v>
      </c>
      <c r="M10" s="359">
        <f t="shared" ca="1" si="16"/>
        <v>1.3962634015954636</v>
      </c>
      <c r="N10" s="357">
        <f t="shared" ca="1" si="17"/>
        <v>80</v>
      </c>
      <c r="O10" s="343"/>
      <c r="P10" s="363">
        <f t="shared" ca="1" si="18"/>
        <v>2</v>
      </c>
      <c r="Q10" s="357">
        <f t="shared" ca="1" si="19"/>
        <v>844.2</v>
      </c>
      <c r="R10" s="359">
        <f t="shared" ca="1" si="20"/>
        <v>0.42288701463495137</v>
      </c>
      <c r="S10" s="360">
        <f t="shared" ca="1" si="21"/>
        <v>11.593698189323185</v>
      </c>
      <c r="T10" s="357">
        <f t="shared" ca="1" si="1"/>
        <v>113.73417923726045</v>
      </c>
      <c r="U10" s="364">
        <f t="shared" ca="1" si="2"/>
        <v>19.749732962994312</v>
      </c>
      <c r="V10" s="359">
        <f t="shared" ca="1" si="3"/>
        <v>1.2249934720487519</v>
      </c>
      <c r="W10" s="357">
        <f t="shared" ca="1" si="4"/>
        <v>1.5940054618356979E-2</v>
      </c>
      <c r="X10" s="343"/>
      <c r="Y10" s="367" t="str">
        <f t="shared" ca="1" si="22"/>
        <v/>
      </c>
      <c r="Z10" s="368" t="str">
        <f t="shared" ca="1" si="23"/>
        <v/>
      </c>
      <c r="AA10" s="369" t="str">
        <f t="shared" ca="1" si="24"/>
        <v/>
      </c>
      <c r="AB10" s="344"/>
      <c r="AC10" s="363" t="e">
        <f t="shared" ca="1" si="25"/>
        <v>#N/A</v>
      </c>
      <c r="AD10" s="376" t="e">
        <f t="shared" ca="1" si="26"/>
        <v>#N/A</v>
      </c>
      <c r="AE10" s="377">
        <f t="shared" ca="1" si="5"/>
        <v>5.3289539934841368E-2</v>
      </c>
      <c r="AF10" s="344"/>
      <c r="AG10" s="359">
        <f t="shared" ca="1" si="27"/>
        <v>63.153709688648298</v>
      </c>
      <c r="AH10" s="357">
        <f t="shared" ca="1" si="28"/>
        <v>72.814673745698059</v>
      </c>
    </row>
    <row r="11" spans="1:248" x14ac:dyDescent="0.25">
      <c r="A11" s="402">
        <f t="shared" ca="1" si="6"/>
        <v>0.01</v>
      </c>
      <c r="B11" s="357">
        <f t="shared" ca="1" si="7"/>
        <v>7.0000000000000007E-2</v>
      </c>
      <c r="C11" s="342"/>
      <c r="D11" s="359">
        <f t="shared" ca="1" si="8"/>
        <v>12.441971303749042</v>
      </c>
      <c r="E11" s="360">
        <f t="shared" ca="1" si="9"/>
        <v>70.565921677662516</v>
      </c>
      <c r="F11" s="357">
        <f t="shared" ca="1" si="10"/>
        <v>71.654392413454431</v>
      </c>
      <c r="G11" s="359">
        <f t="shared" ca="1" si="11"/>
        <v>0.54074456540202587</v>
      </c>
      <c r="H11" s="360">
        <f t="shared" ca="1" si="12"/>
        <v>3.0669010935685819</v>
      </c>
      <c r="I11" s="357">
        <f t="shared" ca="1" si="13"/>
        <v>3.1142072832012948</v>
      </c>
      <c r="J11" s="359">
        <f t="shared" ca="1" si="14"/>
        <v>1.4181111211955319E-2</v>
      </c>
      <c r="K11" s="360">
        <f t="shared" ca="1" si="15"/>
        <v>8.0430254786644062E-2</v>
      </c>
      <c r="L11" s="357">
        <f t="shared" ca="1" si="0"/>
        <v>8.1670862614829309E-2</v>
      </c>
      <c r="M11" s="359">
        <f t="shared" ca="1" si="16"/>
        <v>1.3962634015954636</v>
      </c>
      <c r="N11" s="357">
        <f t="shared" ca="1" si="17"/>
        <v>80</v>
      </c>
      <c r="O11" s="343"/>
      <c r="P11" s="363">
        <f t="shared" ca="1" si="18"/>
        <v>2</v>
      </c>
      <c r="Q11" s="357">
        <f t="shared" ca="1" si="19"/>
        <v>942.37777777777774</v>
      </c>
      <c r="R11" s="359">
        <f t="shared" ca="1" si="20"/>
        <v>0.47206743082535424</v>
      </c>
      <c r="S11" s="360">
        <f t="shared" ca="1" si="21"/>
        <v>11.58897751501493</v>
      </c>
      <c r="T11" s="357">
        <f t="shared" ca="1" si="1"/>
        <v>113.68786942229647</v>
      </c>
      <c r="U11" s="364">
        <f t="shared" ca="1" si="2"/>
        <v>19.741691348017724</v>
      </c>
      <c r="V11" s="359">
        <f t="shared" ca="1" si="3"/>
        <v>1.2249901473334113</v>
      </c>
      <c r="W11" s="357">
        <f t="shared" ca="1" si="4"/>
        <v>2.689101813766754E-2</v>
      </c>
      <c r="X11" s="343"/>
      <c r="Y11" s="367" t="str">
        <f t="shared" ca="1" si="22"/>
        <v/>
      </c>
      <c r="Z11" s="368" t="str">
        <f t="shared" ca="1" si="23"/>
        <v/>
      </c>
      <c r="AA11" s="369" t="str">
        <f t="shared" ca="1" si="24"/>
        <v/>
      </c>
      <c r="AB11" s="344"/>
      <c r="AC11" s="363" t="e">
        <f t="shared" ca="1" si="25"/>
        <v>#N/A</v>
      </c>
      <c r="AD11" s="376" t="e">
        <f t="shared" ca="1" si="26"/>
        <v>#N/A</v>
      </c>
      <c r="AE11" s="377">
        <f t="shared" ca="1" si="5"/>
        <v>8.0430254786644062E-2</v>
      </c>
      <c r="AF11" s="344"/>
      <c r="AG11" s="359">
        <f t="shared" ca="1" si="27"/>
        <v>71.654392410094545</v>
      </c>
      <c r="AH11" s="357">
        <f t="shared" ca="1" si="28"/>
        <v>81.315356467144312</v>
      </c>
    </row>
    <row r="12" spans="1:248" x14ac:dyDescent="0.25">
      <c r="A12" s="402">
        <f t="shared" ca="1" si="6"/>
        <v>0.01</v>
      </c>
      <c r="B12" s="357">
        <f t="shared" ca="1" si="7"/>
        <v>0.08</v>
      </c>
      <c r="C12" s="342"/>
      <c r="D12" s="359">
        <f t="shared" ca="1" si="8"/>
        <v>13.91983825650194</v>
      </c>
      <c r="E12" s="360">
        <f t="shared" ca="1" si="9"/>
        <v>78.947739953366025</v>
      </c>
      <c r="F12" s="357">
        <f t="shared" ca="1" si="10"/>
        <v>80.165500939191304</v>
      </c>
      <c r="G12" s="359">
        <f t="shared" ca="1" si="11"/>
        <v>0.67994294796704524</v>
      </c>
      <c r="H12" s="360">
        <f t="shared" ca="1" si="12"/>
        <v>3.856378493102242</v>
      </c>
      <c r="I12" s="357">
        <f t="shared" ca="1" si="13"/>
        <v>3.9158622925929909</v>
      </c>
      <c r="J12" s="359">
        <f t="shared" ca="1" si="14"/>
        <v>2.0284548778800676E-2</v>
      </c>
      <c r="K12" s="360">
        <f t="shared" ca="1" si="15"/>
        <v>0.11504665271999819</v>
      </c>
      <c r="L12" s="357">
        <f t="shared" ca="1" si="0"/>
        <v>0.11682121049379436</v>
      </c>
      <c r="M12" s="359">
        <f t="shared" ca="1" si="16"/>
        <v>1.3962634015954636</v>
      </c>
      <c r="N12" s="357">
        <f t="shared" ca="1" si="17"/>
        <v>80</v>
      </c>
      <c r="O12" s="343"/>
      <c r="P12" s="363">
        <f t="shared" ca="1" si="18"/>
        <v>2</v>
      </c>
      <c r="Q12" s="357">
        <f t="shared" ca="1" si="19"/>
        <v>1040.5555555555557</v>
      </c>
      <c r="R12" s="359">
        <f t="shared" ca="1" si="20"/>
        <v>0.52124784701575722</v>
      </c>
      <c r="S12" s="360">
        <f t="shared" ca="1" si="21"/>
        <v>11.583765036544772</v>
      </c>
      <c r="T12" s="357">
        <f t="shared" ca="1" si="1"/>
        <v>113.63673500850422</v>
      </c>
      <c r="U12" s="364">
        <f t="shared" ca="1" si="2"/>
        <v>19.732811950246631</v>
      </c>
      <c r="V12" s="359">
        <f t="shared" ca="1" si="3"/>
        <v>1.2249859068661102</v>
      </c>
      <c r="W12" s="357">
        <f t="shared" ca="1" si="4"/>
        <v>4.2517285724801832E-2</v>
      </c>
      <c r="X12" s="343"/>
      <c r="Y12" s="367" t="str">
        <f t="shared" ca="1" si="22"/>
        <v/>
      </c>
      <c r="Z12" s="368" t="str">
        <f t="shared" ca="1" si="23"/>
        <v/>
      </c>
      <c r="AA12" s="369" t="str">
        <f t="shared" ca="1" si="24"/>
        <v/>
      </c>
      <c r="AB12" s="344"/>
      <c r="AC12" s="363" t="e">
        <f t="shared" ca="1" si="25"/>
        <v>#N/A</v>
      </c>
      <c r="AD12" s="376" t="e">
        <f t="shared" ca="1" si="26"/>
        <v>#N/A</v>
      </c>
      <c r="AE12" s="377">
        <f t="shared" ca="1" si="5"/>
        <v>0.11504665271999819</v>
      </c>
      <c r="AF12" s="344"/>
      <c r="AG12" s="359">
        <f t="shared" ca="1" si="27"/>
        <v>80.165500935526524</v>
      </c>
      <c r="AH12" s="357">
        <f t="shared" ca="1" si="28"/>
        <v>89.826464992576277</v>
      </c>
    </row>
    <row r="13" spans="1:248" x14ac:dyDescent="0.25">
      <c r="A13" s="402">
        <f t="shared" ca="1" si="6"/>
        <v>0.01</v>
      </c>
      <c r="B13" s="357">
        <f t="shared" ca="1" si="7"/>
        <v>0.09</v>
      </c>
      <c r="C13" s="342"/>
      <c r="D13" s="359">
        <f t="shared" ca="1" si="8"/>
        <v>15.399691081699299</v>
      </c>
      <c r="E13" s="360">
        <f t="shared" ca="1" si="9"/>
        <v>87.340821253271116</v>
      </c>
      <c r="F13" s="357">
        <f t="shared" ca="1" si="10"/>
        <v>88.68804622161673</v>
      </c>
      <c r="G13" s="359">
        <f t="shared" ca="1" si="11"/>
        <v>0.8339398587840382</v>
      </c>
      <c r="H13" s="360">
        <f t="shared" ca="1" si="12"/>
        <v>4.729786705634953</v>
      </c>
      <c r="I13" s="357">
        <f t="shared" ca="1" si="13"/>
        <v>4.8027427548089516</v>
      </c>
      <c r="J13" s="359">
        <f t="shared" ca="1" si="14"/>
        <v>2.7853962812556095E-2</v>
      </c>
      <c r="K13" s="360">
        <f t="shared" ca="1" si="15"/>
        <v>0.15797747871368417</v>
      </c>
      <c r="L13" s="357">
        <f t="shared" ca="1" si="0"/>
        <v>0.16041423573079727</v>
      </c>
      <c r="M13" s="359">
        <f t="shared" ca="1" si="16"/>
        <v>1.3962634015954636</v>
      </c>
      <c r="N13" s="357">
        <f t="shared" ca="1" si="17"/>
        <v>80</v>
      </c>
      <c r="O13" s="343"/>
      <c r="P13" s="363">
        <f t="shared" ca="1" si="18"/>
        <v>2</v>
      </c>
      <c r="Q13" s="357">
        <f t="shared" ca="1" si="19"/>
        <v>1138.7333333333331</v>
      </c>
      <c r="R13" s="359">
        <f t="shared" ca="1" si="20"/>
        <v>0.57042826320615991</v>
      </c>
      <c r="S13" s="360">
        <f t="shared" ca="1" si="21"/>
        <v>11.578060753912711</v>
      </c>
      <c r="T13" s="357">
        <f t="shared" ca="1" si="1"/>
        <v>113.5807759958837</v>
      </c>
      <c r="U13" s="364">
        <f t="shared" ca="1" si="2"/>
        <v>19.723094769681037</v>
      </c>
      <c r="V13" s="359">
        <f t="shared" ca="1" si="3"/>
        <v>1.2249806479117176</v>
      </c>
      <c r="W13" s="357">
        <f t="shared" ca="1" si="4"/>
        <v>6.3956913468866838E-2</v>
      </c>
      <c r="X13" s="343"/>
      <c r="Y13" s="367" t="str">
        <f t="shared" ca="1" si="22"/>
        <v/>
      </c>
      <c r="Z13" s="368" t="str">
        <f t="shared" ca="1" si="23"/>
        <v/>
      </c>
      <c r="AA13" s="369" t="str">
        <f t="shared" ca="1" si="24"/>
        <v/>
      </c>
      <c r="AB13" s="344"/>
      <c r="AC13" s="363" t="e">
        <f t="shared" ca="1" si="25"/>
        <v>#N/A</v>
      </c>
      <c r="AD13" s="376" t="e">
        <f t="shared" ca="1" si="26"/>
        <v>#N/A</v>
      </c>
      <c r="AE13" s="377">
        <f t="shared" ca="1" si="5"/>
        <v>0.15797747871368417</v>
      </c>
      <c r="AF13" s="344"/>
      <c r="AG13" s="359">
        <f t="shared" ca="1" si="27"/>
        <v>88.688046217645592</v>
      </c>
      <c r="AH13" s="357">
        <f t="shared" ca="1" si="28"/>
        <v>98.34901027469536</v>
      </c>
    </row>
    <row r="14" spans="1:248" x14ac:dyDescent="0.25">
      <c r="A14" s="402">
        <f t="shared" ca="1" si="6"/>
        <v>0.01</v>
      </c>
      <c r="B14" s="357">
        <f t="shared" ca="1" si="7"/>
        <v>9.9999999999999992E-2</v>
      </c>
      <c r="C14" s="342"/>
      <c r="D14" s="359">
        <f t="shared" ca="1" si="8"/>
        <v>16.881704319569572</v>
      </c>
      <c r="E14" s="360">
        <f t="shared" ca="1" si="9"/>
        <v>95.746155498469491</v>
      </c>
      <c r="F14" s="357">
        <f t="shared" ca="1" si="10"/>
        <v>97.223033451289069</v>
      </c>
      <c r="G14" s="359">
        <f t="shared" ca="1" si="11"/>
        <v>1.002756901979734</v>
      </c>
      <c r="H14" s="360">
        <f t="shared" ca="1" si="12"/>
        <v>5.6872482606196479</v>
      </c>
      <c r="I14" s="357">
        <f t="shared" ca="1" si="13"/>
        <v>5.7749730893216471</v>
      </c>
      <c r="J14" s="359">
        <f t="shared" ca="1" si="14"/>
        <v>3.7037446616374953E-2</v>
      </c>
      <c r="K14" s="360">
        <f t="shared" ca="1" si="15"/>
        <v>0.21006265354495718</v>
      </c>
      <c r="L14" s="357">
        <f t="shared" ca="1" si="0"/>
        <v>0.21330281495144301</v>
      </c>
      <c r="M14" s="359">
        <f t="shared" ca="1" si="16"/>
        <v>1.3962634015954636</v>
      </c>
      <c r="N14" s="357">
        <f t="shared" ca="1" si="17"/>
        <v>80</v>
      </c>
      <c r="O14" s="343"/>
      <c r="P14" s="363">
        <f t="shared" ca="1" si="18"/>
        <v>2</v>
      </c>
      <c r="Q14" s="357">
        <f t="shared" ca="1" si="19"/>
        <v>1236.911111111111</v>
      </c>
      <c r="R14" s="359">
        <f t="shared" ca="1" si="20"/>
        <v>0.61960867939656283</v>
      </c>
      <c r="S14" s="360">
        <f t="shared" ca="1" si="21"/>
        <v>11.571864667118746</v>
      </c>
      <c r="T14" s="357">
        <f t="shared" ca="1" si="1"/>
        <v>113.5199923844349</v>
      </c>
      <c r="U14" s="364">
        <f t="shared" ca="1" si="2"/>
        <v>19.71253980632094</v>
      </c>
      <c r="V14" s="359">
        <f t="shared" ca="1" si="3"/>
        <v>1.2249742675952113</v>
      </c>
      <c r="W14" s="357">
        <f t="shared" ca="1" si="4"/>
        <v>9.2471204208925059E-2</v>
      </c>
      <c r="X14" s="343"/>
      <c r="Y14" s="367" t="str">
        <f t="shared" ca="1" si="22"/>
        <v/>
      </c>
      <c r="Z14" s="368" t="str">
        <f t="shared" ca="1" si="23"/>
        <v/>
      </c>
      <c r="AA14" s="369" t="str">
        <f t="shared" ca="1" si="24"/>
        <v/>
      </c>
      <c r="AB14" s="344"/>
      <c r="AC14" s="363" t="e">
        <f t="shared" ca="1" si="25"/>
        <v>#N/A</v>
      </c>
      <c r="AD14" s="376" t="e">
        <f t="shared" ca="1" si="26"/>
        <v>#N/A</v>
      </c>
      <c r="AE14" s="377">
        <f t="shared" ca="1" si="5"/>
        <v>0.21006265354495718</v>
      </c>
      <c r="AF14" s="344"/>
      <c r="AG14" s="359">
        <f t="shared" ca="1" si="27"/>
        <v>97.223033447010408</v>
      </c>
      <c r="AH14" s="357">
        <f t="shared" ca="1" si="28"/>
        <v>106.88399750406018</v>
      </c>
    </row>
    <row r="15" spans="1:248" x14ac:dyDescent="0.25">
      <c r="A15" s="402">
        <f t="shared" ca="1" si="6"/>
        <v>0.01</v>
      </c>
      <c r="B15" s="357">
        <f t="shared" ca="1" si="7"/>
        <v>0.10999999999999999</v>
      </c>
      <c r="C15" s="342"/>
      <c r="D15" s="359">
        <f t="shared" ca="1" si="8"/>
        <v>17.519710006811856</v>
      </c>
      <c r="E15" s="360">
        <f t="shared" ca="1" si="9"/>
        <v>99.364646235401381</v>
      </c>
      <c r="F15" s="357">
        <f t="shared" ca="1" si="10"/>
        <v>100.89733970828591</v>
      </c>
      <c r="G15" s="359">
        <f t="shared" ca="1" si="11"/>
        <v>1.1779540020478525</v>
      </c>
      <c r="H15" s="360">
        <f t="shared" ca="1" si="12"/>
        <v>6.6808947229736617</v>
      </c>
      <c r="I15" s="357">
        <f t="shared" ca="1" si="13"/>
        <v>6.7839464864043464</v>
      </c>
      <c r="J15" s="359">
        <f t="shared" ca="1" si="14"/>
        <v>4.7941001136512881E-2</v>
      </c>
      <c r="K15" s="360">
        <f t="shared" ca="1" si="15"/>
        <v>0.27190336846292373</v>
      </c>
      <c r="L15" s="357">
        <f t="shared" ca="1" si="0"/>
        <v>0.27609741283006545</v>
      </c>
      <c r="M15" s="359">
        <f t="shared" ca="1" si="16"/>
        <v>1.3962634015954636</v>
      </c>
      <c r="N15" s="357">
        <f t="shared" ca="1" si="17"/>
        <v>80</v>
      </c>
      <c r="O15" s="343"/>
      <c r="P15" s="363">
        <f t="shared" ca="1" si="18"/>
        <v>3</v>
      </c>
      <c r="Q15" s="357">
        <f t="shared" ca="1" si="19"/>
        <v>1278.75</v>
      </c>
      <c r="R15" s="359">
        <f t="shared" ca="1" si="20"/>
        <v>0.64056712860038389</v>
      </c>
      <c r="S15" s="360">
        <f t="shared" ca="1" si="21"/>
        <v>11.565458995832742</v>
      </c>
      <c r="T15" s="357">
        <f t="shared" ca="1" si="1"/>
        <v>113.4571527491192</v>
      </c>
      <c r="U15" s="364">
        <f t="shared" ca="1" si="2"/>
        <v>19.701627818163114</v>
      </c>
      <c r="V15" s="359">
        <f t="shared" ca="1" si="3"/>
        <v>1.2249666922901874</v>
      </c>
      <c r="W15" s="357">
        <f t="shared" ca="1" si="4"/>
        <v>0.12760530350379515</v>
      </c>
      <c r="X15" s="343"/>
      <c r="Y15" s="367" t="str">
        <f t="shared" ca="1" si="22"/>
        <v/>
      </c>
      <c r="Z15" s="368" t="str">
        <f t="shared" ca="1" si="23"/>
        <v/>
      </c>
      <c r="AA15" s="369" t="str">
        <f t="shared" ca="1" si="24"/>
        <v/>
      </c>
      <c r="AB15" s="344"/>
      <c r="AC15" s="363" t="e">
        <f t="shared" ca="1" si="25"/>
        <v>#N/A</v>
      </c>
      <c r="AD15" s="376" t="e">
        <f t="shared" ca="1" si="26"/>
        <v>#N/A</v>
      </c>
      <c r="AE15" s="377">
        <f t="shared" ca="1" si="5"/>
        <v>0.27190336846292373</v>
      </c>
      <c r="AF15" s="344"/>
      <c r="AG15" s="359">
        <f t="shared" ca="1" si="27"/>
        <v>100.89733970387455</v>
      </c>
      <c r="AH15" s="357">
        <f t="shared" ca="1" si="28"/>
        <v>110.55830376092432</v>
      </c>
    </row>
    <row r="16" spans="1:248" x14ac:dyDescent="0.25">
      <c r="A16" s="402">
        <f t="shared" ca="1" si="6"/>
        <v>0.01</v>
      </c>
      <c r="B16" s="357">
        <f t="shared" ca="1" si="7"/>
        <v>0.11999999999999998</v>
      </c>
      <c r="C16" s="342"/>
      <c r="D16" s="359">
        <f t="shared" ca="1" si="8"/>
        <v>17.311882841484579</v>
      </c>
      <c r="E16" s="360">
        <f t="shared" ca="1" si="9"/>
        <v>98.185941143884705</v>
      </c>
      <c r="F16" s="357">
        <f t="shared" ca="1" si="10"/>
        <v>99.700452987073632</v>
      </c>
      <c r="G16" s="359">
        <f t="shared" ca="1" si="11"/>
        <v>1.3510728304626982</v>
      </c>
      <c r="H16" s="360">
        <f t="shared" ca="1" si="12"/>
        <v>7.6627541344125092</v>
      </c>
      <c r="I16" s="357">
        <f t="shared" ca="1" si="13"/>
        <v>7.7809510162749698</v>
      </c>
      <c r="J16" s="359">
        <f t="shared" ca="1" si="14"/>
        <v>6.0586135299065633E-2</v>
      </c>
      <c r="K16" s="360">
        <f t="shared" ca="1" si="15"/>
        <v>0.34362161274985459</v>
      </c>
      <c r="L16" s="357">
        <f t="shared" ca="1" si="0"/>
        <v>0.34892190034345466</v>
      </c>
      <c r="M16" s="359">
        <f t="shared" ca="1" si="16"/>
        <v>1.3962634015954636</v>
      </c>
      <c r="N16" s="357">
        <f t="shared" ca="1" si="17"/>
        <v>80</v>
      </c>
      <c r="O16" s="343"/>
      <c r="P16" s="363">
        <f t="shared" ca="1" si="18"/>
        <v>3</v>
      </c>
      <c r="Q16" s="357">
        <f t="shared" ca="1" si="19"/>
        <v>1264.25</v>
      </c>
      <c r="R16" s="359">
        <f t="shared" ca="1" si="20"/>
        <v>0.63330361081762288</v>
      </c>
      <c r="S16" s="360">
        <f t="shared" ca="1" si="21"/>
        <v>11.559125959724566</v>
      </c>
      <c r="T16" s="357">
        <f t="shared" ca="1" si="1"/>
        <v>113.395025664898</v>
      </c>
      <c r="U16" s="364">
        <f t="shared" ca="1" si="2"/>
        <v>19.690839563204342</v>
      </c>
      <c r="V16" s="359">
        <f t="shared" ca="1" si="3"/>
        <v>1.2249579070756405</v>
      </c>
      <c r="W16" s="357">
        <f t="shared" ca="1" si="4"/>
        <v>0.16786731570049904</v>
      </c>
      <c r="X16" s="343"/>
      <c r="Y16" s="367" t="str">
        <f t="shared" ca="1" si="22"/>
        <v/>
      </c>
      <c r="Z16" s="368" t="str">
        <f t="shared" ca="1" si="23"/>
        <v/>
      </c>
      <c r="AA16" s="369" t="str">
        <f t="shared" ca="1" si="24"/>
        <v/>
      </c>
      <c r="AB16" s="344"/>
      <c r="AC16" s="363" t="e">
        <f t="shared" ca="1" si="25"/>
        <v>#N/A</v>
      </c>
      <c r="AD16" s="376" t="e">
        <f t="shared" ca="1" si="26"/>
        <v>#N/A</v>
      </c>
      <c r="AE16" s="377">
        <f t="shared" ca="1" si="5"/>
        <v>0.34362161274985459</v>
      </c>
      <c r="AF16" s="344"/>
      <c r="AG16" s="359">
        <f t="shared" ca="1" si="27"/>
        <v>99.700452982705201</v>
      </c>
      <c r="AH16" s="357">
        <f t="shared" ca="1" si="28"/>
        <v>109.36141703975497</v>
      </c>
    </row>
    <row r="17" spans="1:34" x14ac:dyDescent="0.25">
      <c r="A17" s="402">
        <f t="shared" ca="1" si="6"/>
        <v>0.01</v>
      </c>
      <c r="B17" s="357">
        <f t="shared" ca="1" si="7"/>
        <v>0.12999999999999998</v>
      </c>
      <c r="C17" s="342"/>
      <c r="D17" s="359">
        <f t="shared" ca="1" si="8"/>
        <v>17.097187737768916</v>
      </c>
      <c r="E17" s="360">
        <f t="shared" ca="1" si="9"/>
        <v>96.968284116538584</v>
      </c>
      <c r="F17" s="357">
        <f t="shared" ca="1" si="10"/>
        <v>98.464013492474834</v>
      </c>
      <c r="G17" s="359">
        <f t="shared" ca="1" si="11"/>
        <v>1.5220447078403874</v>
      </c>
      <c r="H17" s="360">
        <f t="shared" ca="1" si="12"/>
        <v>8.6324369755778942</v>
      </c>
      <c r="I17" s="357">
        <f t="shared" ca="1" si="13"/>
        <v>8.7655911511996365</v>
      </c>
      <c r="J17" s="359">
        <f t="shared" ca="1" si="14"/>
        <v>7.495172299058106E-2</v>
      </c>
      <c r="K17" s="360">
        <f t="shared" ca="1" si="15"/>
        <v>0.42509756829980661</v>
      </c>
      <c r="L17" s="357">
        <f t="shared" ca="1" si="0"/>
        <v>0.43165461118082077</v>
      </c>
      <c r="M17" s="359">
        <f t="shared" ca="1" si="16"/>
        <v>1.3962634015954636</v>
      </c>
      <c r="N17" s="357">
        <f t="shared" ca="1" si="17"/>
        <v>80</v>
      </c>
      <c r="O17" s="343"/>
      <c r="P17" s="363">
        <f t="shared" ca="1" si="18"/>
        <v>4</v>
      </c>
      <c r="Q17" s="357">
        <f t="shared" ca="1" si="19"/>
        <v>1249.3214285714287</v>
      </c>
      <c r="R17" s="359">
        <f t="shared" ca="1" si="20"/>
        <v>0.62582540778019913</v>
      </c>
      <c r="S17" s="360">
        <f t="shared" ca="1" si="21"/>
        <v>11.552867705646765</v>
      </c>
      <c r="T17" s="357">
        <f t="shared" ca="1" si="1"/>
        <v>113.33363219239477</v>
      </c>
      <c r="U17" s="364">
        <f t="shared" ca="1" si="2"/>
        <v>19.680178698583511</v>
      </c>
      <c r="V17" s="359">
        <f t="shared" ca="1" si="3"/>
        <v>1.2249479266546961</v>
      </c>
      <c r="W17" s="357">
        <f t="shared" ca="1" si="4"/>
        <v>0.21303926999011608</v>
      </c>
      <c r="X17" s="343"/>
      <c r="Y17" s="367" t="str">
        <f t="shared" ca="1" si="22"/>
        <v/>
      </c>
      <c r="Z17" s="368" t="str">
        <f t="shared" ca="1" si="23"/>
        <v/>
      </c>
      <c r="AA17" s="369" t="str">
        <f t="shared" ca="1" si="24"/>
        <v/>
      </c>
      <c r="AB17" s="344"/>
      <c r="AC17" s="363" t="e">
        <f t="shared" ca="1" si="25"/>
        <v>#N/A</v>
      </c>
      <c r="AD17" s="376" t="e">
        <f t="shared" ca="1" si="26"/>
        <v>#N/A</v>
      </c>
      <c r="AE17" s="377">
        <f t="shared" ca="1" si="5"/>
        <v>0.42509756829980661</v>
      </c>
      <c r="AF17" s="344"/>
      <c r="AG17" s="359">
        <f t="shared" ca="1" si="27"/>
        <v>98.464013488150698</v>
      </c>
      <c r="AH17" s="357">
        <f t="shared" ca="1" si="28"/>
        <v>108.12497754520047</v>
      </c>
    </row>
    <row r="18" spans="1:34" x14ac:dyDescent="0.25">
      <c r="A18" s="402">
        <f t="shared" ca="1" si="6"/>
        <v>0.01</v>
      </c>
      <c r="B18" s="357">
        <f t="shared" ca="1" si="7"/>
        <v>0.13999999999999999</v>
      </c>
      <c r="C18" s="342"/>
      <c r="D18" s="359">
        <f t="shared" ca="1" si="8"/>
        <v>16.875617528350965</v>
      </c>
      <c r="E18" s="360">
        <f t="shared" ca="1" si="9"/>
        <v>95.7116345025821</v>
      </c>
      <c r="F18" s="357">
        <f t="shared" ca="1" si="10"/>
        <v>97.187979946694284</v>
      </c>
      <c r="G18" s="359">
        <f t="shared" ca="1" si="11"/>
        <v>1.690800883123897</v>
      </c>
      <c r="H18" s="360">
        <f t="shared" ca="1" si="12"/>
        <v>9.5895533206037147</v>
      </c>
      <c r="I18" s="357">
        <f t="shared" ca="1" si="13"/>
        <v>9.7374709506665162</v>
      </c>
      <c r="J18" s="359">
        <f t="shared" ca="1" si="14"/>
        <v>9.1015950945402491E-2</v>
      </c>
      <c r="K18" s="360">
        <f t="shared" ca="1" si="15"/>
        <v>0.51620751978071466</v>
      </c>
      <c r="L18" s="357">
        <f t="shared" ca="1" si="0"/>
        <v>0.52416992169014509</v>
      </c>
      <c r="M18" s="359">
        <f t="shared" ca="1" si="16"/>
        <v>1.3962634015954636</v>
      </c>
      <c r="N18" s="357">
        <f t="shared" ca="1" si="17"/>
        <v>80</v>
      </c>
      <c r="O18" s="343"/>
      <c r="P18" s="363">
        <f t="shared" ca="1" si="18"/>
        <v>4</v>
      </c>
      <c r="Q18" s="357">
        <f t="shared" ca="1" si="19"/>
        <v>1233.9642857142858</v>
      </c>
      <c r="R18" s="359">
        <f t="shared" ca="1" si="20"/>
        <v>0.61813251948811243</v>
      </c>
      <c r="S18" s="360">
        <f t="shared" ca="1" si="21"/>
        <v>11.546686380451884</v>
      </c>
      <c r="T18" s="357">
        <f t="shared" ca="1" si="1"/>
        <v>113.27299339223299</v>
      </c>
      <c r="U18" s="364">
        <f t="shared" ca="1" si="2"/>
        <v>19.66964888143951</v>
      </c>
      <c r="V18" s="359">
        <f t="shared" ca="1" si="3"/>
        <v>1.224936766210915</v>
      </c>
      <c r="W18" s="357">
        <f t="shared" ca="1" si="4"/>
        <v>0.26289700474478989</v>
      </c>
      <c r="X18" s="343"/>
      <c r="Y18" s="367" t="str">
        <f t="shared" ca="1" si="22"/>
        <v/>
      </c>
      <c r="Z18" s="368" t="str">
        <f t="shared" ca="1" si="23"/>
        <v/>
      </c>
      <c r="AA18" s="369" t="str">
        <f t="shared" ca="1" si="24"/>
        <v/>
      </c>
      <c r="AB18" s="344"/>
      <c r="AC18" s="363" t="e">
        <f t="shared" ca="1" si="25"/>
        <v>#N/A</v>
      </c>
      <c r="AD18" s="376" t="e">
        <f t="shared" ca="1" si="26"/>
        <v>#N/A</v>
      </c>
      <c r="AE18" s="377">
        <f t="shared" ca="1" si="5"/>
        <v>0.51620751978071466</v>
      </c>
      <c r="AF18" s="344"/>
      <c r="AG18" s="359">
        <f t="shared" ca="1" si="27"/>
        <v>97.187979942415851</v>
      </c>
      <c r="AH18" s="357">
        <f t="shared" ca="1" si="28"/>
        <v>106.84894399946562</v>
      </c>
    </row>
    <row r="19" spans="1:34" x14ac:dyDescent="0.25">
      <c r="A19" s="402">
        <f t="shared" ca="1" si="6"/>
        <v>0.01</v>
      </c>
      <c r="B19" s="357">
        <f t="shared" ca="1" si="7"/>
        <v>0.15</v>
      </c>
      <c r="C19" s="342"/>
      <c r="D19" s="359">
        <f t="shared" ca="1" si="8"/>
        <v>16.653617262103214</v>
      </c>
      <c r="E19" s="360">
        <f t="shared" ca="1" si="9"/>
        <v>94.452545813588543</v>
      </c>
      <c r="F19" s="357">
        <f t="shared" ca="1" si="10"/>
        <v>95.909469702322227</v>
      </c>
      <c r="G19" s="359">
        <f t="shared" ca="1" si="11"/>
        <v>1.8573370557449291</v>
      </c>
      <c r="H19" s="360">
        <f t="shared" ca="1" si="12"/>
        <v>10.5340787787396</v>
      </c>
      <c r="I19" s="357">
        <f t="shared" ca="1" si="13"/>
        <v>10.696565647689694</v>
      </c>
      <c r="J19" s="359">
        <f t="shared" ca="1" si="14"/>
        <v>0.10875664063974662</v>
      </c>
      <c r="K19" s="360">
        <f t="shared" ca="1" si="15"/>
        <v>0.61682568027743123</v>
      </c>
      <c r="L19" s="357">
        <f t="shared" ca="1" si="0"/>
        <v>0.62634010468192025</v>
      </c>
      <c r="M19" s="359">
        <f t="shared" ca="1" si="16"/>
        <v>1.3962634015954636</v>
      </c>
      <c r="N19" s="357">
        <f t="shared" ca="1" si="17"/>
        <v>80</v>
      </c>
      <c r="O19" s="343"/>
      <c r="P19" s="363">
        <f t="shared" ca="1" si="18"/>
        <v>4</v>
      </c>
      <c r="Q19" s="357">
        <f t="shared" ca="1" si="19"/>
        <v>1218.6071428571429</v>
      </c>
      <c r="R19" s="359">
        <f t="shared" ca="1" si="20"/>
        <v>0.61043963119602562</v>
      </c>
      <c r="S19" s="360">
        <f t="shared" ca="1" si="21"/>
        <v>11.540581984139925</v>
      </c>
      <c r="T19" s="357">
        <f t="shared" ca="1" si="1"/>
        <v>113.21310926441267</v>
      </c>
      <c r="U19" s="364">
        <f t="shared" ca="1" si="2"/>
        <v>19.659250111772337</v>
      </c>
      <c r="V19" s="359">
        <f t="shared" ca="1" si="3"/>
        <v>1.2249244411844971</v>
      </c>
      <c r="W19" s="357">
        <f t="shared" ca="1" si="4"/>
        <v>0.31723247531160081</v>
      </c>
      <c r="X19" s="343"/>
      <c r="Y19" s="367" t="str">
        <f t="shared" ca="1" si="22"/>
        <v/>
      </c>
      <c r="Z19" s="368" t="str">
        <f t="shared" ca="1" si="23"/>
        <v/>
      </c>
      <c r="AA19" s="369" t="str">
        <f t="shared" ca="1" si="24"/>
        <v/>
      </c>
      <c r="AB19" s="344"/>
      <c r="AC19" s="363" t="e">
        <f t="shared" ca="1" si="25"/>
        <v>#N/A</v>
      </c>
      <c r="AD19" s="376" t="e">
        <f t="shared" ca="1" si="26"/>
        <v>#N/A</v>
      </c>
      <c r="AE19" s="377">
        <f t="shared" ca="1" si="5"/>
        <v>0.61682568027743123</v>
      </c>
      <c r="AF19" s="344"/>
      <c r="AG19" s="359">
        <f t="shared" ca="1" si="27"/>
        <v>95.909469698089538</v>
      </c>
      <c r="AH19" s="357">
        <f t="shared" ca="1" si="28"/>
        <v>105.57043375513931</v>
      </c>
    </row>
    <row r="20" spans="1:34" x14ac:dyDescent="0.25">
      <c r="A20" s="402">
        <f t="shared" ca="1" si="6"/>
        <v>0.01</v>
      </c>
      <c r="B20" s="357">
        <f t="shared" ca="1" si="7"/>
        <v>0.16</v>
      </c>
      <c r="C20" s="342"/>
      <c r="D20" s="359">
        <f t="shared" ca="1" si="8"/>
        <v>16.431193830107617</v>
      </c>
      <c r="E20" s="360">
        <f t="shared" ca="1" si="9"/>
        <v>93.191057131917304</v>
      </c>
      <c r="F20" s="357">
        <f t="shared" ca="1" si="10"/>
        <v>94.628522444593003</v>
      </c>
      <c r="G20" s="359">
        <f t="shared" ca="1" si="11"/>
        <v>2.0216489940460054</v>
      </c>
      <c r="H20" s="360">
        <f t="shared" ca="1" si="12"/>
        <v>11.465989350058774</v>
      </c>
      <c r="I20" s="357">
        <f t="shared" ca="1" si="13"/>
        <v>11.642850872135588</v>
      </c>
      <c r="J20" s="359">
        <f t="shared" ca="1" si="14"/>
        <v>0.1281515708887013</v>
      </c>
      <c r="K20" s="360">
        <f t="shared" ca="1" si="15"/>
        <v>0.72682602092142312</v>
      </c>
      <c r="L20" s="357">
        <f t="shared" ca="1" si="0"/>
        <v>0.73803718728104128</v>
      </c>
      <c r="M20" s="359">
        <f t="shared" ca="1" si="16"/>
        <v>1.3962634015954636</v>
      </c>
      <c r="N20" s="357">
        <f t="shared" ca="1" si="17"/>
        <v>80</v>
      </c>
      <c r="O20" s="343"/>
      <c r="P20" s="363">
        <f t="shared" ca="1" si="18"/>
        <v>4</v>
      </c>
      <c r="Q20" s="357">
        <f t="shared" ca="1" si="19"/>
        <v>1203.25</v>
      </c>
      <c r="R20" s="359">
        <f t="shared" ca="1" si="20"/>
        <v>0.60274674290393893</v>
      </c>
      <c r="S20" s="360">
        <f t="shared" ca="1" si="21"/>
        <v>11.534554516710886</v>
      </c>
      <c r="T20" s="357">
        <f t="shared" ca="1" si="1"/>
        <v>113.1539798089338</v>
      </c>
      <c r="U20" s="364">
        <f t="shared" ca="1" si="2"/>
        <v>19.648982389581992</v>
      </c>
      <c r="V20" s="359">
        <f t="shared" ca="1" si="3"/>
        <v>1.2249109670480105</v>
      </c>
      <c r="W20" s="357">
        <f t="shared" ca="1" si="4"/>
        <v>0.37583983654001329</v>
      </c>
      <c r="X20" s="343"/>
      <c r="Y20" s="367" t="str">
        <f t="shared" ca="1" si="22"/>
        <v/>
      </c>
      <c r="Z20" s="368" t="str">
        <f t="shared" ca="1" si="23"/>
        <v/>
      </c>
      <c r="AA20" s="369" t="str">
        <f t="shared" ca="1" si="24"/>
        <v/>
      </c>
      <c r="AB20" s="344"/>
      <c r="AC20" s="363" t="e">
        <f t="shared" ca="1" si="25"/>
        <v>#N/A</v>
      </c>
      <c r="AD20" s="376" t="e">
        <f t="shared" ca="1" si="26"/>
        <v>#N/A</v>
      </c>
      <c r="AE20" s="377">
        <f t="shared" ca="1" si="5"/>
        <v>0.72682602092142312</v>
      </c>
      <c r="AF20" s="344"/>
      <c r="AG20" s="359">
        <f t="shared" ca="1" si="27"/>
        <v>94.628522440406087</v>
      </c>
      <c r="AH20" s="357">
        <f t="shared" ca="1" si="28"/>
        <v>104.28948649745585</v>
      </c>
    </row>
    <row r="21" spans="1:34" x14ac:dyDescent="0.25">
      <c r="A21" s="402">
        <f t="shared" ca="1" si="6"/>
        <v>0.01</v>
      </c>
      <c r="B21" s="357">
        <f t="shared" ca="1" si="7"/>
        <v>0.17</v>
      </c>
      <c r="C21" s="342"/>
      <c r="D21" s="359">
        <f t="shared" ca="1" si="8"/>
        <v>16.20835412176211</v>
      </c>
      <c r="E21" s="360">
        <f t="shared" ca="1" si="9"/>
        <v>91.927207530383512</v>
      </c>
      <c r="F21" s="357">
        <f t="shared" ca="1" si="10"/>
        <v>93.345177849049293</v>
      </c>
      <c r="G21" s="359">
        <f t="shared" ca="1" si="11"/>
        <v>2.1837325352636263</v>
      </c>
      <c r="H21" s="360">
        <f t="shared" ca="1" si="12"/>
        <v>12.385261425362609</v>
      </c>
      <c r="I21" s="357">
        <f t="shared" ca="1" si="13"/>
        <v>12.576302650626056</v>
      </c>
      <c r="J21" s="359">
        <f t="shared" ca="1" si="14"/>
        <v>0.14917847853524946</v>
      </c>
      <c r="K21" s="360">
        <f t="shared" ca="1" si="15"/>
        <v>0.84608227479853004</v>
      </c>
      <c r="L21" s="357">
        <f t="shared" ca="1" si="0"/>
        <v>0.85913295489484465</v>
      </c>
      <c r="M21" s="359">
        <f t="shared" ca="1" si="16"/>
        <v>1.3962634015954636</v>
      </c>
      <c r="N21" s="357">
        <f t="shared" ca="1" si="17"/>
        <v>80</v>
      </c>
      <c r="O21" s="343"/>
      <c r="P21" s="363">
        <f t="shared" ca="1" si="18"/>
        <v>4</v>
      </c>
      <c r="Q21" s="357">
        <f t="shared" ca="1" si="19"/>
        <v>1187.8928571428571</v>
      </c>
      <c r="R21" s="359">
        <f t="shared" ca="1" si="20"/>
        <v>0.59505385461185212</v>
      </c>
      <c r="S21" s="360">
        <f t="shared" ca="1" si="21"/>
        <v>11.528603978164767</v>
      </c>
      <c r="T21" s="357">
        <f t="shared" ca="1" si="1"/>
        <v>113.09560502579637</v>
      </c>
      <c r="U21" s="364">
        <f t="shared" ca="1" si="2"/>
        <v>19.638845714868477</v>
      </c>
      <c r="V21" s="359">
        <f t="shared" ca="1" si="3"/>
        <v>1.2248963593057651</v>
      </c>
      <c r="W21" s="357">
        <f t="shared" ca="1" si="4"/>
        <v>0.43851547301107136</v>
      </c>
      <c r="X21" s="343"/>
      <c r="Y21" s="367" t="str">
        <f t="shared" ca="1" si="22"/>
        <v/>
      </c>
      <c r="Z21" s="368" t="str">
        <f t="shared" ca="1" si="23"/>
        <v/>
      </c>
      <c r="AA21" s="369" t="str">
        <f t="shared" ca="1" si="24"/>
        <v/>
      </c>
      <c r="AB21" s="344"/>
      <c r="AC21" s="363" t="e">
        <f t="shared" ca="1" si="25"/>
        <v>#N/A</v>
      </c>
      <c r="AD21" s="376" t="e">
        <f t="shared" ca="1" si="26"/>
        <v>#N/A</v>
      </c>
      <c r="AE21" s="377">
        <f t="shared" ca="1" si="5"/>
        <v>0.84608227479853004</v>
      </c>
      <c r="AF21" s="344"/>
      <c r="AG21" s="359">
        <f t="shared" ca="1" si="27"/>
        <v>93.345177844908193</v>
      </c>
      <c r="AH21" s="357">
        <f t="shared" ca="1" si="28"/>
        <v>103.00614190195796</v>
      </c>
    </row>
    <row r="22" spans="1:34" x14ac:dyDescent="0.25">
      <c r="A22" s="402">
        <f t="shared" ca="1" si="6"/>
        <v>0.01</v>
      </c>
      <c r="B22" s="357">
        <f t="shared" ca="1" si="7"/>
        <v>0.18000000000000002</v>
      </c>
      <c r="C22" s="342"/>
      <c r="D22" s="359">
        <f t="shared" ca="1" si="8"/>
        <v>15.985105023860703</v>
      </c>
      <c r="E22" s="360">
        <f t="shared" ca="1" si="9"/>
        <v>90.661036067041053</v>
      </c>
      <c r="F22" s="357">
        <f t="shared" ca="1" si="10"/>
        <v>92.059475576244594</v>
      </c>
      <c r="G22" s="359">
        <f t="shared" ca="1" si="11"/>
        <v>2.3435835855022331</v>
      </c>
      <c r="H22" s="360">
        <f t="shared" ca="1" si="12"/>
        <v>13.29187178603302</v>
      </c>
      <c r="I22" s="357">
        <f t="shared" ca="1" si="13"/>
        <v>13.496897406388483</v>
      </c>
      <c r="J22" s="359">
        <f t="shared" ca="1" si="14"/>
        <v>0.17181505913907877</v>
      </c>
      <c r="K22" s="360">
        <f t="shared" ca="1" si="15"/>
        <v>0.97446794085550814</v>
      </c>
      <c r="L22" s="357">
        <f t="shared" ca="1" si="0"/>
        <v>0.98949895517991293</v>
      </c>
      <c r="M22" s="359">
        <f t="shared" ca="1" si="16"/>
        <v>1.3962634015954636</v>
      </c>
      <c r="N22" s="357">
        <f t="shared" ca="1" si="17"/>
        <v>80</v>
      </c>
      <c r="O22" s="343"/>
      <c r="P22" s="363">
        <f t="shared" ca="1" si="18"/>
        <v>4</v>
      </c>
      <c r="Q22" s="357">
        <f t="shared" ca="1" si="19"/>
        <v>1172.5357142857142</v>
      </c>
      <c r="R22" s="359">
        <f t="shared" ca="1" si="20"/>
        <v>0.58736096631976542</v>
      </c>
      <c r="S22" s="360">
        <f t="shared" ca="1" si="21"/>
        <v>11.52273036850157</v>
      </c>
      <c r="T22" s="357">
        <f t="shared" ca="1" si="1"/>
        <v>113.03798491500041</v>
      </c>
      <c r="U22" s="364">
        <f t="shared" ca="1" si="2"/>
        <v>19.62884008763179</v>
      </c>
      <c r="V22" s="359">
        <f t="shared" ca="1" si="3"/>
        <v>1.2248806334931872</v>
      </c>
      <c r="W22" s="357">
        <f t="shared" ca="1" si="4"/>
        <v>0.50505802878572559</v>
      </c>
      <c r="X22" s="343"/>
      <c r="Y22" s="367" t="str">
        <f t="shared" ca="1" si="22"/>
        <v/>
      </c>
      <c r="Z22" s="368" t="str">
        <f t="shared" ca="1" si="23"/>
        <v/>
      </c>
      <c r="AA22" s="369" t="str">
        <f t="shared" ca="1" si="24"/>
        <v/>
      </c>
      <c r="AB22" s="344"/>
      <c r="AC22" s="363" t="e">
        <f t="shared" ca="1" si="25"/>
        <v>#N/A</v>
      </c>
      <c r="AD22" s="376" t="e">
        <f t="shared" ca="1" si="26"/>
        <v>#N/A</v>
      </c>
      <c r="AE22" s="377">
        <f t="shared" ca="1" si="5"/>
        <v>0.97446794085550814</v>
      </c>
      <c r="AF22" s="344"/>
      <c r="AG22" s="359">
        <f t="shared" ca="1" si="27"/>
        <v>92.059475572149353</v>
      </c>
      <c r="AH22" s="357">
        <f t="shared" ca="1" si="28"/>
        <v>101.72043962919912</v>
      </c>
    </row>
    <row r="23" spans="1:34" x14ac:dyDescent="0.25">
      <c r="A23" s="402">
        <f t="shared" ca="1" si="6"/>
        <v>0.01</v>
      </c>
      <c r="B23" s="357">
        <f t="shared" ca="1" si="7"/>
        <v>0.19000000000000003</v>
      </c>
      <c r="C23" s="342"/>
      <c r="D23" s="359">
        <f t="shared" ca="1" si="8"/>
        <v>15.761453419678212</v>
      </c>
      <c r="E23" s="360">
        <f t="shared" ca="1" si="9"/>
        <v>89.392581779991602</v>
      </c>
      <c r="F23" s="357">
        <f t="shared" ca="1" si="10"/>
        <v>90.771455266472259</v>
      </c>
      <c r="G23" s="359">
        <f t="shared" ca="1" si="11"/>
        <v>2.5011981196990152</v>
      </c>
      <c r="H23" s="360">
        <f t="shared" ca="1" si="12"/>
        <v>14.185797603832937</v>
      </c>
      <c r="I23" s="357">
        <f t="shared" ca="1" si="13"/>
        <v>14.40461195905319</v>
      </c>
      <c r="J23" s="359">
        <f t="shared" ca="1" si="14"/>
        <v>0.196038967665085</v>
      </c>
      <c r="K23" s="360">
        <f t="shared" ca="1" si="15"/>
        <v>1.1118562878048379</v>
      </c>
      <c r="L23" s="357">
        <f t="shared" ca="1" si="0"/>
        <v>1.1290065020071172</v>
      </c>
      <c r="M23" s="359">
        <f t="shared" ca="1" si="16"/>
        <v>1.3962634015954636</v>
      </c>
      <c r="N23" s="357">
        <f t="shared" ca="1" si="17"/>
        <v>80</v>
      </c>
      <c r="O23" s="343"/>
      <c r="P23" s="363">
        <f t="shared" ca="1" si="18"/>
        <v>4</v>
      </c>
      <c r="Q23" s="357">
        <f t="shared" ca="1" si="19"/>
        <v>1157.1785714285713</v>
      </c>
      <c r="R23" s="359">
        <f t="shared" ca="1" si="20"/>
        <v>0.57966807802767872</v>
      </c>
      <c r="S23" s="360">
        <f t="shared" ca="1" si="21"/>
        <v>11.516933687721293</v>
      </c>
      <c r="T23" s="357">
        <f t="shared" ca="1" si="1"/>
        <v>112.98111947654589</v>
      </c>
      <c r="U23" s="364">
        <f t="shared" ca="1" si="2"/>
        <v>19.61896550787193</v>
      </c>
      <c r="V23" s="359">
        <f t="shared" ca="1" si="3"/>
        <v>1.2248638051761975</v>
      </c>
      <c r="W23" s="357">
        <f t="shared" ca="1" si="4"/>
        <v>0.57526843666901295</v>
      </c>
      <c r="X23" s="343"/>
      <c r="Y23" s="367" t="str">
        <f t="shared" ca="1" si="22"/>
        <v/>
      </c>
      <c r="Z23" s="368" t="str">
        <f t="shared" ca="1" si="23"/>
        <v/>
      </c>
      <c r="AA23" s="369" t="str">
        <f t="shared" ca="1" si="24"/>
        <v/>
      </c>
      <c r="AB23" s="344"/>
      <c r="AC23" s="363" t="e">
        <f t="shared" ca="1" si="25"/>
        <v>#N/A</v>
      </c>
      <c r="AD23" s="376" t="e">
        <f t="shared" ca="1" si="26"/>
        <v>#N/A</v>
      </c>
      <c r="AE23" s="377">
        <f t="shared" ca="1" si="5"/>
        <v>1.1118562878048379</v>
      </c>
      <c r="AF23" s="344"/>
      <c r="AG23" s="359">
        <f t="shared" ca="1" si="27"/>
        <v>90.771455262422904</v>
      </c>
      <c r="AH23" s="357">
        <f t="shared" ca="1" si="28"/>
        <v>100.43241931947267</v>
      </c>
    </row>
    <row r="24" spans="1:34" x14ac:dyDescent="0.25">
      <c r="A24" s="402">
        <f t="shared" ca="1" si="6"/>
        <v>0.01</v>
      </c>
      <c r="B24" s="357">
        <f t="shared" ca="1" si="7"/>
        <v>0.20000000000000004</v>
      </c>
      <c r="C24" s="342"/>
      <c r="D24" s="359">
        <f t="shared" ca="1" si="8"/>
        <v>15.537406188059837</v>
      </c>
      <c r="E24" s="360">
        <f t="shared" ca="1" si="9"/>
        <v>88.121883682221366</v>
      </c>
      <c r="F24" s="357">
        <f t="shared" ca="1" si="10"/>
        <v>89.481156534522469</v>
      </c>
      <c r="G24" s="359">
        <f t="shared" ca="1" si="11"/>
        <v>2.6565721815796137</v>
      </c>
      <c r="H24" s="360">
        <f t="shared" ca="1" si="12"/>
        <v>15.06701644065515</v>
      </c>
      <c r="I24" s="357">
        <f t="shared" ca="1" si="13"/>
        <v>15.299423524398403</v>
      </c>
      <c r="J24" s="359">
        <f t="shared" ca="1" si="14"/>
        <v>0.22182781917147815</v>
      </c>
      <c r="K24" s="360">
        <f t="shared" ca="1" si="15"/>
        <v>1.2581203580272784</v>
      </c>
      <c r="L24" s="357">
        <f t="shared" ca="1" si="0"/>
        <v>1.2775266794243716</v>
      </c>
      <c r="M24" s="359">
        <f t="shared" ca="1" si="16"/>
        <v>1.3962634015954636</v>
      </c>
      <c r="N24" s="357">
        <f t="shared" ca="1" si="17"/>
        <v>80</v>
      </c>
      <c r="O24" s="343"/>
      <c r="P24" s="363">
        <f t="shared" ca="1" si="18"/>
        <v>4</v>
      </c>
      <c r="Q24" s="357">
        <f t="shared" ca="1" si="19"/>
        <v>1141.8214285714284</v>
      </c>
      <c r="R24" s="359">
        <f t="shared" ca="1" si="20"/>
        <v>0.57197518973559192</v>
      </c>
      <c r="S24" s="360">
        <f t="shared" ca="1" si="21"/>
        <v>11.511213935823937</v>
      </c>
      <c r="T24" s="357">
        <f t="shared" ca="1" si="1"/>
        <v>112.92500871043283</v>
      </c>
      <c r="U24" s="364">
        <f t="shared" ca="1" si="2"/>
        <v>19.609221975588905</v>
      </c>
      <c r="V24" s="359">
        <f t="shared" ca="1" si="3"/>
        <v>1.2248458899505912</v>
      </c>
      <c r="W24" s="357">
        <f t="shared" ca="1" si="4"/>
        <v>0.64894994698699926</v>
      </c>
      <c r="X24" s="343"/>
      <c r="Y24" s="367" t="str">
        <f t="shared" ca="1" si="22"/>
        <v/>
      </c>
      <c r="Z24" s="368" t="str">
        <f t="shared" ca="1" si="23"/>
        <v/>
      </c>
      <c r="AA24" s="369" t="str">
        <f t="shared" ca="1" si="24"/>
        <v/>
      </c>
      <c r="AB24" s="344"/>
      <c r="AC24" s="363" t="e">
        <f t="shared" ca="1" si="25"/>
        <v>#N/A</v>
      </c>
      <c r="AD24" s="376" t="e">
        <f t="shared" ca="1" si="26"/>
        <v>#N/A</v>
      </c>
      <c r="AE24" s="377">
        <f t="shared" ca="1" si="5"/>
        <v>1.2581203580272784</v>
      </c>
      <c r="AF24" s="344"/>
      <c r="AG24" s="359">
        <f t="shared" ca="1" si="27"/>
        <v>89.481156530519058</v>
      </c>
      <c r="AH24" s="357">
        <f t="shared" ca="1" si="28"/>
        <v>99.142120587568826</v>
      </c>
    </row>
    <row r="25" spans="1:34" x14ac:dyDescent="0.25">
      <c r="A25" s="402">
        <f t="shared" ca="1" si="6"/>
        <v>0.01</v>
      </c>
      <c r="B25" s="357">
        <f t="shared" ca="1" si="7"/>
        <v>0.21000000000000005</v>
      </c>
      <c r="C25" s="342"/>
      <c r="D25" s="359">
        <f t="shared" ca="1" si="8"/>
        <v>15.312970202515718</v>
      </c>
      <c r="E25" s="360">
        <f t="shared" ca="1" si="9"/>
        <v>86.848980756466062</v>
      </c>
      <c r="F25" s="357">
        <f t="shared" ca="1" si="10"/>
        <v>88.18861896446812</v>
      </c>
      <c r="G25" s="359">
        <f t="shared" ca="1" si="11"/>
        <v>2.8097018836047711</v>
      </c>
      <c r="H25" s="360">
        <f t="shared" ca="1" si="12"/>
        <v>15.935506248219811</v>
      </c>
      <c r="I25" s="357">
        <f t="shared" ca="1" si="13"/>
        <v>16.181309714043078</v>
      </c>
      <c r="J25" s="359">
        <f t="shared" ca="1" si="14"/>
        <v>0.24915918949740007</v>
      </c>
      <c r="K25" s="360">
        <f t="shared" ca="1" si="15"/>
        <v>1.4131329714716532</v>
      </c>
      <c r="L25" s="357">
        <f t="shared" ca="1" si="0"/>
        <v>1.4349303456165756</v>
      </c>
      <c r="M25" s="359">
        <f t="shared" ca="1" si="16"/>
        <v>1.3962634015954636</v>
      </c>
      <c r="N25" s="357">
        <f t="shared" ca="1" si="17"/>
        <v>80</v>
      </c>
      <c r="O25" s="343"/>
      <c r="P25" s="363">
        <f t="shared" ca="1" si="18"/>
        <v>4</v>
      </c>
      <c r="Q25" s="357">
        <f t="shared" ca="1" si="19"/>
        <v>1126.4642857142858</v>
      </c>
      <c r="R25" s="359">
        <f t="shared" ca="1" si="20"/>
        <v>0.56428230144350533</v>
      </c>
      <c r="S25" s="360">
        <f t="shared" ca="1" si="21"/>
        <v>11.505571112809502</v>
      </c>
      <c r="T25" s="357">
        <f t="shared" ca="1" si="1"/>
        <v>112.86965261666121</v>
      </c>
      <c r="U25" s="364">
        <f t="shared" ca="1" si="2"/>
        <v>19.599609490782704</v>
      </c>
      <c r="V25" s="359">
        <f t="shared" ca="1" si="3"/>
        <v>1.2248269034414174</v>
      </c>
      <c r="W25" s="357">
        <f t="shared" ca="1" si="4"/>
        <v>0.72590815587357949</v>
      </c>
      <c r="X25" s="343"/>
      <c r="Y25" s="367" t="str">
        <f t="shared" ca="1" si="22"/>
        <v/>
      </c>
      <c r="Z25" s="368" t="str">
        <f t="shared" ca="1" si="23"/>
        <v/>
      </c>
      <c r="AA25" s="369" t="str">
        <f t="shared" ca="1" si="24"/>
        <v/>
      </c>
      <c r="AB25" s="344"/>
      <c r="AC25" s="363" t="e">
        <f t="shared" ca="1" si="25"/>
        <v>#N/A</v>
      </c>
      <c r="AD25" s="376" t="e">
        <f t="shared" ca="1" si="26"/>
        <v>#N/A</v>
      </c>
      <c r="AE25" s="377">
        <f t="shared" ca="1" si="5"/>
        <v>1.4131329714716532</v>
      </c>
      <c r="AF25" s="344"/>
      <c r="AG25" s="359">
        <f t="shared" ca="1" si="27"/>
        <v>88.188618960510695</v>
      </c>
      <c r="AH25" s="357">
        <f t="shared" ca="1" si="28"/>
        <v>97.849583017560462</v>
      </c>
    </row>
    <row r="26" spans="1:34" x14ac:dyDescent="0.25">
      <c r="A26" s="402">
        <f t="shared" ca="1" si="6"/>
        <v>0.01</v>
      </c>
      <c r="B26" s="357">
        <f t="shared" ca="1" si="7"/>
        <v>0.22000000000000006</v>
      </c>
      <c r="C26" s="342"/>
      <c r="D26" s="359">
        <f t="shared" ca="1" si="8"/>
        <v>15.088152330320751</v>
      </c>
      <c r="E26" s="360">
        <f t="shared" ca="1" si="9"/>
        <v>85.573911950105582</v>
      </c>
      <c r="F26" s="357">
        <f t="shared" ca="1" si="10"/>
        <v>86.893882104480667</v>
      </c>
      <c r="G26" s="359">
        <f t="shared" ca="1" si="11"/>
        <v>2.9605834069079786</v>
      </c>
      <c r="H26" s="360">
        <f t="shared" ca="1" si="12"/>
        <v>16.791245367720865</v>
      </c>
      <c r="I26" s="357">
        <f t="shared" ca="1" si="13"/>
        <v>17.050248535087878</v>
      </c>
      <c r="J26" s="359">
        <f t="shared" ca="1" si="14"/>
        <v>0.27801061594996379</v>
      </c>
      <c r="K26" s="360">
        <f t="shared" ca="1" si="15"/>
        <v>1.5767667295513565</v>
      </c>
      <c r="L26" s="357">
        <f t="shared" ca="1" si="0"/>
        <v>1.6010881368622276</v>
      </c>
      <c r="M26" s="359">
        <f t="shared" ca="1" si="16"/>
        <v>1.3962634015954636</v>
      </c>
      <c r="N26" s="357">
        <f t="shared" ca="1" si="17"/>
        <v>80</v>
      </c>
      <c r="O26" s="343"/>
      <c r="P26" s="363">
        <f t="shared" ca="1" si="18"/>
        <v>4</v>
      </c>
      <c r="Q26" s="357">
        <f t="shared" ca="1" si="19"/>
        <v>1111.1071428571427</v>
      </c>
      <c r="R26" s="359">
        <f t="shared" ca="1" si="20"/>
        <v>0.55658941315141852</v>
      </c>
      <c r="S26" s="360">
        <f t="shared" ca="1" si="21"/>
        <v>11.500005218677988</v>
      </c>
      <c r="T26" s="357">
        <f t="shared" ca="1" si="1"/>
        <v>112.81505119523106</v>
      </c>
      <c r="U26" s="364">
        <f t="shared" ca="1" si="2"/>
        <v>19.590128053453334</v>
      </c>
      <c r="V26" s="359">
        <f t="shared" ca="1" si="3"/>
        <v>1.2248068613023637</v>
      </c>
      <c r="W26" s="357">
        <f t="shared" ca="1" si="4"/>
        <v>0.80595103306442495</v>
      </c>
      <c r="X26" s="343"/>
      <c r="Y26" s="367" t="str">
        <f t="shared" ca="1" si="22"/>
        <v/>
      </c>
      <c r="Z26" s="368" t="str">
        <f t="shared" ca="1" si="23"/>
        <v/>
      </c>
      <c r="AA26" s="369" t="str">
        <f t="shared" ca="1" si="24"/>
        <v/>
      </c>
      <c r="AB26" s="344"/>
      <c r="AC26" s="363" t="e">
        <f t="shared" ca="1" si="25"/>
        <v>#N/A</v>
      </c>
      <c r="AD26" s="376" t="e">
        <f t="shared" ca="1" si="26"/>
        <v>#N/A</v>
      </c>
      <c r="AE26" s="377">
        <f t="shared" ca="1" si="5"/>
        <v>1.5767667295513565</v>
      </c>
      <c r="AF26" s="344"/>
      <c r="AG26" s="359">
        <f t="shared" ca="1" si="27"/>
        <v>86.893882100569272</v>
      </c>
      <c r="AH26" s="357">
        <f t="shared" ca="1" si="28"/>
        <v>96.554846157619025</v>
      </c>
    </row>
    <row r="27" spans="1:34" x14ac:dyDescent="0.25">
      <c r="A27" s="402">
        <f t="shared" ca="1" si="6"/>
        <v>0.01</v>
      </c>
      <c r="B27" s="357">
        <f t="shared" ca="1" si="7"/>
        <v>0.23000000000000007</v>
      </c>
      <c r="C27" s="342"/>
      <c r="D27" s="359">
        <f t="shared" ca="1" si="8"/>
        <v>14.862959431619823</v>
      </c>
      <c r="E27" s="360">
        <f t="shared" ca="1" si="9"/>
        <v>84.296716170089525</v>
      </c>
      <c r="F27" s="357">
        <f t="shared" ca="1" si="10"/>
        <v>85.596985461677377</v>
      </c>
      <c r="G27" s="359">
        <f t="shared" ca="1" si="11"/>
        <v>3.1092130012241768</v>
      </c>
      <c r="H27" s="360">
        <f t="shared" ca="1" si="12"/>
        <v>17.63421252942176</v>
      </c>
      <c r="I27" s="357">
        <f t="shared" ca="1" si="13"/>
        <v>17.906218389704645</v>
      </c>
      <c r="J27" s="359">
        <f t="shared" ca="1" si="14"/>
        <v>0.30835959799062457</v>
      </c>
      <c r="K27" s="360">
        <f t="shared" ca="1" si="15"/>
        <v>1.7488940190370696</v>
      </c>
      <c r="L27" s="357">
        <f t="shared" ca="1" si="0"/>
        <v>1.7758704714861875</v>
      </c>
      <c r="M27" s="359">
        <f t="shared" ca="1" si="16"/>
        <v>1.3962634015954636</v>
      </c>
      <c r="N27" s="357">
        <f t="shared" ca="1" si="17"/>
        <v>80</v>
      </c>
      <c r="O27" s="343"/>
      <c r="P27" s="363">
        <f t="shared" ca="1" si="18"/>
        <v>4</v>
      </c>
      <c r="Q27" s="357">
        <f t="shared" ca="1" si="19"/>
        <v>1095.75</v>
      </c>
      <c r="R27" s="359">
        <f t="shared" ca="1" si="20"/>
        <v>0.54889652485933182</v>
      </c>
      <c r="S27" s="360">
        <f t="shared" ca="1" si="21"/>
        <v>11.494516253429394</v>
      </c>
      <c r="T27" s="357">
        <f t="shared" ca="1" si="1"/>
        <v>112.76120444614236</v>
      </c>
      <c r="U27" s="364">
        <f t="shared" ca="1" si="2"/>
        <v>19.580777663600792</v>
      </c>
      <c r="V27" s="359">
        <f t="shared" ca="1" si="3"/>
        <v>1.2247857792151404</v>
      </c>
      <c r="W27" s="357">
        <f t="shared" ca="1" si="4"/>
        <v>0.88888894919555361</v>
      </c>
      <c r="X27" s="343"/>
      <c r="Y27" s="367" t="str">
        <f t="shared" ca="1" si="22"/>
        <v/>
      </c>
      <c r="Z27" s="368" t="str">
        <f t="shared" ca="1" si="23"/>
        <v/>
      </c>
      <c r="AA27" s="369" t="str">
        <f t="shared" ca="1" si="24"/>
        <v/>
      </c>
      <c r="AB27" s="344"/>
      <c r="AC27" s="363" t="e">
        <f t="shared" ca="1" si="25"/>
        <v>#N/A</v>
      </c>
      <c r="AD27" s="376" t="e">
        <f t="shared" ca="1" si="26"/>
        <v>#N/A</v>
      </c>
      <c r="AE27" s="377">
        <f t="shared" ca="1" si="5"/>
        <v>1.7488940190370696</v>
      </c>
      <c r="AF27" s="344"/>
      <c r="AG27" s="359">
        <f t="shared" ca="1" si="27"/>
        <v>85.596985457812025</v>
      </c>
      <c r="AH27" s="357">
        <f t="shared" ca="1" si="28"/>
        <v>95.257949514861792</v>
      </c>
    </row>
    <row r="28" spans="1:34" x14ac:dyDescent="0.25">
      <c r="A28" s="402">
        <f t="shared" ca="1" si="6"/>
        <v>0.01</v>
      </c>
      <c r="B28" s="357">
        <f t="shared" ca="1" si="7"/>
        <v>0.24000000000000007</v>
      </c>
      <c r="C28" s="342"/>
      <c r="D28" s="359">
        <f t="shared" ca="1" si="8"/>
        <v>14.637398358538565</v>
      </c>
      <c r="E28" s="360">
        <f t="shared" ca="1" si="9"/>
        <v>83.017432277893874</v>
      </c>
      <c r="F28" s="357">
        <f t="shared" ca="1" si="10"/>
        <v>84.297968497000227</v>
      </c>
      <c r="G28" s="359">
        <f t="shared" ca="1" si="11"/>
        <v>3.2555869848095624</v>
      </c>
      <c r="H28" s="360">
        <f t="shared" ca="1" si="12"/>
        <v>18.464386852200697</v>
      </c>
      <c r="I28" s="357">
        <f t="shared" ca="1" si="13"/>
        <v>18.749198074674645</v>
      </c>
      <c r="J28" s="359">
        <f t="shared" ca="1" si="14"/>
        <v>0.34018359792079328</v>
      </c>
      <c r="K28" s="360">
        <f t="shared" ca="1" si="15"/>
        <v>1.929387015945182</v>
      </c>
      <c r="L28" s="357">
        <f t="shared" ca="1" si="0"/>
        <v>1.9591475538080816</v>
      </c>
      <c r="M28" s="359">
        <f t="shared" ca="1" si="16"/>
        <v>1.3962634015954636</v>
      </c>
      <c r="N28" s="357">
        <f t="shared" ca="1" si="17"/>
        <v>80</v>
      </c>
      <c r="O28" s="343"/>
      <c r="P28" s="363">
        <f t="shared" ca="1" si="18"/>
        <v>4</v>
      </c>
      <c r="Q28" s="357">
        <f t="shared" ca="1" si="19"/>
        <v>1080.3928571428571</v>
      </c>
      <c r="R28" s="359">
        <f t="shared" ca="1" si="20"/>
        <v>0.54120363656724513</v>
      </c>
      <c r="S28" s="360">
        <f t="shared" ca="1" si="21"/>
        <v>11.489104217063721</v>
      </c>
      <c r="T28" s="357">
        <f t="shared" ca="1" si="1"/>
        <v>112.70811236939511</v>
      </c>
      <c r="U28" s="364">
        <f t="shared" ca="1" si="2"/>
        <v>19.57155832122508</v>
      </c>
      <c r="V28" s="359">
        <f t="shared" ca="1" si="3"/>
        <v>1.2247636728888698</v>
      </c>
      <c r="W28" s="357">
        <f t="shared" ca="1" si="4"/>
        <v>0.97453470260418484</v>
      </c>
      <c r="X28" s="343"/>
      <c r="Y28" s="367" t="str">
        <f t="shared" ca="1" si="22"/>
        <v/>
      </c>
      <c r="Z28" s="368" t="str">
        <f t="shared" ca="1" si="23"/>
        <v/>
      </c>
      <c r="AA28" s="369" t="str">
        <f t="shared" ca="1" si="24"/>
        <v/>
      </c>
      <c r="AB28" s="344"/>
      <c r="AC28" s="363" t="e">
        <f t="shared" ca="1" si="25"/>
        <v>#N/A</v>
      </c>
      <c r="AD28" s="376" t="e">
        <f t="shared" ca="1" si="26"/>
        <v>#N/A</v>
      </c>
      <c r="AE28" s="377">
        <f t="shared" ca="1" si="5"/>
        <v>1.929387015945182</v>
      </c>
      <c r="AF28" s="344"/>
      <c r="AG28" s="359">
        <f t="shared" ca="1" si="27"/>
        <v>84.29796849318096</v>
      </c>
      <c r="AH28" s="357">
        <f t="shared" ca="1" si="28"/>
        <v>93.958932550230728</v>
      </c>
    </row>
    <row r="29" spans="1:34" x14ac:dyDescent="0.25">
      <c r="A29" s="402">
        <f t="shared" ca="1" si="6"/>
        <v>0.01</v>
      </c>
      <c r="B29" s="357">
        <f t="shared" ca="1" si="7"/>
        <v>0.25000000000000006</v>
      </c>
      <c r="C29" s="342"/>
      <c r="D29" s="359">
        <f t="shared" ca="1" si="8"/>
        <v>14.411475954299927</v>
      </c>
      <c r="E29" s="360">
        <f t="shared" ca="1" si="9"/>
        <v>81.736099084510911</v>
      </c>
      <c r="F29" s="357">
        <f t="shared" ca="1" si="10"/>
        <v>82.996870620128504</v>
      </c>
      <c r="G29" s="359">
        <f t="shared" ca="1" si="11"/>
        <v>3.3997017443525617</v>
      </c>
      <c r="H29" s="360">
        <f t="shared" ca="1" si="12"/>
        <v>19.281747843045807</v>
      </c>
      <c r="I29" s="357">
        <f t="shared" ca="1" si="13"/>
        <v>19.579166780875926</v>
      </c>
      <c r="J29" s="359">
        <f t="shared" ca="1" si="14"/>
        <v>0.3734600415666039</v>
      </c>
      <c r="K29" s="360">
        <f t="shared" ca="1" si="15"/>
        <v>2.1181176894214144</v>
      </c>
      <c r="L29" s="357">
        <f t="shared" ca="1" si="0"/>
        <v>2.150789378085832</v>
      </c>
      <c r="M29" s="359">
        <f t="shared" ca="1" si="16"/>
        <v>1.3962634015954636</v>
      </c>
      <c r="N29" s="357">
        <f t="shared" ca="1" si="17"/>
        <v>80</v>
      </c>
      <c r="O29" s="343"/>
      <c r="P29" s="363">
        <f t="shared" ca="1" si="18"/>
        <v>4</v>
      </c>
      <c r="Q29" s="357">
        <f t="shared" ca="1" si="19"/>
        <v>1065.0357142857142</v>
      </c>
      <c r="R29" s="359">
        <f t="shared" ca="1" si="20"/>
        <v>0.53351074827515843</v>
      </c>
      <c r="S29" s="360">
        <f t="shared" ca="1" si="21"/>
        <v>11.483769109580969</v>
      </c>
      <c r="T29" s="357">
        <f t="shared" ca="1" si="1"/>
        <v>112.65577496498931</v>
      </c>
      <c r="U29" s="364">
        <f t="shared" ca="1" si="2"/>
        <v>19.562470026326196</v>
      </c>
      <c r="V29" s="359">
        <f t="shared" ca="1" si="3"/>
        <v>1.2247405580594741</v>
      </c>
      <c r="W29" s="357">
        <f t="shared" ca="1" si="4"/>
        <v>1.0627035456297256</v>
      </c>
      <c r="X29" s="343"/>
      <c r="Y29" s="367" t="str">
        <f t="shared" ca="1" si="22"/>
        <v/>
      </c>
      <c r="Z29" s="368" t="str">
        <f t="shared" ca="1" si="23"/>
        <v/>
      </c>
      <c r="AA29" s="369" t="str">
        <f t="shared" ca="1" si="24"/>
        <v/>
      </c>
      <c r="AB29" s="344"/>
      <c r="AC29" s="363" t="e">
        <f t="shared" ca="1" si="25"/>
        <v>#N/A</v>
      </c>
      <c r="AD29" s="376" t="e">
        <f t="shared" ca="1" si="26"/>
        <v>#N/A</v>
      </c>
      <c r="AE29" s="377">
        <f t="shared" ca="1" si="5"/>
        <v>2.1181176894214144</v>
      </c>
      <c r="AF29" s="344"/>
      <c r="AG29" s="359">
        <f t="shared" ca="1" si="27"/>
        <v>82.996870616355352</v>
      </c>
      <c r="AH29" s="357">
        <f t="shared" ca="1" si="28"/>
        <v>92.657834673405119</v>
      </c>
    </row>
    <row r="30" spans="1:34" x14ac:dyDescent="0.25">
      <c r="A30" s="402">
        <f t="shared" ca="1" si="6"/>
        <v>0.01</v>
      </c>
      <c r="B30" s="357">
        <f t="shared" ca="1" si="7"/>
        <v>0.26000000000000006</v>
      </c>
      <c r="C30" s="342"/>
      <c r="D30" s="359">
        <f t="shared" ca="1" si="8"/>
        <v>14.185199052346668</v>
      </c>
      <c r="E30" s="360">
        <f t="shared" ca="1" si="9"/>
        <v>80.45275534547244</v>
      </c>
      <c r="F30" s="357">
        <f t="shared" ca="1" si="10"/>
        <v>81.693731184425289</v>
      </c>
      <c r="G30" s="359">
        <f t="shared" ca="1" si="11"/>
        <v>3.5415537348760284</v>
      </c>
      <c r="H30" s="360">
        <f t="shared" ca="1" si="12"/>
        <v>20.086275396500533</v>
      </c>
      <c r="I30" s="357">
        <f t="shared" ca="1" si="13"/>
        <v>20.396104092720183</v>
      </c>
      <c r="J30" s="359">
        <f t="shared" ca="1" si="14"/>
        <v>0.40816631896274685</v>
      </c>
      <c r="K30" s="360">
        <f t="shared" ca="1" si="15"/>
        <v>2.3149578056191462</v>
      </c>
      <c r="L30" s="357">
        <f t="shared" ca="1" si="0"/>
        <v>2.3506657324538112</v>
      </c>
      <c r="M30" s="359">
        <f t="shared" ca="1" si="16"/>
        <v>1.3962634015954636</v>
      </c>
      <c r="N30" s="357">
        <f t="shared" ca="1" si="17"/>
        <v>80</v>
      </c>
      <c r="O30" s="343"/>
      <c r="P30" s="363">
        <f t="shared" ca="1" si="18"/>
        <v>4</v>
      </c>
      <c r="Q30" s="357">
        <f t="shared" ca="1" si="19"/>
        <v>1049.6785714285713</v>
      </c>
      <c r="R30" s="359">
        <f t="shared" ca="1" si="20"/>
        <v>0.52581785998307162</v>
      </c>
      <c r="S30" s="360">
        <f t="shared" ca="1" si="21"/>
        <v>11.478510930981138</v>
      </c>
      <c r="T30" s="357">
        <f t="shared" ca="1" si="1"/>
        <v>112.60419223292496</v>
      </c>
      <c r="U30" s="364">
        <f t="shared" ca="1" si="2"/>
        <v>19.553512778904139</v>
      </c>
      <c r="V30" s="359">
        <f t="shared" ca="1" si="3"/>
        <v>1.2247164504890695</v>
      </c>
      <c r="W30" s="357">
        <f t="shared" ca="1" si="4"/>
        <v>1.1532132104129376</v>
      </c>
      <c r="X30" s="343"/>
      <c r="Y30" s="367" t="str">
        <f t="shared" ca="1" si="22"/>
        <v/>
      </c>
      <c r="Z30" s="368" t="str">
        <f t="shared" ca="1" si="23"/>
        <v/>
      </c>
      <c r="AA30" s="369" t="str">
        <f t="shared" ca="1" si="24"/>
        <v/>
      </c>
      <c r="AB30" s="344"/>
      <c r="AC30" s="363" t="e">
        <f t="shared" ca="1" si="25"/>
        <v>#N/A</v>
      </c>
      <c r="AD30" s="376" t="e">
        <f t="shared" ca="1" si="26"/>
        <v>#N/A</v>
      </c>
      <c r="AE30" s="377">
        <f t="shared" ca="1" si="5"/>
        <v>2.3149578056191462</v>
      </c>
      <c r="AF30" s="344"/>
      <c r="AG30" s="359">
        <f t="shared" ca="1" si="27"/>
        <v>81.693731180698308</v>
      </c>
      <c r="AH30" s="357">
        <f t="shared" ca="1" si="28"/>
        <v>91.354695237748061</v>
      </c>
    </row>
    <row r="31" spans="1:34" x14ac:dyDescent="0.25">
      <c r="A31" s="402">
        <f t="shared" ca="1" si="6"/>
        <v>0.01</v>
      </c>
      <c r="B31" s="357">
        <f t="shared" ca="1" si="7"/>
        <v>0.27000000000000007</v>
      </c>
      <c r="C31" s="342"/>
      <c r="D31" s="359">
        <f t="shared" ca="1" si="8"/>
        <v>14.072312870846641</v>
      </c>
      <c r="E31" s="360">
        <f t="shared" ca="1" si="9"/>
        <v>79.812514438698415</v>
      </c>
      <c r="F31" s="357">
        <f t="shared" ca="1" si="10"/>
        <v>81.043614495914724</v>
      </c>
      <c r="G31" s="359">
        <f t="shared" ca="1" si="11"/>
        <v>3.6822768635844949</v>
      </c>
      <c r="H31" s="360">
        <f t="shared" ca="1" si="12"/>
        <v>20.884400540887516</v>
      </c>
      <c r="I31" s="357">
        <f t="shared" ca="1" si="13"/>
        <v>21.206540237679331</v>
      </c>
      <c r="J31" s="359">
        <f t="shared" ca="1" si="14"/>
        <v>0.44428547195504947</v>
      </c>
      <c r="K31" s="360">
        <f t="shared" ca="1" si="15"/>
        <v>2.5198111853060863</v>
      </c>
      <c r="L31" s="357">
        <f t="shared" ca="1" si="0"/>
        <v>2.5586789541058068</v>
      </c>
      <c r="M31" s="359">
        <f t="shared" ca="1" si="16"/>
        <v>1.3962634015954636</v>
      </c>
      <c r="N31" s="357">
        <f t="shared" ca="1" si="17"/>
        <v>80</v>
      </c>
      <c r="O31" s="343"/>
      <c r="P31" s="363">
        <f t="shared" ca="1" si="18"/>
        <v>5</v>
      </c>
      <c r="Q31" s="357">
        <f t="shared" ca="1" si="19"/>
        <v>1041.8333333333333</v>
      </c>
      <c r="R31" s="359">
        <f t="shared" ca="1" si="20"/>
        <v>0.52188792712688159</v>
      </c>
      <c r="S31" s="360">
        <f t="shared" ca="1" si="21"/>
        <v>11.473292051709869</v>
      </c>
      <c r="T31" s="357">
        <f t="shared" ca="1" si="1"/>
        <v>112.55299502727382</v>
      </c>
      <c r="U31" s="364">
        <f t="shared" ca="1" si="2"/>
        <v>19.54462247744118</v>
      </c>
      <c r="V31" s="359">
        <f t="shared" ca="1" si="3"/>
        <v>1.2246913620152724</v>
      </c>
      <c r="W31" s="357">
        <f t="shared" ca="1" si="4"/>
        <v>1.246653941115424</v>
      </c>
      <c r="X31" s="343"/>
      <c r="Y31" s="367" t="str">
        <f t="shared" ca="1" si="22"/>
        <v/>
      </c>
      <c r="Z31" s="368" t="str">
        <f t="shared" ca="1" si="23"/>
        <v/>
      </c>
      <c r="AA31" s="369" t="str">
        <f t="shared" ca="1" si="24"/>
        <v/>
      </c>
      <c r="AB31" s="344"/>
      <c r="AC31" s="363" t="e">
        <f t="shared" ca="1" si="25"/>
        <v>#N/A</v>
      </c>
      <c r="AD31" s="376" t="e">
        <f t="shared" ca="1" si="26"/>
        <v>#N/A</v>
      </c>
      <c r="AE31" s="377">
        <f t="shared" ca="1" si="5"/>
        <v>2.5198111853060863</v>
      </c>
      <c r="AF31" s="344"/>
      <c r="AG31" s="359">
        <f t="shared" ca="1" si="27"/>
        <v>81.043614492210409</v>
      </c>
      <c r="AH31" s="357">
        <f t="shared" ca="1" si="28"/>
        <v>90.704578549260177</v>
      </c>
    </row>
    <row r="32" spans="1:34" x14ac:dyDescent="0.25">
      <c r="A32" s="402">
        <f t="shared" ca="1" si="6"/>
        <v>0.01</v>
      </c>
      <c r="B32" s="357">
        <f t="shared" ca="1" si="7"/>
        <v>0.28000000000000008</v>
      </c>
      <c r="C32" s="342"/>
      <c r="D32" s="359">
        <f t="shared" ca="1" si="8"/>
        <v>14.073016119105693</v>
      </c>
      <c r="E32" s="360">
        <f t="shared" ca="1" si="9"/>
        <v>79.816503359455822</v>
      </c>
      <c r="F32" s="357">
        <f t="shared" ca="1" si="10"/>
        <v>81.047664933782215</v>
      </c>
      <c r="G32" s="359">
        <f t="shared" ca="1" si="11"/>
        <v>3.8230070247755519</v>
      </c>
      <c r="H32" s="360">
        <f t="shared" ca="1" si="12"/>
        <v>21.682565574482073</v>
      </c>
      <c r="I32" s="357">
        <f t="shared" ca="1" si="13"/>
        <v>22.017016887017149</v>
      </c>
      <c r="J32" s="359">
        <f t="shared" ca="1" si="14"/>
        <v>0.48181189139684971</v>
      </c>
      <c r="K32" s="360">
        <f t="shared" ca="1" si="15"/>
        <v>2.732646015882934</v>
      </c>
      <c r="L32" s="357">
        <f t="shared" ca="1" si="0"/>
        <v>2.7747967397292874</v>
      </c>
      <c r="M32" s="359">
        <f t="shared" ca="1" si="16"/>
        <v>1.3962634015954636</v>
      </c>
      <c r="N32" s="357">
        <f t="shared" ca="1" si="17"/>
        <v>80</v>
      </c>
      <c r="O32" s="343"/>
      <c r="P32" s="363">
        <f t="shared" ca="1" si="18"/>
        <v>5</v>
      </c>
      <c r="Q32" s="357">
        <f t="shared" ca="1" si="19"/>
        <v>1041.5</v>
      </c>
      <c r="R32" s="359">
        <f t="shared" ca="1" si="20"/>
        <v>0.52172094970658833</v>
      </c>
      <c r="S32" s="360">
        <f t="shared" ca="1" si="21"/>
        <v>11.468074842212804</v>
      </c>
      <c r="T32" s="357">
        <f t="shared" ca="1" si="1"/>
        <v>112.50181420210761</v>
      </c>
      <c r="U32" s="364">
        <f t="shared" ca="1" si="2"/>
        <v>19.535735020419576</v>
      </c>
      <c r="V32" s="359">
        <f t="shared" ca="1" si="3"/>
        <v>1.2246652965943507</v>
      </c>
      <c r="W32" s="357">
        <f t="shared" ca="1" si="4"/>
        <v>1.3437360860382894</v>
      </c>
      <c r="X32" s="343"/>
      <c r="Y32" s="367" t="str">
        <f t="shared" ca="1" si="22"/>
        <v/>
      </c>
      <c r="Z32" s="368" t="str">
        <f t="shared" ca="1" si="23"/>
        <v/>
      </c>
      <c r="AA32" s="369" t="str">
        <f t="shared" ca="1" si="24"/>
        <v/>
      </c>
      <c r="AB32" s="344"/>
      <c r="AC32" s="363" t="e">
        <f t="shared" ca="1" si="25"/>
        <v>#N/A</v>
      </c>
      <c r="AD32" s="376" t="e">
        <f t="shared" ca="1" si="26"/>
        <v>#N/A</v>
      </c>
      <c r="AE32" s="377">
        <f t="shared" ca="1" si="5"/>
        <v>2.732646015882934</v>
      </c>
      <c r="AF32" s="344"/>
      <c r="AG32" s="359">
        <f t="shared" ca="1" si="27"/>
        <v>81.047664930077076</v>
      </c>
      <c r="AH32" s="357">
        <f t="shared" ca="1" si="28"/>
        <v>90.708628987126843</v>
      </c>
    </row>
    <row r="33" spans="1:34" x14ac:dyDescent="0.25">
      <c r="A33" s="402">
        <f t="shared" ca="1" si="6"/>
        <v>0.01</v>
      </c>
      <c r="B33" s="357">
        <f t="shared" ca="1" si="7"/>
        <v>0.29000000000000009</v>
      </c>
      <c r="C33" s="342"/>
      <c r="D33" s="359">
        <f t="shared" ca="1" si="8"/>
        <v>14.073662550116909</v>
      </c>
      <c r="E33" s="360">
        <f t="shared" ca="1" si="9"/>
        <v>79.820170053486038</v>
      </c>
      <c r="F33" s="357">
        <f t="shared" ca="1" si="10"/>
        <v>81.051388174058999</v>
      </c>
      <c r="G33" s="359">
        <f t="shared" ca="1" si="11"/>
        <v>3.9637436502767209</v>
      </c>
      <c r="H33" s="360">
        <f t="shared" ca="1" si="12"/>
        <v>22.480767275016934</v>
      </c>
      <c r="I33" s="357">
        <f t="shared" ca="1" si="13"/>
        <v>22.82753076875774</v>
      </c>
      <c r="J33" s="359">
        <f t="shared" ca="1" si="14"/>
        <v>0.52074564477211105</v>
      </c>
      <c r="K33" s="360">
        <f t="shared" ca="1" si="15"/>
        <v>2.9534626801304289</v>
      </c>
      <c r="L33" s="357">
        <f t="shared" ca="1" si="0"/>
        <v>2.9990194780081603</v>
      </c>
      <c r="M33" s="359">
        <f t="shared" ca="1" si="16"/>
        <v>1.3962634015954636</v>
      </c>
      <c r="N33" s="357">
        <f t="shared" ca="1" si="17"/>
        <v>80</v>
      </c>
      <c r="O33" s="343"/>
      <c r="P33" s="363">
        <f t="shared" ca="1" si="18"/>
        <v>5</v>
      </c>
      <c r="Q33" s="357">
        <f t="shared" ca="1" si="19"/>
        <v>1041.1666666666667</v>
      </c>
      <c r="R33" s="359">
        <f t="shared" ca="1" si="20"/>
        <v>0.52155397228629496</v>
      </c>
      <c r="S33" s="360">
        <f t="shared" ca="1" si="21"/>
        <v>11.462859302489941</v>
      </c>
      <c r="T33" s="357">
        <f t="shared" ca="1" si="1"/>
        <v>112.45064975742632</v>
      </c>
      <c r="U33" s="364">
        <f t="shared" ca="1" si="2"/>
        <v>19.52685040783933</v>
      </c>
      <c r="V33" s="359">
        <f t="shared" ca="1" si="3"/>
        <v>1.2246382542418142</v>
      </c>
      <c r="W33" s="357">
        <f t="shared" ca="1" si="4"/>
        <v>1.4444593118837898</v>
      </c>
      <c r="X33" s="343"/>
      <c r="Y33" s="367" t="str">
        <f t="shared" ca="1" si="22"/>
        <v/>
      </c>
      <c r="Z33" s="368" t="str">
        <f t="shared" ca="1" si="23"/>
        <v/>
      </c>
      <c r="AA33" s="369" t="str">
        <f t="shared" ca="1" si="24"/>
        <v/>
      </c>
      <c r="AB33" s="344"/>
      <c r="AC33" s="363" t="e">
        <f t="shared" ca="1" si="25"/>
        <v>#N/A</v>
      </c>
      <c r="AD33" s="376" t="e">
        <f t="shared" ca="1" si="26"/>
        <v>#N/A</v>
      </c>
      <c r="AE33" s="377">
        <f t="shared" ca="1" si="5"/>
        <v>2.9534626801304289</v>
      </c>
      <c r="AF33" s="344"/>
      <c r="AG33" s="359">
        <f t="shared" ca="1" si="27"/>
        <v>81.05138817035305</v>
      </c>
      <c r="AH33" s="357">
        <f t="shared" ca="1" si="28"/>
        <v>90.712352227402818</v>
      </c>
    </row>
    <row r="34" spans="1:34" x14ac:dyDescent="0.25">
      <c r="A34" s="402">
        <f t="shared" ca="1" si="6"/>
        <v>0.01</v>
      </c>
      <c r="B34" s="357">
        <f t="shared" ca="1" si="7"/>
        <v>0.3000000000000001</v>
      </c>
      <c r="C34" s="342"/>
      <c r="D34" s="359">
        <f t="shared" ca="1" si="8"/>
        <v>14.074252091059082</v>
      </c>
      <c r="E34" s="360">
        <f t="shared" ca="1" si="9"/>
        <v>79.823514107799085</v>
      </c>
      <c r="F34" s="357">
        <f t="shared" ca="1" si="10"/>
        <v>81.054783797384104</v>
      </c>
      <c r="G34" s="359">
        <f t="shared" ca="1" si="11"/>
        <v>4.104486171187312</v>
      </c>
      <c r="H34" s="360">
        <f t="shared" ca="1" si="12"/>
        <v>23.279002416094926</v>
      </c>
      <c r="I34" s="357">
        <f t="shared" ca="1" si="13"/>
        <v>23.638078606731582</v>
      </c>
      <c r="J34" s="359">
        <f t="shared" ca="1" si="14"/>
        <v>0.56108679387943117</v>
      </c>
      <c r="K34" s="360">
        <f t="shared" ca="1" si="15"/>
        <v>3.1822615285859883</v>
      </c>
      <c r="L34" s="357">
        <f t="shared" ca="1" si="0"/>
        <v>3.2313475248856056</v>
      </c>
      <c r="M34" s="359">
        <f t="shared" ca="1" si="16"/>
        <v>1.3962634015954636</v>
      </c>
      <c r="N34" s="357">
        <f t="shared" ca="1" si="17"/>
        <v>80</v>
      </c>
      <c r="O34" s="343"/>
      <c r="P34" s="363">
        <f t="shared" ca="1" si="18"/>
        <v>5</v>
      </c>
      <c r="Q34" s="357">
        <f t="shared" ca="1" si="19"/>
        <v>1040.8333333333333</v>
      </c>
      <c r="R34" s="359">
        <f t="shared" ca="1" si="20"/>
        <v>0.5213869948660016</v>
      </c>
      <c r="S34" s="360">
        <f t="shared" ca="1" si="21"/>
        <v>11.45764543254128</v>
      </c>
      <c r="T34" s="357">
        <f t="shared" ca="1" si="1"/>
        <v>112.39950169322996</v>
      </c>
      <c r="U34" s="364">
        <f t="shared" ca="1" si="2"/>
        <v>19.517968639700442</v>
      </c>
      <c r="V34" s="359">
        <f t="shared" ca="1" si="3"/>
        <v>1.2246102349794599</v>
      </c>
      <c r="W34" s="357">
        <f t="shared" ca="1" si="4"/>
        <v>1.5488232085694962</v>
      </c>
      <c r="X34" s="343"/>
      <c r="Y34" s="367" t="str">
        <f t="shared" ca="1" si="22"/>
        <v/>
      </c>
      <c r="Z34" s="368" t="str">
        <f t="shared" ca="1" si="23"/>
        <v/>
      </c>
      <c r="AA34" s="369" t="str">
        <f t="shared" ca="1" si="24"/>
        <v/>
      </c>
      <c r="AB34" s="344"/>
      <c r="AC34" s="363" t="e">
        <f t="shared" ca="1" si="25"/>
        <v>#N/A</v>
      </c>
      <c r="AD34" s="376" t="e">
        <f t="shared" ca="1" si="26"/>
        <v>#N/A</v>
      </c>
      <c r="AE34" s="377">
        <f t="shared" ca="1" si="5"/>
        <v>3.1822615285859883</v>
      </c>
      <c r="AF34" s="344"/>
      <c r="AG34" s="359">
        <f t="shared" ca="1" si="27"/>
        <v>81.054783793677302</v>
      </c>
      <c r="AH34" s="357">
        <f t="shared" ca="1" si="28"/>
        <v>90.71574785072707</v>
      </c>
    </row>
    <row r="35" spans="1:34" x14ac:dyDescent="0.25">
      <c r="A35" s="402">
        <f t="shared" ca="1" si="6"/>
        <v>0.01</v>
      </c>
      <c r="B35" s="357">
        <f t="shared" ca="1" si="7"/>
        <v>0.31000000000000011</v>
      </c>
      <c r="C35" s="342"/>
      <c r="D35" s="359">
        <f t="shared" ca="1" si="8"/>
        <v>14.074784670192404</v>
      </c>
      <c r="E35" s="360">
        <f t="shared" ca="1" si="9"/>
        <v>79.826535115537908</v>
      </c>
      <c r="F35" s="357">
        <f t="shared" ca="1" si="10"/>
        <v>81.057851390624023</v>
      </c>
      <c r="G35" s="359">
        <f t="shared" ca="1" si="11"/>
        <v>4.2452340178892358</v>
      </c>
      <c r="H35" s="360">
        <f t="shared" ca="1" si="12"/>
        <v>24.077267767250305</v>
      </c>
      <c r="I35" s="357">
        <f t="shared" ca="1" si="13"/>
        <v>24.448657120637822</v>
      </c>
      <c r="J35" s="359">
        <f t="shared" ca="1" si="14"/>
        <v>0.60283539482481396</v>
      </c>
      <c r="K35" s="360">
        <f t="shared" ca="1" si="15"/>
        <v>3.4190428795027143</v>
      </c>
      <c r="L35" s="357">
        <f t="shared" ca="1" si="0"/>
        <v>3.4717812035224513</v>
      </c>
      <c r="M35" s="359">
        <f t="shared" ca="1" si="16"/>
        <v>1.3962634015954636</v>
      </c>
      <c r="N35" s="357">
        <f t="shared" ca="1" si="17"/>
        <v>80</v>
      </c>
      <c r="O35" s="343"/>
      <c r="P35" s="363">
        <f t="shared" ca="1" si="18"/>
        <v>5</v>
      </c>
      <c r="Q35" s="357">
        <f t="shared" ca="1" si="19"/>
        <v>1040.5</v>
      </c>
      <c r="R35" s="359">
        <f t="shared" ca="1" si="20"/>
        <v>0.52122001744570823</v>
      </c>
      <c r="S35" s="360">
        <f t="shared" ca="1" si="21"/>
        <v>11.452433232366824</v>
      </c>
      <c r="T35" s="357">
        <f t="shared" ca="1" si="1"/>
        <v>112.34837000951855</v>
      </c>
      <c r="U35" s="364">
        <f t="shared" ca="1" si="2"/>
        <v>19.509089716002912</v>
      </c>
      <c r="V35" s="359">
        <f t="shared" ca="1" si="3"/>
        <v>1.2245812388353801</v>
      </c>
      <c r="W35" s="357">
        <f t="shared" ca="1" si="4"/>
        <v>1.6568272891452764</v>
      </c>
      <c r="X35" s="343"/>
      <c r="Y35" s="367" t="str">
        <f t="shared" ca="1" si="22"/>
        <v/>
      </c>
      <c r="Z35" s="368" t="str">
        <f t="shared" ca="1" si="23"/>
        <v/>
      </c>
      <c r="AA35" s="369" t="str">
        <f t="shared" ca="1" si="24"/>
        <v/>
      </c>
      <c r="AB35" s="344"/>
      <c r="AC35" s="363" t="e">
        <f t="shared" ca="1" si="25"/>
        <v>#N/A</v>
      </c>
      <c r="AD35" s="376" t="e">
        <f t="shared" ca="1" si="26"/>
        <v>#N/A</v>
      </c>
      <c r="AE35" s="377">
        <f t="shared" ca="1" si="5"/>
        <v>3.4190428795027143</v>
      </c>
      <c r="AF35" s="344"/>
      <c r="AG35" s="359">
        <f t="shared" ca="1" si="27"/>
        <v>81.057851386916369</v>
      </c>
      <c r="AH35" s="357">
        <f t="shared" ca="1" si="28"/>
        <v>90.718815443966136</v>
      </c>
    </row>
    <row r="36" spans="1:34" x14ac:dyDescent="0.25">
      <c r="A36" s="402">
        <f t="shared" ca="1" si="6"/>
        <v>0.01</v>
      </c>
      <c r="B36" s="357">
        <f t="shared" ca="1" si="7"/>
        <v>0.32000000000000012</v>
      </c>
      <c r="C36" s="342"/>
      <c r="D36" s="359">
        <f t="shared" ca="1" si="8"/>
        <v>14.075260216862281</v>
      </c>
      <c r="E36" s="360">
        <f t="shared" ca="1" si="9"/>
        <v>79.829232675999975</v>
      </c>
      <c r="F36" s="357">
        <f t="shared" ca="1" si="10"/>
        <v>81.060590546894787</v>
      </c>
      <c r="G36" s="359">
        <f t="shared" ca="1" si="11"/>
        <v>4.3859866200578583</v>
      </c>
      <c r="H36" s="360">
        <f t="shared" ca="1" si="12"/>
        <v>24.875560094010304</v>
      </c>
      <c r="I36" s="357">
        <f t="shared" ca="1" si="13"/>
        <v>25.259263026106769</v>
      </c>
      <c r="J36" s="359">
        <f t="shared" ca="1" si="14"/>
        <v>0.64599149801454947</v>
      </c>
      <c r="K36" s="360">
        <f t="shared" ca="1" si="15"/>
        <v>3.6638070188090173</v>
      </c>
      <c r="L36" s="357">
        <f t="shared" ca="1" si="0"/>
        <v>3.7203208042561733</v>
      </c>
      <c r="M36" s="359">
        <f t="shared" ca="1" si="16"/>
        <v>1.3962634015954636</v>
      </c>
      <c r="N36" s="357">
        <f t="shared" ca="1" si="17"/>
        <v>80</v>
      </c>
      <c r="O36" s="343"/>
      <c r="P36" s="363">
        <f t="shared" ca="1" si="18"/>
        <v>5</v>
      </c>
      <c r="Q36" s="357">
        <f t="shared" ca="1" si="19"/>
        <v>1040.1666666666667</v>
      </c>
      <c r="R36" s="359">
        <f t="shared" ca="1" si="20"/>
        <v>0.52105304002541497</v>
      </c>
      <c r="S36" s="360">
        <f t="shared" ca="1" si="21"/>
        <v>11.44722270196657</v>
      </c>
      <c r="T36" s="357">
        <f t="shared" ca="1" si="1"/>
        <v>112.29725470629207</v>
      </c>
      <c r="U36" s="364">
        <f t="shared" ca="1" si="2"/>
        <v>19.500213636746743</v>
      </c>
      <c r="V36" s="359">
        <f t="shared" ca="1" si="3"/>
        <v>1.2245512658439635</v>
      </c>
      <c r="W36" s="357">
        <f t="shared" ca="1" si="4"/>
        <v>1.7684709897135691</v>
      </c>
      <c r="X36" s="343"/>
      <c r="Y36" s="367" t="str">
        <f t="shared" ca="1" si="22"/>
        <v/>
      </c>
      <c r="Z36" s="368" t="str">
        <f t="shared" ca="1" si="23"/>
        <v/>
      </c>
      <c r="AA36" s="369" t="str">
        <f t="shared" ca="1" si="24"/>
        <v/>
      </c>
      <c r="AB36" s="344"/>
      <c r="AC36" s="363" t="e">
        <f t="shared" ca="1" si="25"/>
        <v>#N/A</v>
      </c>
      <c r="AD36" s="376" t="e">
        <f t="shared" ca="1" si="26"/>
        <v>#N/A</v>
      </c>
      <c r="AE36" s="377">
        <f t="shared" ca="1" si="5"/>
        <v>3.6638070188090173</v>
      </c>
      <c r="AF36" s="344"/>
      <c r="AG36" s="359">
        <f t="shared" ca="1" si="27"/>
        <v>81.060590543186251</v>
      </c>
      <c r="AH36" s="357">
        <f t="shared" ca="1" si="28"/>
        <v>90.721554600236018</v>
      </c>
    </row>
    <row r="37" spans="1:34" x14ac:dyDescent="0.25">
      <c r="A37" s="402">
        <f t="shared" ca="1" si="6"/>
        <v>0.01</v>
      </c>
      <c r="B37" s="357">
        <f t="shared" ca="1" si="7"/>
        <v>0.33000000000000013</v>
      </c>
      <c r="C37" s="342"/>
      <c r="D37" s="359">
        <f t="shared" ca="1" si="8"/>
        <v>14.075678661503112</v>
      </c>
      <c r="E37" s="360">
        <f t="shared" ca="1" si="9"/>
        <v>79.831606394658749</v>
      </c>
      <c r="F37" s="357">
        <f t="shared" ca="1" si="10"/>
        <v>81.063000865583632</v>
      </c>
      <c r="G37" s="359">
        <f t="shared" ca="1" si="11"/>
        <v>4.5267434066728898</v>
      </c>
      <c r="H37" s="360">
        <f t="shared" ca="1" si="12"/>
        <v>25.67387615795689</v>
      </c>
      <c r="I37" s="357">
        <f t="shared" ca="1" si="13"/>
        <v>26.069893034762604</v>
      </c>
      <c r="J37" s="359">
        <f t="shared" ca="1" si="14"/>
        <v>0.69055514814820318</v>
      </c>
      <c r="K37" s="360">
        <f t="shared" ca="1" si="15"/>
        <v>3.9165542000688531</v>
      </c>
      <c r="L37" s="357">
        <f t="shared" ca="1" si="0"/>
        <v>3.9769665845605191</v>
      </c>
      <c r="M37" s="359">
        <f t="shared" ca="1" si="16"/>
        <v>1.3962634015954636</v>
      </c>
      <c r="N37" s="357">
        <f t="shared" ca="1" si="17"/>
        <v>80</v>
      </c>
      <c r="O37" s="343"/>
      <c r="P37" s="363">
        <f t="shared" ca="1" si="18"/>
        <v>5</v>
      </c>
      <c r="Q37" s="357">
        <f t="shared" ca="1" si="19"/>
        <v>1039.8333333333333</v>
      </c>
      <c r="R37" s="359">
        <f t="shared" ca="1" si="20"/>
        <v>0.52088606260512149</v>
      </c>
      <c r="S37" s="360">
        <f t="shared" ca="1" si="21"/>
        <v>11.442013841340518</v>
      </c>
      <c r="T37" s="357">
        <f t="shared" ca="1" si="1"/>
        <v>112.24615578355049</v>
      </c>
      <c r="U37" s="364">
        <f t="shared" ca="1" si="2"/>
        <v>19.491340401931925</v>
      </c>
      <c r="V37" s="359">
        <f t="shared" ca="1" si="3"/>
        <v>1.2245203160459017</v>
      </c>
      <c r="W37" s="357">
        <f t="shared" ca="1" si="4"/>
        <v>1.8837536693529728</v>
      </c>
      <c r="X37" s="343"/>
      <c r="Y37" s="367" t="str">
        <f t="shared" ca="1" si="22"/>
        <v>Sortie de rampe</v>
      </c>
      <c r="Z37" s="368" t="str">
        <f t="shared" ca="1" si="23"/>
        <v/>
      </c>
      <c r="AA37" s="369" t="str">
        <f t="shared" ca="1" si="24"/>
        <v/>
      </c>
      <c r="AB37" s="344"/>
      <c r="AC37" s="363" t="e">
        <f t="shared" ca="1" si="25"/>
        <v>#N/A</v>
      </c>
      <c r="AD37" s="376" t="e">
        <f t="shared" ca="1" si="26"/>
        <v>#N/A</v>
      </c>
      <c r="AE37" s="377">
        <f t="shared" ca="1" si="5"/>
        <v>3.9165542000688531</v>
      </c>
      <c r="AF37" s="344"/>
      <c r="AG37" s="359">
        <f t="shared" ca="1" si="27"/>
        <v>81.063000861874229</v>
      </c>
      <c r="AH37" s="357">
        <f t="shared" ca="1" si="28"/>
        <v>90.723964918923983</v>
      </c>
    </row>
    <row r="38" spans="1:34" x14ac:dyDescent="0.25">
      <c r="A38" s="402">
        <f t="shared" ca="1" si="6"/>
        <v>0.01</v>
      </c>
      <c r="B38" s="357">
        <f t="shared" ca="1" si="7"/>
        <v>0.34000000000000014</v>
      </c>
      <c r="C38" s="342"/>
      <c r="D38" s="359">
        <f t="shared" ca="1" si="8"/>
        <v>14.07603993564204</v>
      </c>
      <c r="E38" s="360">
        <f t="shared" ca="1" si="9"/>
        <v>79.83365588318496</v>
      </c>
      <c r="F38" s="357">
        <f t="shared" ca="1" si="10"/>
        <v>81.065081952370733</v>
      </c>
      <c r="G38" s="359">
        <f t="shared" ca="1" si="11"/>
        <v>4.6675038060293099</v>
      </c>
      <c r="H38" s="360">
        <f t="shared" ca="1" si="12"/>
        <v>26.472212716788739</v>
      </c>
      <c r="I38" s="357">
        <f t="shared" ca="1" si="13"/>
        <v>26.880543854286309</v>
      </c>
      <c r="J38" s="359">
        <f t="shared" ca="1" si="14"/>
        <v>0.73652638421171424</v>
      </c>
      <c r="K38" s="360">
        <f t="shared" ca="1" si="15"/>
        <v>4.1772846444425813</v>
      </c>
      <c r="L38" s="357">
        <f t="shared" ca="1" si="0"/>
        <v>4.2417187690057627</v>
      </c>
      <c r="M38" s="359">
        <f t="shared" ca="1" si="16"/>
        <v>1.3962634015954636</v>
      </c>
      <c r="N38" s="357">
        <f t="shared" ca="1" si="17"/>
        <v>80</v>
      </c>
      <c r="O38" s="343"/>
      <c r="P38" s="363">
        <f t="shared" ca="1" si="18"/>
        <v>5</v>
      </c>
      <c r="Q38" s="357">
        <f t="shared" ca="1" si="19"/>
        <v>1039.5</v>
      </c>
      <c r="R38" s="359">
        <f t="shared" ca="1" si="20"/>
        <v>0.52071908518482812</v>
      </c>
      <c r="S38" s="360">
        <f t="shared" ca="1" si="21"/>
        <v>11.43680665048867</v>
      </c>
      <c r="T38" s="357">
        <f t="shared" ca="1" si="1"/>
        <v>112.19507324129385</v>
      </c>
      <c r="U38" s="364">
        <f t="shared" ca="1" si="2"/>
        <v>0</v>
      </c>
      <c r="V38" s="359">
        <f t="shared" ca="1" si="3"/>
        <v>1.2244883894881924</v>
      </c>
      <c r="W38" s="357">
        <f t="shared" ca="1" si="4"/>
        <v>2.002674610045156</v>
      </c>
      <c r="X38" s="343"/>
      <c r="Y38" s="367" t="str">
        <f t="shared" ca="1" si="22"/>
        <v/>
      </c>
      <c r="Z38" s="368" t="str">
        <f t="shared" ca="1" si="23"/>
        <v/>
      </c>
      <c r="AA38" s="369" t="str">
        <f t="shared" ca="1" si="24"/>
        <v/>
      </c>
      <c r="AB38" s="344"/>
      <c r="AC38" s="363" t="e">
        <f t="shared" ca="1" si="25"/>
        <v>#N/A</v>
      </c>
      <c r="AD38" s="376" t="e">
        <f t="shared" ca="1" si="26"/>
        <v>#N/A</v>
      </c>
      <c r="AE38" s="377">
        <f t="shared" ca="1" si="5"/>
        <v>4.1772846444425813</v>
      </c>
      <c r="AF38" s="344"/>
      <c r="AG38" s="359">
        <f t="shared" ca="1" si="27"/>
        <v>81.065081948660406</v>
      </c>
      <c r="AH38" s="357">
        <f t="shared" ca="1" si="28"/>
        <v>90.726046005710174</v>
      </c>
    </row>
    <row r="39" spans="1:34" x14ac:dyDescent="0.25">
      <c r="A39" s="402">
        <f t="shared" ca="1" si="6"/>
        <v>0.01</v>
      </c>
      <c r="B39" s="357">
        <f t="shared" ca="1" si="7"/>
        <v>0.35000000000000014</v>
      </c>
      <c r="C39" s="342"/>
      <c r="D39" s="359">
        <f t="shared" ca="1" si="8"/>
        <v>15.754716694849391</v>
      </c>
      <c r="E39" s="360">
        <f t="shared" ca="1" si="9"/>
        <v>79.539438364726919</v>
      </c>
      <c r="F39" s="357">
        <f t="shared" ca="1" si="10"/>
        <v>81.08472947177637</v>
      </c>
      <c r="G39" s="359">
        <f t="shared" ca="1" si="11"/>
        <v>4.8250509729778042</v>
      </c>
      <c r="H39" s="360">
        <f t="shared" ca="1" si="12"/>
        <v>27.26760710043601</v>
      </c>
      <c r="I39" s="357">
        <f t="shared" ca="1" si="13"/>
        <v>27.691217269661195</v>
      </c>
      <c r="J39" s="359">
        <f t="shared" ca="1" si="14"/>
        <v>0.78398915810674985</v>
      </c>
      <c r="K39" s="360">
        <f t="shared" ca="1" si="15"/>
        <v>4.4459837435287053</v>
      </c>
      <c r="L39" s="357">
        <f t="shared" ca="1" si="0"/>
        <v>4.514577549201082</v>
      </c>
      <c r="M39" s="359">
        <f t="shared" ca="1" si="16"/>
        <v>1.3956575298707889</v>
      </c>
      <c r="N39" s="357">
        <f t="shared" ca="1" si="17"/>
        <v>79.965286107249824</v>
      </c>
      <c r="O39" s="343"/>
      <c r="P39" s="363">
        <f t="shared" ca="1" si="18"/>
        <v>5</v>
      </c>
      <c r="Q39" s="357">
        <f t="shared" ca="1" si="19"/>
        <v>1039.1666666666667</v>
      </c>
      <c r="R39" s="359">
        <f t="shared" ca="1" si="20"/>
        <v>0.52055210776453487</v>
      </c>
      <c r="S39" s="360">
        <f t="shared" ca="1" si="21"/>
        <v>11.431601129411025</v>
      </c>
      <c r="T39" s="357">
        <f t="shared" ca="1" si="1"/>
        <v>112.14400707952215</v>
      </c>
      <c r="U39" s="364">
        <f t="shared" ca="1" si="2"/>
        <v>0</v>
      </c>
      <c r="V39" s="359">
        <f t="shared" ca="1" si="3"/>
        <v>1.224455488035985</v>
      </c>
      <c r="W39" s="357">
        <f t="shared" ca="1" si="4"/>
        <v>2.1252337996866228</v>
      </c>
      <c r="X39" s="343"/>
      <c r="Y39" s="367" t="str">
        <f t="shared" ca="1" si="22"/>
        <v/>
      </c>
      <c r="Z39" s="368" t="str">
        <f t="shared" ca="1" si="23"/>
        <v/>
      </c>
      <c r="AA39" s="369" t="str">
        <f t="shared" ca="1" si="24"/>
        <v/>
      </c>
      <c r="AB39" s="344"/>
      <c r="AC39" s="363" t="e">
        <f t="shared" ca="1" si="25"/>
        <v>#N/A</v>
      </c>
      <c r="AD39" s="376" t="e">
        <f t="shared" ca="1" si="26"/>
        <v>#N/A</v>
      </c>
      <c r="AE39" s="377">
        <f t="shared" ca="1" si="5"/>
        <v>4.4459837435287053</v>
      </c>
      <c r="AF39" s="344"/>
      <c r="AG39" s="359">
        <f t="shared" ca="1" si="27"/>
        <v>81.066833415539094</v>
      </c>
      <c r="AH39" s="357">
        <f t="shared" ca="1" si="28"/>
        <v>90.727797472588861</v>
      </c>
    </row>
    <row r="40" spans="1:34" x14ac:dyDescent="0.25">
      <c r="A40" s="402">
        <f t="shared" ca="1" si="6"/>
        <v>0.01</v>
      </c>
      <c r="B40" s="357">
        <f t="shared" ca="1" si="7"/>
        <v>0.36000000000000015</v>
      </c>
      <c r="C40" s="342"/>
      <c r="D40" s="359">
        <f t="shared" ca="1" si="8"/>
        <v>15.809095769247222</v>
      </c>
      <c r="E40" s="360">
        <f t="shared" ca="1" si="9"/>
        <v>79.531276281472685</v>
      </c>
      <c r="F40" s="357">
        <f t="shared" ca="1" si="10"/>
        <v>81.087307366820184</v>
      </c>
      <c r="G40" s="359">
        <f t="shared" ca="1" si="11"/>
        <v>4.9831419306702767</v>
      </c>
      <c r="H40" s="360">
        <f t="shared" ca="1" si="12"/>
        <v>28.062919863250738</v>
      </c>
      <c r="I40" s="357">
        <f t="shared" ca="1" si="13"/>
        <v>28.501915282177741</v>
      </c>
      <c r="J40" s="359">
        <f t="shared" ca="1" si="14"/>
        <v>0.83303012262499021</v>
      </c>
      <c r="K40" s="360">
        <f t="shared" ca="1" si="15"/>
        <v>4.722636378347139</v>
      </c>
      <c r="L40" s="357">
        <f t="shared" ca="1" si="0"/>
        <v>4.7955430920062003</v>
      </c>
      <c r="M40" s="359">
        <f t="shared" ca="1" si="16"/>
        <v>1.3950578011506676</v>
      </c>
      <c r="N40" s="357">
        <f t="shared" ca="1" si="17"/>
        <v>79.930924182734088</v>
      </c>
      <c r="O40" s="343"/>
      <c r="P40" s="363">
        <f t="shared" ca="1" si="18"/>
        <v>5</v>
      </c>
      <c r="Q40" s="357">
        <f t="shared" ca="1" si="19"/>
        <v>1038.8333333333333</v>
      </c>
      <c r="R40" s="359">
        <f t="shared" ca="1" si="20"/>
        <v>0.52038513034424139</v>
      </c>
      <c r="S40" s="360">
        <f t="shared" ca="1" si="21"/>
        <v>11.426397278107583</v>
      </c>
      <c r="T40" s="357">
        <f t="shared" ca="1" si="1"/>
        <v>112.09295729823539</v>
      </c>
      <c r="U40" s="364">
        <f t="shared" ca="1" si="2"/>
        <v>0</v>
      </c>
      <c r="V40" s="359">
        <f t="shared" ca="1" si="3"/>
        <v>1.2244216136190804</v>
      </c>
      <c r="W40" s="357">
        <f t="shared" ca="1" si="4"/>
        <v>2.2514312758166404</v>
      </c>
      <c r="X40" s="343"/>
      <c r="Y40" s="367" t="str">
        <f t="shared" ca="1" si="22"/>
        <v/>
      </c>
      <c r="Z40" s="368" t="str">
        <f t="shared" ca="1" si="23"/>
        <v/>
      </c>
      <c r="AA40" s="369" t="str">
        <f t="shared" ca="1" si="24"/>
        <v/>
      </c>
      <c r="AB40" s="344"/>
      <c r="AC40" s="363" t="e">
        <f t="shared" ca="1" si="25"/>
        <v>#N/A</v>
      </c>
      <c r="AD40" s="376" t="e">
        <f t="shared" ca="1" si="26"/>
        <v>#N/A</v>
      </c>
      <c r="AE40" s="377">
        <f t="shared" ca="1" si="5"/>
        <v>4.722636378347139</v>
      </c>
      <c r="AF40" s="344"/>
      <c r="AG40" s="359">
        <f t="shared" ca="1" si="27"/>
        <v>81.069288681009837</v>
      </c>
      <c r="AH40" s="357">
        <f t="shared" ca="1" si="28"/>
        <v>90.729218869356885</v>
      </c>
    </row>
    <row r="41" spans="1:34" x14ac:dyDescent="0.25">
      <c r="A41" s="402">
        <f t="shared" ca="1" si="6"/>
        <v>0.01</v>
      </c>
      <c r="B41" s="357">
        <f t="shared" ca="1" si="7"/>
        <v>0.37000000000000016</v>
      </c>
      <c r="C41" s="342"/>
      <c r="D41" s="359">
        <f t="shared" ca="1" si="8"/>
        <v>15.862864175147527</v>
      </c>
      <c r="E41" s="360">
        <f t="shared" ca="1" si="9"/>
        <v>79.522853116009586</v>
      </c>
      <c r="F41" s="357">
        <f t="shared" ca="1" si="10"/>
        <v>81.089546968457128</v>
      </c>
      <c r="G41" s="359">
        <f t="shared" ca="1" si="11"/>
        <v>5.141770572421752</v>
      </c>
      <c r="H41" s="360">
        <f t="shared" ca="1" si="12"/>
        <v>28.858148394410833</v>
      </c>
      <c r="I41" s="357">
        <f t="shared" ca="1" si="13"/>
        <v>29.31263436426789</v>
      </c>
      <c r="J41" s="359">
        <f t="shared" ca="1" si="14"/>
        <v>0.88365468514045031</v>
      </c>
      <c r="K41" s="360">
        <f t="shared" ca="1" si="15"/>
        <v>5.0072417196354468</v>
      </c>
      <c r="L41" s="357">
        <f t="shared" ca="1" si="0"/>
        <v>5.0846155450956578</v>
      </c>
      <c r="M41" s="359">
        <f t="shared" ca="1" si="16"/>
        <v>1.3944726832382952</v>
      </c>
      <c r="N41" s="357">
        <f t="shared" ca="1" si="17"/>
        <v>79.897399395837652</v>
      </c>
      <c r="O41" s="343"/>
      <c r="P41" s="363">
        <f t="shared" ca="1" si="18"/>
        <v>5</v>
      </c>
      <c r="Q41" s="357">
        <f t="shared" ca="1" si="19"/>
        <v>1038.5</v>
      </c>
      <c r="R41" s="359">
        <f t="shared" ca="1" si="20"/>
        <v>0.52021815292394813</v>
      </c>
      <c r="S41" s="360">
        <f t="shared" ca="1" si="21"/>
        <v>11.421195096578343</v>
      </c>
      <c r="T41" s="357">
        <f t="shared" ca="1" si="1"/>
        <v>112.04192389743355</v>
      </c>
      <c r="U41" s="364">
        <f t="shared" ca="1" si="2"/>
        <v>0</v>
      </c>
      <c r="V41" s="359">
        <f t="shared" ca="1" si="3"/>
        <v>1.2243867664197832</v>
      </c>
      <c r="W41" s="357">
        <f t="shared" ca="1" si="4"/>
        <v>2.3812661935927828</v>
      </c>
      <c r="X41" s="343"/>
      <c r="Y41" s="367" t="str">
        <f t="shared" ca="1" si="22"/>
        <v/>
      </c>
      <c r="Z41" s="368" t="str">
        <f t="shared" ca="1" si="23"/>
        <v/>
      </c>
      <c r="AA41" s="369" t="str">
        <f t="shared" ca="1" si="24"/>
        <v/>
      </c>
      <c r="AB41" s="344"/>
      <c r="AC41" s="363" t="e">
        <f t="shared" ca="1" si="25"/>
        <v>#N/A</v>
      </c>
      <c r="AD41" s="376" t="e">
        <f t="shared" ca="1" si="26"/>
        <v>#N/A</v>
      </c>
      <c r="AE41" s="377">
        <f t="shared" ca="1" si="5"/>
        <v>5.0072417196354468</v>
      </c>
      <c r="AF41" s="344"/>
      <c r="AG41" s="359">
        <f t="shared" ca="1" si="27"/>
        <v>81.071406430999289</v>
      </c>
      <c r="AH41" s="357">
        <f t="shared" ca="1" si="28"/>
        <v>90.73030974093345</v>
      </c>
    </row>
    <row r="42" spans="1:34" x14ac:dyDescent="0.25">
      <c r="A42" s="402">
        <f t="shared" ca="1" si="6"/>
        <v>0.01</v>
      </c>
      <c r="B42" s="357">
        <f t="shared" ca="1" si="7"/>
        <v>0.38000000000000017</v>
      </c>
      <c r="C42" s="342"/>
      <c r="D42" s="359">
        <f t="shared" ca="1" si="8"/>
        <v>15.915265016327764</v>
      </c>
      <c r="E42" s="360">
        <f t="shared" ca="1" si="9"/>
        <v>79.514304363358718</v>
      </c>
      <c r="F42" s="357">
        <f t="shared" ca="1" si="10"/>
        <v>81.091431476628856</v>
      </c>
      <c r="G42" s="359">
        <f t="shared" ca="1" si="11"/>
        <v>5.3009232225850296</v>
      </c>
      <c r="H42" s="360">
        <f t="shared" ca="1" si="12"/>
        <v>29.65329143804442</v>
      </c>
      <c r="I42" s="357">
        <f t="shared" ca="1" si="13"/>
        <v>30.12337099531425</v>
      </c>
      <c r="J42" s="359">
        <f t="shared" ca="1" si="14"/>
        <v>0.93586815411548419</v>
      </c>
      <c r="K42" s="360">
        <f t="shared" ca="1" si="15"/>
        <v>5.2997989187977232</v>
      </c>
      <c r="L42" s="357">
        <f t="shared" ca="1" si="0"/>
        <v>5.3817950334044715</v>
      </c>
      <c r="M42" s="359">
        <f t="shared" ca="1" si="16"/>
        <v>1.3939014370647036</v>
      </c>
      <c r="N42" s="357">
        <f t="shared" ca="1" si="17"/>
        <v>79.864669401027854</v>
      </c>
      <c r="O42" s="343"/>
      <c r="P42" s="363">
        <f t="shared" ca="1" si="18"/>
        <v>5</v>
      </c>
      <c r="Q42" s="357">
        <f t="shared" ca="1" si="19"/>
        <v>1038.1666666666667</v>
      </c>
      <c r="R42" s="359">
        <f t="shared" ca="1" si="20"/>
        <v>0.52005117550365476</v>
      </c>
      <c r="S42" s="360">
        <f t="shared" ca="1" si="21"/>
        <v>11.415994584823306</v>
      </c>
      <c r="T42" s="357">
        <f t="shared" ca="1" si="1"/>
        <v>111.99090687711663</v>
      </c>
      <c r="U42" s="364">
        <f t="shared" ca="1" si="2"/>
        <v>0</v>
      </c>
      <c r="V42" s="359">
        <f t="shared" ca="1" si="3"/>
        <v>1.2243509466250662</v>
      </c>
      <c r="W42" s="357">
        <f t="shared" ca="1" si="4"/>
        <v>2.5147376286675849</v>
      </c>
      <c r="X42" s="343"/>
      <c r="Y42" s="367" t="str">
        <f t="shared" ca="1" si="22"/>
        <v/>
      </c>
      <c r="Z42" s="368" t="str">
        <f t="shared" ca="1" si="23"/>
        <v/>
      </c>
      <c r="AA42" s="369" t="str">
        <f t="shared" ca="1" si="24"/>
        <v/>
      </c>
      <c r="AB42" s="344"/>
      <c r="AC42" s="363" t="e">
        <f t="shared" ca="1" si="25"/>
        <v>#N/A</v>
      </c>
      <c r="AD42" s="376" t="e">
        <f t="shared" ca="1" si="26"/>
        <v>#N/A</v>
      </c>
      <c r="AE42" s="377">
        <f t="shared" ca="1" si="5"/>
        <v>5.2997989187977232</v>
      </c>
      <c r="AF42" s="344"/>
      <c r="AG42" s="359">
        <f t="shared" ca="1" si="27"/>
        <v>81.073171608428268</v>
      </c>
      <c r="AH42" s="357">
        <f t="shared" ca="1" si="28"/>
        <v>90.731069708991598</v>
      </c>
    </row>
    <row r="43" spans="1:34" x14ac:dyDescent="0.25">
      <c r="A43" s="402">
        <f t="shared" ca="1" si="6"/>
        <v>0.01</v>
      </c>
      <c r="B43" s="357">
        <f t="shared" ca="1" si="7"/>
        <v>0.39000000000000018</v>
      </c>
      <c r="C43" s="342"/>
      <c r="D43" s="359">
        <f t="shared" ca="1" si="8"/>
        <v>15.966364022562653</v>
      </c>
      <c r="E43" s="360">
        <f t="shared" ca="1" si="9"/>
        <v>79.505620258328207</v>
      </c>
      <c r="F43" s="357">
        <f t="shared" ca="1" si="10"/>
        <v>81.092961672160385</v>
      </c>
      <c r="G43" s="359">
        <f t="shared" ca="1" si="11"/>
        <v>5.460586862810656</v>
      </c>
      <c r="H43" s="360">
        <f t="shared" ca="1" si="12"/>
        <v>30.448347640627702</v>
      </c>
      <c r="I43" s="357">
        <f t="shared" ca="1" si="13"/>
        <v>30.934121660891211</v>
      </c>
      <c r="J43" s="359">
        <f t="shared" ca="1" si="14"/>
        <v>0.98967570454246256</v>
      </c>
      <c r="K43" s="360">
        <f t="shared" ca="1" si="15"/>
        <v>5.6003071141910841</v>
      </c>
      <c r="L43" s="357">
        <f t="shared" ca="1" si="0"/>
        <v>5.6870816570030787</v>
      </c>
      <c r="M43" s="359">
        <f t="shared" ca="1" si="16"/>
        <v>1.3933433792627448</v>
      </c>
      <c r="N43" s="357">
        <f t="shared" ca="1" si="17"/>
        <v>79.832695044251267</v>
      </c>
      <c r="O43" s="343"/>
      <c r="P43" s="363">
        <f t="shared" ca="1" si="18"/>
        <v>5</v>
      </c>
      <c r="Q43" s="357">
        <f t="shared" ca="1" si="19"/>
        <v>1037.8333333333333</v>
      </c>
      <c r="R43" s="359">
        <f t="shared" ca="1" si="20"/>
        <v>0.51988419808336139</v>
      </c>
      <c r="S43" s="360">
        <f t="shared" ca="1" si="21"/>
        <v>11.410795742842472</v>
      </c>
      <c r="T43" s="357">
        <f t="shared" ca="1" si="1"/>
        <v>111.93990623728466</v>
      </c>
      <c r="U43" s="364">
        <f t="shared" ca="1" si="2"/>
        <v>0</v>
      </c>
      <c r="V43" s="359">
        <f t="shared" ca="1" si="3"/>
        <v>1.2243141544258043</v>
      </c>
      <c r="W43" s="357">
        <f t="shared" ca="1" si="4"/>
        <v>2.6518445772284736</v>
      </c>
      <c r="X43" s="343"/>
      <c r="Y43" s="367" t="str">
        <f t="shared" ca="1" si="22"/>
        <v/>
      </c>
      <c r="Z43" s="368" t="str">
        <f t="shared" ca="1" si="23"/>
        <v/>
      </c>
      <c r="AA43" s="369" t="str">
        <f t="shared" ca="1" si="24"/>
        <v/>
      </c>
      <c r="AB43" s="344"/>
      <c r="AC43" s="363" t="e">
        <f t="shared" ca="1" si="25"/>
        <v>#N/A</v>
      </c>
      <c r="AD43" s="376" t="e">
        <f t="shared" ca="1" si="26"/>
        <v>#N/A</v>
      </c>
      <c r="AE43" s="377">
        <f t="shared" ca="1" si="5"/>
        <v>5.6003071141910841</v>
      </c>
      <c r="AF43" s="344"/>
      <c r="AG43" s="359">
        <f t="shared" ca="1" si="27"/>
        <v>81.074584869337457</v>
      </c>
      <c r="AH43" s="357">
        <f t="shared" ca="1" si="28"/>
        <v>90.73149840177264</v>
      </c>
    </row>
    <row r="44" spans="1:34" x14ac:dyDescent="0.25">
      <c r="A44" s="402">
        <f t="shared" ca="1" si="6"/>
        <v>0.01</v>
      </c>
      <c r="B44" s="357">
        <f t="shared" ca="1" si="7"/>
        <v>0.40000000000000019</v>
      </c>
      <c r="C44" s="342"/>
      <c r="D44" s="359">
        <f t="shared" ca="1" si="8"/>
        <v>16.016221944483856</v>
      </c>
      <c r="E44" s="360">
        <f t="shared" ca="1" si="9"/>
        <v>79.496791725328265</v>
      </c>
      <c r="F44" s="357">
        <f t="shared" ca="1" si="10"/>
        <v>81.09413825915648</v>
      </c>
      <c r="G44" s="359">
        <f t="shared" ca="1" si="11"/>
        <v>5.6207490822554949</v>
      </c>
      <c r="H44" s="360">
        <f t="shared" ca="1" si="12"/>
        <v>31.243315557880983</v>
      </c>
      <c r="I44" s="357">
        <f t="shared" ca="1" si="13"/>
        <v>31.74488285212286</v>
      </c>
      <c r="J44" s="359">
        <f t="shared" ca="1" si="14"/>
        <v>1.0450823842677934</v>
      </c>
      <c r="K44" s="360">
        <f t="shared" ca="1" si="15"/>
        <v>5.9087654301836272</v>
      </c>
      <c r="L44" s="357">
        <f t="shared" ca="1" si="0"/>
        <v>6.0004754893958161</v>
      </c>
      <c r="M44" s="359">
        <f t="shared" ca="1" si="16"/>
        <v>1.3927978766552354</v>
      </c>
      <c r="N44" s="357">
        <f t="shared" ca="1" si="17"/>
        <v>79.801440047127599</v>
      </c>
      <c r="O44" s="343"/>
      <c r="P44" s="363">
        <f t="shared" ca="1" si="18"/>
        <v>5</v>
      </c>
      <c r="Q44" s="357">
        <f t="shared" ca="1" si="19"/>
        <v>1037.5</v>
      </c>
      <c r="R44" s="359">
        <f t="shared" ca="1" si="20"/>
        <v>0.51971722066306802</v>
      </c>
      <c r="S44" s="360">
        <f t="shared" ca="1" si="21"/>
        <v>11.405598570635842</v>
      </c>
      <c r="T44" s="357">
        <f t="shared" ca="1" si="1"/>
        <v>111.88892197793761</v>
      </c>
      <c r="U44" s="364">
        <f t="shared" ca="1" si="2"/>
        <v>0</v>
      </c>
      <c r="V44" s="359">
        <f t="shared" ca="1" si="3"/>
        <v>1.2242763900168852</v>
      </c>
      <c r="W44" s="357">
        <f t="shared" ca="1" si="4"/>
        <v>2.7925859560409068</v>
      </c>
      <c r="X44" s="343"/>
      <c r="Y44" s="367" t="str">
        <f t="shared" ca="1" si="22"/>
        <v/>
      </c>
      <c r="Z44" s="368" t="str">
        <f t="shared" ca="1" si="23"/>
        <v/>
      </c>
      <c r="AA44" s="369" t="str">
        <f t="shared" ca="1" si="24"/>
        <v/>
      </c>
      <c r="AB44" s="344"/>
      <c r="AC44" s="363" t="e">
        <f t="shared" ca="1" si="25"/>
        <v>#N/A</v>
      </c>
      <c r="AD44" s="376" t="e">
        <f t="shared" ca="1" si="26"/>
        <v>#N/A</v>
      </c>
      <c r="AE44" s="377">
        <f t="shared" ca="1" si="5"/>
        <v>5.9087654301836272</v>
      </c>
      <c r="AF44" s="344"/>
      <c r="AG44" s="359">
        <f t="shared" ca="1" si="27"/>
        <v>81.07564680202475</v>
      </c>
      <c r="AH44" s="357">
        <f t="shared" ca="1" si="28"/>
        <v>90.731595454098169</v>
      </c>
    </row>
    <row r="45" spans="1:34" x14ac:dyDescent="0.25">
      <c r="A45" s="402">
        <f t="shared" ca="1" si="6"/>
        <v>0.01</v>
      </c>
      <c r="B45" s="357">
        <f t="shared" ca="1" si="7"/>
        <v>0.4100000000000002</v>
      </c>
      <c r="C45" s="342"/>
      <c r="D45" s="359">
        <f t="shared" ca="1" si="8"/>
        <v>16.064895047157354</v>
      </c>
      <c r="E45" s="360">
        <f t="shared" ca="1" si="9"/>
        <v>79.48781031270758</v>
      </c>
      <c r="F45" s="357">
        <f t="shared" ca="1" si="10"/>
        <v>81.094961873011329</v>
      </c>
      <c r="G45" s="359">
        <f t="shared" ca="1" si="11"/>
        <v>5.7813980327270684</v>
      </c>
      <c r="H45" s="360">
        <f t="shared" ca="1" si="12"/>
        <v>32.038193661008059</v>
      </c>
      <c r="I45" s="357">
        <f t="shared" ca="1" si="13"/>
        <v>32.555651065108151</v>
      </c>
      <c r="J45" s="359">
        <f t="shared" ca="1" si="14"/>
        <v>1.1020931198427062</v>
      </c>
      <c r="K45" s="360">
        <f t="shared" ca="1" si="15"/>
        <v>6.2251729762780723</v>
      </c>
      <c r="L45" s="357">
        <f t="shared" ca="1" si="0"/>
        <v>6.3219765761498534</v>
      </c>
      <c r="M45" s="359">
        <f t="shared" ca="1" si="16"/>
        <v>1.3922643414120315</v>
      </c>
      <c r="N45" s="357">
        <f t="shared" ca="1" si="17"/>
        <v>79.770870729470531</v>
      </c>
      <c r="O45" s="343"/>
      <c r="P45" s="363">
        <f t="shared" ca="1" si="18"/>
        <v>5</v>
      </c>
      <c r="Q45" s="357">
        <f t="shared" ca="1" si="19"/>
        <v>1037.1666666666667</v>
      </c>
      <c r="R45" s="359">
        <f t="shared" ca="1" si="20"/>
        <v>0.51955024324277477</v>
      </c>
      <c r="S45" s="360">
        <f t="shared" ca="1" si="21"/>
        <v>11.400403068203413</v>
      </c>
      <c r="T45" s="357">
        <f t="shared" ca="1" si="1"/>
        <v>111.83795409907549</v>
      </c>
      <c r="U45" s="364">
        <f t="shared" ca="1" si="2"/>
        <v>0</v>
      </c>
      <c r="V45" s="359">
        <f t="shared" ca="1" si="3"/>
        <v>1.2242376535973172</v>
      </c>
      <c r="W45" s="357">
        <f t="shared" ca="1" si="4"/>
        <v>2.9369606024880039</v>
      </c>
      <c r="X45" s="343"/>
      <c r="Y45" s="367" t="str">
        <f t="shared" ca="1" si="22"/>
        <v/>
      </c>
      <c r="Z45" s="368" t="str">
        <f t="shared" ca="1" si="23"/>
        <v/>
      </c>
      <c r="AA45" s="369" t="str">
        <f t="shared" ca="1" si="24"/>
        <v/>
      </c>
      <c r="AB45" s="344"/>
      <c r="AC45" s="363" t="e">
        <f t="shared" ca="1" si="25"/>
        <v>#N/A</v>
      </c>
      <c r="AD45" s="376" t="e">
        <f t="shared" ca="1" si="26"/>
        <v>#N/A</v>
      </c>
      <c r="AE45" s="377">
        <f t="shared" ca="1" si="5"/>
        <v>6.2251729762780723</v>
      </c>
      <c r="AF45" s="344"/>
      <c r="AG45" s="359">
        <f t="shared" ca="1" si="27"/>
        <v>81.076357934193368</v>
      </c>
      <c r="AH45" s="357">
        <f t="shared" ca="1" si="28"/>
        <v>90.731360507381822</v>
      </c>
    </row>
    <row r="46" spans="1:34" x14ac:dyDescent="0.25">
      <c r="A46" s="402">
        <f t="shared" ca="1" si="6"/>
        <v>0.01</v>
      </c>
      <c r="B46" s="357">
        <f t="shared" ca="1" si="7"/>
        <v>0.42000000000000021</v>
      </c>
      <c r="C46" s="342"/>
      <c r="D46" s="359">
        <f t="shared" ca="1" si="8"/>
        <v>16.112435543707484</v>
      </c>
      <c r="E46" s="360">
        <f t="shared" ca="1" si="9"/>
        <v>79.478668134879044</v>
      </c>
      <c r="F46" s="357">
        <f t="shared" ca="1" si="10"/>
        <v>81.095433087470255</v>
      </c>
      <c r="G46" s="359">
        <f t="shared" ca="1" si="11"/>
        <v>5.9425223881641429</v>
      </c>
      <c r="H46" s="360">
        <f t="shared" ca="1" si="12"/>
        <v>32.832980342356848</v>
      </c>
      <c r="I46" s="357">
        <f t="shared" ca="1" si="13"/>
        <v>33.366422800405552</v>
      </c>
      <c r="J46" s="359">
        <f t="shared" ca="1" si="14"/>
        <v>1.1607127219471622</v>
      </c>
      <c r="K46" s="360">
        <f t="shared" ca="1" si="15"/>
        <v>6.5495288462948968</v>
      </c>
      <c r="L46" s="357">
        <f t="shared" ca="1" si="0"/>
        <v>6.6515849337837487</v>
      </c>
      <c r="M46" s="359">
        <f t="shared" ca="1" si="16"/>
        <v>1.391742226780591</v>
      </c>
      <c r="N46" s="357">
        <f t="shared" ca="1" si="17"/>
        <v>79.740955764666964</v>
      </c>
      <c r="O46" s="343"/>
      <c r="P46" s="363">
        <f t="shared" ca="1" si="18"/>
        <v>5</v>
      </c>
      <c r="Q46" s="357">
        <f t="shared" ca="1" si="19"/>
        <v>1036.8333333333333</v>
      </c>
      <c r="R46" s="359">
        <f t="shared" ca="1" si="20"/>
        <v>0.51938326582248129</v>
      </c>
      <c r="S46" s="360">
        <f t="shared" ca="1" si="21"/>
        <v>11.395209235545188</v>
      </c>
      <c r="T46" s="357">
        <f t="shared" ca="1" si="1"/>
        <v>111.7870026006983</v>
      </c>
      <c r="U46" s="364">
        <f t="shared" ca="1" si="2"/>
        <v>0</v>
      </c>
      <c r="V46" s="359">
        <f t="shared" ca="1" si="3"/>
        <v>1.2241979453703256</v>
      </c>
      <c r="W46" s="357">
        <f t="shared" ca="1" si="4"/>
        <v>3.0849672746073273</v>
      </c>
      <c r="X46" s="343"/>
      <c r="Y46" s="367" t="str">
        <f t="shared" ca="1" si="22"/>
        <v/>
      </c>
      <c r="Z46" s="368" t="str">
        <f t="shared" ca="1" si="23"/>
        <v/>
      </c>
      <c r="AA46" s="369" t="str">
        <f t="shared" ca="1" si="24"/>
        <v/>
      </c>
      <c r="AB46" s="344"/>
      <c r="AC46" s="363" t="e">
        <f t="shared" ca="1" si="25"/>
        <v>#N/A</v>
      </c>
      <c r="AD46" s="376" t="e">
        <f t="shared" ca="1" si="26"/>
        <v>#N/A</v>
      </c>
      <c r="AE46" s="377">
        <f t="shared" ca="1" si="5"/>
        <v>6.5495288462948968</v>
      </c>
      <c r="AF46" s="344"/>
      <c r="AG46" s="359">
        <f t="shared" ca="1" si="27"/>
        <v>81.076718739254275</v>
      </c>
      <c r="AH46" s="357">
        <f t="shared" ca="1" si="28"/>
        <v>90.730793209641305</v>
      </c>
    </row>
    <row r="47" spans="1:34" x14ac:dyDescent="0.25">
      <c r="A47" s="402">
        <f t="shared" ca="1" si="6"/>
        <v>0.01</v>
      </c>
      <c r="B47" s="357">
        <f t="shared" ca="1" si="7"/>
        <v>0.43000000000000022</v>
      </c>
      <c r="C47" s="342"/>
      <c r="D47" s="359">
        <f t="shared" ca="1" si="8"/>
        <v>16.158891977547015</v>
      </c>
      <c r="E47" s="360">
        <f t="shared" ca="1" si="9"/>
        <v>79.469357821144527</v>
      </c>
      <c r="F47" s="357">
        <f t="shared" ca="1" si="10"/>
        <v>81.095552420876558</v>
      </c>
      <c r="G47" s="359">
        <f t="shared" ca="1" si="11"/>
        <v>6.104111307939613</v>
      </c>
      <c r="H47" s="360">
        <f t="shared" ca="1" si="12"/>
        <v>33.627673920568292</v>
      </c>
      <c r="I47" s="357">
        <f t="shared" ca="1" si="13"/>
        <v>34.177194562570307</v>
      </c>
      <c r="J47" s="359">
        <f t="shared" ca="1" si="14"/>
        <v>1.2209458904276811</v>
      </c>
      <c r="K47" s="360">
        <f t="shared" ca="1" si="15"/>
        <v>6.8818321176095223</v>
      </c>
      <c r="L47" s="357">
        <f t="shared" ca="1" si="0"/>
        <v>6.9893005488613955</v>
      </c>
      <c r="M47" s="359">
        <f t="shared" ca="1" si="16"/>
        <v>1.391231023310133</v>
      </c>
      <c r="N47" s="357">
        <f t="shared" ca="1" si="17"/>
        <v>79.711665963337282</v>
      </c>
      <c r="O47" s="343"/>
      <c r="P47" s="363">
        <f t="shared" ca="1" si="18"/>
        <v>5</v>
      </c>
      <c r="Q47" s="357">
        <f t="shared" ca="1" si="19"/>
        <v>1036.5</v>
      </c>
      <c r="R47" s="359">
        <f t="shared" ca="1" si="20"/>
        <v>0.51921628840218792</v>
      </c>
      <c r="S47" s="360">
        <f t="shared" ca="1" si="21"/>
        <v>11.390017072661166</v>
      </c>
      <c r="T47" s="357">
        <f t="shared" ca="1" si="1"/>
        <v>111.73606748280605</v>
      </c>
      <c r="U47" s="364">
        <f t="shared" ca="1" si="2"/>
        <v>0</v>
      </c>
      <c r="V47" s="359">
        <f t="shared" ca="1" si="3"/>
        <v>1.2241572655434452</v>
      </c>
      <c r="W47" s="357">
        <f t="shared" ca="1" si="4"/>
        <v>3.2366046511254094</v>
      </c>
      <c r="X47" s="343"/>
      <c r="Y47" s="367" t="str">
        <f t="shared" ca="1" si="22"/>
        <v/>
      </c>
      <c r="Z47" s="368" t="str">
        <f t="shared" ca="1" si="23"/>
        <v/>
      </c>
      <c r="AA47" s="369" t="str">
        <f t="shared" ca="1" si="24"/>
        <v/>
      </c>
      <c r="AB47" s="344"/>
      <c r="AC47" s="363" t="e">
        <f t="shared" ca="1" si="25"/>
        <v>#N/A</v>
      </c>
      <c r="AD47" s="376" t="e">
        <f t="shared" ca="1" si="26"/>
        <v>#N/A</v>
      </c>
      <c r="AE47" s="377">
        <f t="shared" ca="1" si="5"/>
        <v>6.8818321176095223</v>
      </c>
      <c r="AF47" s="344"/>
      <c r="AG47" s="359">
        <f t="shared" ca="1" si="27"/>
        <v>81.076729641901537</v>
      </c>
      <c r="AH47" s="357">
        <f t="shared" ca="1" si="28"/>
        <v>90.729893215510813</v>
      </c>
    </row>
    <row r="48" spans="1:34" x14ac:dyDescent="0.25">
      <c r="A48" s="402">
        <f t="shared" ca="1" si="6"/>
        <v>0.01</v>
      </c>
      <c r="B48" s="357">
        <f t="shared" ca="1" si="7"/>
        <v>0.44000000000000022</v>
      </c>
      <c r="C48" s="342"/>
      <c r="D48" s="359">
        <f t="shared" ca="1" si="8"/>
        <v>16.204309560376938</v>
      </c>
      <c r="E48" s="360">
        <f t="shared" ca="1" si="9"/>
        <v>79.459872470302898</v>
      </c>
      <c r="F48" s="357">
        <f t="shared" ca="1" si="10"/>
        <v>81.095320341714682</v>
      </c>
      <c r="G48" s="359">
        <f t="shared" ca="1" si="11"/>
        <v>6.266154403543382</v>
      </c>
      <c r="H48" s="360">
        <f t="shared" ca="1" si="12"/>
        <v>34.42227264527132</v>
      </c>
      <c r="I48" s="357">
        <f t="shared" ca="1" si="13"/>
        <v>34.987962859738495</v>
      </c>
      <c r="J48" s="359">
        <f t="shared" ca="1" si="14"/>
        <v>1.282797218985096</v>
      </c>
      <c r="K48" s="360">
        <f t="shared" ca="1" si="15"/>
        <v>7.2220818504387205</v>
      </c>
      <c r="L48" s="357">
        <f t="shared" ca="1" si="0"/>
        <v>7.335123377249511</v>
      </c>
      <c r="M48" s="359">
        <f t="shared" ca="1" si="16"/>
        <v>1.3907302555022272</v>
      </c>
      <c r="N48" s="357">
        <f t="shared" ca="1" si="17"/>
        <v>79.682974081428256</v>
      </c>
      <c r="O48" s="343"/>
      <c r="P48" s="363">
        <f t="shared" ca="1" si="18"/>
        <v>5</v>
      </c>
      <c r="Q48" s="357">
        <f t="shared" ca="1" si="19"/>
        <v>1036.1666666666667</v>
      </c>
      <c r="R48" s="359">
        <f t="shared" ca="1" si="20"/>
        <v>0.51904931098189466</v>
      </c>
      <c r="S48" s="360">
        <f t="shared" ca="1" si="21"/>
        <v>11.384826579551348</v>
      </c>
      <c r="T48" s="357">
        <f t="shared" ca="1" si="1"/>
        <v>111.68514874539872</v>
      </c>
      <c r="U48" s="364">
        <f t="shared" ca="1" si="2"/>
        <v>0</v>
      </c>
      <c r="V48" s="359">
        <f t="shared" ca="1" si="3"/>
        <v>1.2241156143286065</v>
      </c>
      <c r="W48" s="357">
        <f t="shared" ca="1" si="4"/>
        <v>3.3918713314905133</v>
      </c>
      <c r="X48" s="343"/>
      <c r="Y48" s="367" t="str">
        <f t="shared" ca="1" si="22"/>
        <v/>
      </c>
      <c r="Z48" s="368" t="str">
        <f t="shared" ca="1" si="23"/>
        <v/>
      </c>
      <c r="AA48" s="369" t="str">
        <f t="shared" ca="1" si="24"/>
        <v/>
      </c>
      <c r="AB48" s="344"/>
      <c r="AC48" s="363" t="e">
        <f t="shared" ca="1" si="25"/>
        <v>#N/A</v>
      </c>
      <c r="AD48" s="376" t="e">
        <f t="shared" ca="1" si="26"/>
        <v>#N/A</v>
      </c>
      <c r="AE48" s="377">
        <f t="shared" ca="1" si="5"/>
        <v>7.2220818504387205</v>
      </c>
      <c r="AF48" s="344"/>
      <c r="AG48" s="359">
        <f t="shared" ca="1" si="27"/>
        <v>81.076391023059657</v>
      </c>
      <c r="AH48" s="357">
        <f t="shared" ca="1" si="28"/>
        <v>90.728660186253535</v>
      </c>
    </row>
    <row r="49" spans="1:34" x14ac:dyDescent="0.25">
      <c r="A49" s="402">
        <f t="shared" ca="1" si="6"/>
        <v>0.01</v>
      </c>
      <c r="B49" s="357">
        <f t="shared" ca="1" si="7"/>
        <v>0.45000000000000023</v>
      </c>
      <c r="C49" s="342"/>
      <c r="D49" s="359">
        <f t="shared" ca="1" si="8"/>
        <v>16.248730471978604</v>
      </c>
      <c r="E49" s="360">
        <f t="shared" ca="1" si="9"/>
        <v>79.450205610269094</v>
      </c>
      <c r="F49" s="357">
        <f t="shared" ca="1" si="10"/>
        <v>81.094737273543473</v>
      </c>
      <c r="G49" s="359">
        <f t="shared" ca="1" si="11"/>
        <v>6.4286417082631679</v>
      </c>
      <c r="H49" s="360">
        <f t="shared" ca="1" si="12"/>
        <v>35.216774701374014</v>
      </c>
      <c r="I49" s="357">
        <f t="shared" ca="1" si="13"/>
        <v>35.798724203252796</v>
      </c>
      <c r="J49" s="359">
        <f t="shared" ca="1" si="14"/>
        <v>1.3462711995441288</v>
      </c>
      <c r="K49" s="360">
        <f t="shared" ca="1" si="15"/>
        <v>7.5702770871719469</v>
      </c>
      <c r="L49" s="357">
        <f t="shared" ca="1" si="0"/>
        <v>7.6890533435061146</v>
      </c>
      <c r="M49" s="359">
        <f t="shared" ca="1" si="16"/>
        <v>1.3902394788310961</v>
      </c>
      <c r="N49" s="357">
        <f t="shared" ca="1" si="17"/>
        <v>79.654854649488968</v>
      </c>
      <c r="O49" s="343"/>
      <c r="P49" s="363">
        <f t="shared" ca="1" si="18"/>
        <v>5</v>
      </c>
      <c r="Q49" s="357">
        <f t="shared" ca="1" si="19"/>
        <v>1035.8333333333333</v>
      </c>
      <c r="R49" s="359">
        <f t="shared" ca="1" si="20"/>
        <v>0.51888233356160118</v>
      </c>
      <c r="S49" s="360">
        <f t="shared" ca="1" si="21"/>
        <v>11.379637756215732</v>
      </c>
      <c r="T49" s="357">
        <f t="shared" ca="1" si="1"/>
        <v>111.63424638847634</v>
      </c>
      <c r="U49" s="364">
        <f t="shared" ca="1" si="2"/>
        <v>0</v>
      </c>
      <c r="V49" s="359">
        <f t="shared" ca="1" si="3"/>
        <v>1.2240729919422144</v>
      </c>
      <c r="W49" s="357">
        <f t="shared" ca="1" si="4"/>
        <v>3.5507658359041305</v>
      </c>
      <c r="X49" s="343"/>
      <c r="Y49" s="367" t="str">
        <f t="shared" ca="1" si="22"/>
        <v/>
      </c>
      <c r="Z49" s="368" t="str">
        <f t="shared" ca="1" si="23"/>
        <v/>
      </c>
      <c r="AA49" s="369" t="str">
        <f t="shared" ca="1" si="24"/>
        <v/>
      </c>
      <c r="AB49" s="344"/>
      <c r="AC49" s="363" t="e">
        <f t="shared" ca="1" si="25"/>
        <v>#N/A</v>
      </c>
      <c r="AD49" s="376" t="e">
        <f t="shared" ca="1" si="26"/>
        <v>#N/A</v>
      </c>
      <c r="AE49" s="377">
        <f t="shared" ca="1" si="5"/>
        <v>7.5702770871719469</v>
      </c>
      <c r="AF49" s="344"/>
      <c r="AG49" s="359">
        <f t="shared" ca="1" si="27"/>
        <v>81.075703224286769</v>
      </c>
      <c r="AH49" s="357">
        <f t="shared" ca="1" si="28"/>
        <v>90.727093789774401</v>
      </c>
    </row>
    <row r="50" spans="1:34" x14ac:dyDescent="0.25">
      <c r="A50" s="402">
        <f t="shared" ca="1" si="6"/>
        <v>0.01</v>
      </c>
      <c r="B50" s="357">
        <f t="shared" ca="1" si="7"/>
        <v>0.46000000000000024</v>
      </c>
      <c r="C50" s="342"/>
      <c r="D50" s="359">
        <f t="shared" ca="1" si="8"/>
        <v>16.29219412688315</v>
      </c>
      <c r="E50" s="360">
        <f t="shared" ca="1" si="9"/>
        <v>79.440351162050618</v>
      </c>
      <c r="F50" s="357">
        <f t="shared" ca="1" si="10"/>
        <v>81.093803599399394</v>
      </c>
      <c r="G50" s="359">
        <f t="shared" ca="1" si="11"/>
        <v>6.5915636495319996</v>
      </c>
      <c r="H50" s="360">
        <f t="shared" ca="1" si="12"/>
        <v>36.011178212994523</v>
      </c>
      <c r="I50" s="357">
        <f t="shared" ca="1" si="13"/>
        <v>36.609475107325473</v>
      </c>
      <c r="J50" s="359">
        <f t="shared" ca="1" si="14"/>
        <v>1.4113722263331046</v>
      </c>
      <c r="K50" s="360">
        <f t="shared" ca="1" si="15"/>
        <v>7.9264168517437898</v>
      </c>
      <c r="L50" s="357">
        <f t="shared" ca="1" si="0"/>
        <v>8.0510903403745502</v>
      </c>
      <c r="M50" s="359">
        <f t="shared" ca="1" si="16"/>
        <v>1.389758277085545</v>
      </c>
      <c r="N50" s="357">
        <f t="shared" ca="1" si="17"/>
        <v>79.627283820374558</v>
      </c>
      <c r="O50" s="343"/>
      <c r="P50" s="363">
        <f t="shared" ca="1" si="18"/>
        <v>5</v>
      </c>
      <c r="Q50" s="357">
        <f t="shared" ca="1" si="19"/>
        <v>1035.5</v>
      </c>
      <c r="R50" s="359">
        <f t="shared" ca="1" si="20"/>
        <v>0.51871535614130793</v>
      </c>
      <c r="S50" s="360">
        <f t="shared" ca="1" si="21"/>
        <v>11.374450602654319</v>
      </c>
      <c r="T50" s="357">
        <f t="shared" ca="1" si="1"/>
        <v>111.58336041203887</v>
      </c>
      <c r="U50" s="364">
        <f t="shared" ca="1" si="2"/>
        <v>0</v>
      </c>
      <c r="V50" s="359">
        <f t="shared" ca="1" si="3"/>
        <v>1.2240293986052242</v>
      </c>
      <c r="W50" s="357">
        <f t="shared" ca="1" si="4"/>
        <v>3.7132866053515818</v>
      </c>
      <c r="X50" s="343"/>
      <c r="Y50" s="367" t="str">
        <f t="shared" ca="1" si="22"/>
        <v/>
      </c>
      <c r="Z50" s="368" t="str">
        <f t="shared" ca="1" si="23"/>
        <v/>
      </c>
      <c r="AA50" s="369" t="str">
        <f t="shared" ca="1" si="24"/>
        <v/>
      </c>
      <c r="AB50" s="344"/>
      <c r="AC50" s="363" t="e">
        <f t="shared" ca="1" si="25"/>
        <v>#N/A</v>
      </c>
      <c r="AD50" s="376" t="e">
        <f t="shared" ca="1" si="26"/>
        <v>#N/A</v>
      </c>
      <c r="AE50" s="377">
        <f t="shared" ca="1" si="5"/>
        <v>7.9264168517437898</v>
      </c>
      <c r="AF50" s="344"/>
      <c r="AG50" s="359">
        <f t="shared" ca="1" si="27"/>
        <v>81.074666551705036</v>
      </c>
      <c r="AH50" s="357">
        <f t="shared" ca="1" si="28"/>
        <v>90.725193700633099</v>
      </c>
    </row>
    <row r="51" spans="1:34" x14ac:dyDescent="0.25">
      <c r="A51" s="402">
        <f t="shared" ca="1" si="6"/>
        <v>0.01</v>
      </c>
      <c r="B51" s="357">
        <f t="shared" ca="1" si="7"/>
        <v>0.47000000000000025</v>
      </c>
      <c r="C51" s="342"/>
      <c r="D51" s="359">
        <f t="shared" ca="1" si="8"/>
        <v>16.334737412228968</v>
      </c>
      <c r="E51" s="360">
        <f t="shared" ca="1" si="9"/>
        <v>79.430303407524661</v>
      </c>
      <c r="F51" s="357">
        <f t="shared" ca="1" si="10"/>
        <v>81.092519665736717</v>
      </c>
      <c r="G51" s="359">
        <f t="shared" ca="1" si="11"/>
        <v>6.7549110236542891</v>
      </c>
      <c r="H51" s="360">
        <f t="shared" ca="1" si="12"/>
        <v>36.805481247069771</v>
      </c>
      <c r="I51" s="357">
        <f t="shared" ca="1" si="13"/>
        <v>37.420212088734758</v>
      </c>
      <c r="J51" s="359">
        <f t="shared" ca="1" si="14"/>
        <v>1.4781045996990361</v>
      </c>
      <c r="K51" s="360">
        <f t="shared" ca="1" si="15"/>
        <v>8.2905001490441119</v>
      </c>
      <c r="L51" s="357">
        <f t="shared" ca="1" si="0"/>
        <v>8.4212342283629606</v>
      </c>
      <c r="M51" s="359">
        <f t="shared" ca="1" si="16"/>
        <v>1.3892862599915963</v>
      </c>
      <c r="N51" s="357">
        <f t="shared" ca="1" si="17"/>
        <v>79.600239233033264</v>
      </c>
      <c r="O51" s="343"/>
      <c r="P51" s="363">
        <f t="shared" ca="1" si="18"/>
        <v>5</v>
      </c>
      <c r="Q51" s="357">
        <f t="shared" ca="1" si="19"/>
        <v>1035.1666666666667</v>
      </c>
      <c r="R51" s="359">
        <f t="shared" ca="1" si="20"/>
        <v>0.51854837872101456</v>
      </c>
      <c r="S51" s="360">
        <f t="shared" ca="1" si="21"/>
        <v>11.369265118867109</v>
      </c>
      <c r="T51" s="357">
        <f t="shared" ca="1" si="1"/>
        <v>111.53249081608634</v>
      </c>
      <c r="U51" s="364">
        <f t="shared" ca="1" si="2"/>
        <v>0</v>
      </c>
      <c r="V51" s="359">
        <f t="shared" ca="1" si="3"/>
        <v>1.2239848345432109</v>
      </c>
      <c r="W51" s="357">
        <f t="shared" ca="1" si="4"/>
        <v>3.8794320016321167</v>
      </c>
      <c r="X51" s="343"/>
      <c r="Y51" s="367" t="str">
        <f t="shared" ca="1" si="22"/>
        <v/>
      </c>
      <c r="Z51" s="368" t="str">
        <f t="shared" ca="1" si="23"/>
        <v/>
      </c>
      <c r="AA51" s="369" t="str">
        <f t="shared" ca="1" si="24"/>
        <v/>
      </c>
      <c r="AB51" s="344"/>
      <c r="AC51" s="363" t="e">
        <f t="shared" ca="1" si="25"/>
        <v>#N/A</v>
      </c>
      <c r="AD51" s="376" t="e">
        <f t="shared" ca="1" si="26"/>
        <v>#N/A</v>
      </c>
      <c r="AE51" s="377">
        <f t="shared" ca="1" si="5"/>
        <v>8.2905001490441119</v>
      </c>
      <c r="AF51" s="344"/>
      <c r="AG51" s="359">
        <f t="shared" ca="1" si="27"/>
        <v>81.073281279517602</v>
      </c>
      <c r="AH51" s="357">
        <f t="shared" ca="1" si="28"/>
        <v>90.722959600056754</v>
      </c>
    </row>
    <row r="52" spans="1:34" x14ac:dyDescent="0.25">
      <c r="A52" s="402">
        <f t="shared" ca="1" si="6"/>
        <v>0.01</v>
      </c>
      <c r="B52" s="357">
        <f t="shared" ca="1" si="7"/>
        <v>0.48000000000000026</v>
      </c>
      <c r="C52" s="342"/>
      <c r="D52" s="359">
        <f t="shared" ca="1" si="8"/>
        <v>16.376394900475717</v>
      </c>
      <c r="E52" s="360">
        <f t="shared" ca="1" si="9"/>
        <v>79.420056960542439</v>
      </c>
      <c r="F52" s="357">
        <f t="shared" ca="1" si="10"/>
        <v>81.090885785963223</v>
      </c>
      <c r="G52" s="359">
        <f t="shared" ca="1" si="11"/>
        <v>6.918674972659046</v>
      </c>
      <c r="H52" s="360">
        <f t="shared" ca="1" si="12"/>
        <v>37.599681816675194</v>
      </c>
      <c r="I52" s="357">
        <f t="shared" ca="1" si="13"/>
        <v>38.230931666551285</v>
      </c>
      <c r="J52" s="359">
        <f t="shared" ca="1" si="14"/>
        <v>1.5464725296806028</v>
      </c>
      <c r="K52" s="360">
        <f t="shared" ca="1" si="15"/>
        <v>8.6625259643628372</v>
      </c>
      <c r="L52" s="357">
        <f t="shared" ca="1" si="0"/>
        <v>8.7994848353933222</v>
      </c>
      <c r="M52" s="359">
        <f t="shared" ca="1" si="16"/>
        <v>1.388823061080863</v>
      </c>
      <c r="N52" s="357">
        <f t="shared" ca="1" si="17"/>
        <v>79.573699890373192</v>
      </c>
      <c r="O52" s="343"/>
      <c r="P52" s="363">
        <f t="shared" ca="1" si="18"/>
        <v>5</v>
      </c>
      <c r="Q52" s="357">
        <f t="shared" ca="1" si="19"/>
        <v>1034.8333333333333</v>
      </c>
      <c r="R52" s="359">
        <f t="shared" ca="1" si="20"/>
        <v>0.51838140130072119</v>
      </c>
      <c r="S52" s="360">
        <f t="shared" ca="1" si="21"/>
        <v>11.364081304854102</v>
      </c>
      <c r="T52" s="357">
        <f t="shared" ca="1" si="1"/>
        <v>111.48163760061874</v>
      </c>
      <c r="U52" s="364">
        <f t="shared" ca="1" si="2"/>
        <v>0</v>
      </c>
      <c r="V52" s="359">
        <f t="shared" ca="1" si="3"/>
        <v>1.223939299986436</v>
      </c>
      <c r="W52" s="357">
        <f t="shared" ca="1" si="4"/>
        <v>4.0492003073888503</v>
      </c>
      <c r="X52" s="343"/>
      <c r="Y52" s="367" t="str">
        <f t="shared" ca="1" si="22"/>
        <v/>
      </c>
      <c r="Z52" s="368" t="str">
        <f t="shared" ca="1" si="23"/>
        <v/>
      </c>
      <c r="AA52" s="369" t="str">
        <f t="shared" ca="1" si="24"/>
        <v/>
      </c>
      <c r="AB52" s="344"/>
      <c r="AC52" s="363" t="e">
        <f t="shared" ca="1" si="25"/>
        <v>#N/A</v>
      </c>
      <c r="AD52" s="376" t="e">
        <f t="shared" ca="1" si="26"/>
        <v>#N/A</v>
      </c>
      <c r="AE52" s="377">
        <f t="shared" ca="1" si="5"/>
        <v>8.6625259643628372</v>
      </c>
      <c r="AF52" s="344"/>
      <c r="AG52" s="359">
        <f t="shared" ca="1" si="27"/>
        <v>81.071547653164899</v>
      </c>
      <c r="AH52" s="357">
        <f t="shared" ca="1" si="28"/>
        <v>90.720391175953239</v>
      </c>
    </row>
    <row r="53" spans="1:34" x14ac:dyDescent="0.25">
      <c r="A53" s="402">
        <f t="shared" ca="1" si="6"/>
        <v>0.01</v>
      </c>
      <c r="B53" s="357">
        <f t="shared" ca="1" si="7"/>
        <v>0.49000000000000027</v>
      </c>
      <c r="C53" s="342"/>
      <c r="D53" s="359">
        <f t="shared" ca="1" si="8"/>
        <v>16.417199040108763</v>
      </c>
      <c r="E53" s="360">
        <f t="shared" ca="1" si="9"/>
        <v>79.409606740953137</v>
      </c>
      <c r="F53" s="357">
        <f t="shared" ca="1" si="10"/>
        <v>81.088902243620112</v>
      </c>
      <c r="G53" s="359">
        <f t="shared" ca="1" si="11"/>
        <v>7.0828469630601338</v>
      </c>
      <c r="H53" s="360">
        <f t="shared" ca="1" si="12"/>
        <v>38.393777884084727</v>
      </c>
      <c r="I53" s="357">
        <f t="shared" ca="1" si="13"/>
        <v>39.041630361891443</v>
      </c>
      <c r="J53" s="359">
        <f t="shared" ca="1" si="14"/>
        <v>1.6164801393591988</v>
      </c>
      <c r="K53" s="360">
        <f t="shared" ca="1" si="15"/>
        <v>9.0424932628666372</v>
      </c>
      <c r="L53" s="357">
        <f t="shared" ca="1" si="0"/>
        <v>9.1858419565073763</v>
      </c>
      <c r="M53" s="359">
        <f t="shared" ca="1" si="16"/>
        <v>1.3883683357746943</v>
      </c>
      <c r="N53" s="357">
        <f t="shared" ca="1" si="17"/>
        <v>79.547646049491931</v>
      </c>
      <c r="O53" s="343"/>
      <c r="P53" s="363">
        <f t="shared" ca="1" si="18"/>
        <v>5</v>
      </c>
      <c r="Q53" s="357">
        <f t="shared" ca="1" si="19"/>
        <v>1034.5</v>
      </c>
      <c r="R53" s="359">
        <f t="shared" ca="1" si="20"/>
        <v>0.51821442388042782</v>
      </c>
      <c r="S53" s="360">
        <f t="shared" ca="1" si="21"/>
        <v>11.358899160615298</v>
      </c>
      <c r="T53" s="357">
        <f t="shared" ca="1" si="1"/>
        <v>111.43080076563608</v>
      </c>
      <c r="U53" s="364">
        <f t="shared" ca="1" si="2"/>
        <v>0</v>
      </c>
      <c r="V53" s="359">
        <f t="shared" ca="1" si="3"/>
        <v>1.2238927951699099</v>
      </c>
      <c r="W53" s="357">
        <f t="shared" ca="1" si="4"/>
        <v>4.2225897261388017</v>
      </c>
      <c r="X53" s="343"/>
      <c r="Y53" s="367" t="str">
        <f t="shared" ca="1" si="22"/>
        <v/>
      </c>
      <c r="Z53" s="368" t="str">
        <f t="shared" ca="1" si="23"/>
        <v/>
      </c>
      <c r="AA53" s="369" t="str">
        <f t="shared" ca="1" si="24"/>
        <v/>
      </c>
      <c r="AB53" s="344"/>
      <c r="AC53" s="363" t="e">
        <f t="shared" ca="1" si="25"/>
        <v>#N/A</v>
      </c>
      <c r="AD53" s="376" t="e">
        <f t="shared" ca="1" si="26"/>
        <v>#N/A</v>
      </c>
      <c r="AE53" s="377">
        <f t="shared" ca="1" si="5"/>
        <v>9.0424932628666372</v>
      </c>
      <c r="AF53" s="344"/>
      <c r="AG53" s="359">
        <f t="shared" ca="1" si="27"/>
        <v>81.069465892163322</v>
      </c>
      <c r="AH53" s="357">
        <f t="shared" ca="1" si="28"/>
        <v>90.717488122924124</v>
      </c>
    </row>
    <row r="54" spans="1:34" x14ac:dyDescent="0.25">
      <c r="A54" s="402">
        <f t="shared" ca="1" si="6"/>
        <v>0.01</v>
      </c>
      <c r="B54" s="357">
        <f t="shared" ca="1" si="7"/>
        <v>0.50000000000000022</v>
      </c>
      <c r="C54" s="342"/>
      <c r="D54" s="359">
        <f t="shared" ca="1" si="8"/>
        <v>16.457180327020083</v>
      </c>
      <c r="E54" s="360">
        <f t="shared" ca="1" si="9"/>
        <v>79.398947951198764</v>
      </c>
      <c r="F54" s="357">
        <f t="shared" ca="1" si="10"/>
        <v>81.086569295249063</v>
      </c>
      <c r="G54" s="359">
        <f t="shared" ca="1" si="11"/>
        <v>7.2474187663303349</v>
      </c>
      <c r="H54" s="360">
        <f t="shared" ca="1" si="12"/>
        <v>39.187767363596713</v>
      </c>
      <c r="I54" s="357">
        <f t="shared" ca="1" si="13"/>
        <v>39.852304697695125</v>
      </c>
      <c r="J54" s="359">
        <f t="shared" ca="1" si="14"/>
        <v>1.688131468006151</v>
      </c>
      <c r="K54" s="360">
        <f t="shared" ca="1" si="15"/>
        <v>9.4304009891050438</v>
      </c>
      <c r="L54" s="357">
        <f t="shared" ca="1" si="0"/>
        <v>9.5803053536192664</v>
      </c>
      <c r="M54" s="359">
        <f t="shared" ca="1" si="16"/>
        <v>1.3879217596583062</v>
      </c>
      <c r="N54" s="357">
        <f t="shared" ca="1" si="17"/>
        <v>79.522059122791546</v>
      </c>
      <c r="O54" s="343"/>
      <c r="P54" s="363">
        <f t="shared" ca="1" si="18"/>
        <v>5</v>
      </c>
      <c r="Q54" s="357">
        <f t="shared" ca="1" si="19"/>
        <v>1034.1666666666667</v>
      </c>
      <c r="R54" s="359">
        <f t="shared" ca="1" si="20"/>
        <v>0.51804744646013456</v>
      </c>
      <c r="S54" s="360">
        <f t="shared" ca="1" si="21"/>
        <v>11.353718686150696</v>
      </c>
      <c r="T54" s="357">
        <f t="shared" ca="1" si="1"/>
        <v>111.37998031113834</v>
      </c>
      <c r="U54" s="364">
        <f t="shared" ca="1" si="2"/>
        <v>0</v>
      </c>
      <c r="V54" s="359">
        <f t="shared" ca="1" si="3"/>
        <v>1.2238453203334483</v>
      </c>
      <c r="W54" s="357">
        <f t="shared" ca="1" si="4"/>
        <v>4.3995983823033216</v>
      </c>
      <c r="X54" s="343"/>
      <c r="Y54" s="367" t="str">
        <f t="shared" ca="1" si="22"/>
        <v/>
      </c>
      <c r="Z54" s="368" t="str">
        <f t="shared" ca="1" si="23"/>
        <v/>
      </c>
      <c r="AA54" s="369" t="str">
        <f t="shared" ca="1" si="24"/>
        <v/>
      </c>
      <c r="AB54" s="344"/>
      <c r="AC54" s="363" t="e">
        <f t="shared" ca="1" si="25"/>
        <v>#N/A</v>
      </c>
      <c r="AD54" s="376" t="e">
        <f t="shared" ca="1" si="26"/>
        <v>#N/A</v>
      </c>
      <c r="AE54" s="377">
        <f t="shared" ca="1" si="5"/>
        <v>9.4304009891050438</v>
      </c>
      <c r="AF54" s="344"/>
      <c r="AG54" s="359">
        <f t="shared" ca="1" si="27"/>
        <v>81.067036192664858</v>
      </c>
      <c r="AH54" s="357">
        <f t="shared" ca="1" si="28"/>
        <v>90.714250142277805</v>
      </c>
    </row>
    <row r="55" spans="1:34" x14ac:dyDescent="0.25">
      <c r="A55" s="402">
        <f t="shared" ca="1" si="6"/>
        <v>0.01</v>
      </c>
      <c r="B55" s="357">
        <f t="shared" ca="1" si="7"/>
        <v>0.51000000000000023</v>
      </c>
      <c r="C55" s="342"/>
      <c r="D55" s="359">
        <f t="shared" ca="1" si="8"/>
        <v>16.496367458876453</v>
      </c>
      <c r="E55" s="360">
        <f t="shared" ca="1" si="9"/>
        <v>79.38807605517799</v>
      </c>
      <c r="F55" s="357">
        <f t="shared" ca="1" si="10"/>
        <v>81.083887172982784</v>
      </c>
      <c r="G55" s="359">
        <f t="shared" ca="1" si="11"/>
        <v>7.4123824409190995</v>
      </c>
      <c r="H55" s="360">
        <f t="shared" ca="1" si="12"/>
        <v>39.981648124148492</v>
      </c>
      <c r="I55" s="357">
        <f t="shared" ca="1" si="13"/>
        <v>40.662951198525576</v>
      </c>
      <c r="J55" s="359">
        <f t="shared" ca="1" si="14"/>
        <v>1.7614304740423981</v>
      </c>
      <c r="K55" s="360">
        <f t="shared" ca="1" si="15"/>
        <v>9.8262480665437693</v>
      </c>
      <c r="L55" s="357">
        <f t="shared" ca="1" si="0"/>
        <v>9.9828747553067299</v>
      </c>
      <c r="M55" s="359">
        <f t="shared" ca="1" si="16"/>
        <v>1.3874830269226515</v>
      </c>
      <c r="N55" s="357">
        <f t="shared" ca="1" si="17"/>
        <v>79.496921588704296</v>
      </c>
      <c r="O55" s="343"/>
      <c r="P55" s="363">
        <f t="shared" ca="1" si="18"/>
        <v>5</v>
      </c>
      <c r="Q55" s="357">
        <f t="shared" ca="1" si="19"/>
        <v>1033.8333333333333</v>
      </c>
      <c r="R55" s="359">
        <f t="shared" ca="1" si="20"/>
        <v>0.51788046903984108</v>
      </c>
      <c r="S55" s="360">
        <f t="shared" ca="1" si="21"/>
        <v>11.348539881460297</v>
      </c>
      <c r="T55" s="357">
        <f t="shared" ca="1" si="1"/>
        <v>111.32917623712552</v>
      </c>
      <c r="U55" s="364">
        <f t="shared" ca="1" si="2"/>
        <v>0</v>
      </c>
      <c r="V55" s="359">
        <f t="shared" ca="1" si="3"/>
        <v>1.2237968757217292</v>
      </c>
      <c r="W55" s="357">
        <f t="shared" ca="1" si="4"/>
        <v>4.5802243212391627</v>
      </c>
      <c r="X55" s="343"/>
      <c r="Y55" s="367" t="str">
        <f t="shared" ca="1" si="22"/>
        <v/>
      </c>
      <c r="Z55" s="368" t="str">
        <f t="shared" ca="1" si="23"/>
        <v/>
      </c>
      <c r="AA55" s="369" t="str">
        <f t="shared" ca="1" si="24"/>
        <v/>
      </c>
      <c r="AB55" s="344"/>
      <c r="AC55" s="363" t="e">
        <f t="shared" ca="1" si="25"/>
        <v>#N/A</v>
      </c>
      <c r="AD55" s="376" t="e">
        <f t="shared" ca="1" si="26"/>
        <v>#N/A</v>
      </c>
      <c r="AE55" s="377">
        <f t="shared" ca="1" si="5"/>
        <v>9.8262480665437693</v>
      </c>
      <c r="AF55" s="344"/>
      <c r="AG55" s="359">
        <f t="shared" ca="1" si="27"/>
        <v>81.064258729769847</v>
      </c>
      <c r="AH55" s="357">
        <f t="shared" ca="1" si="28"/>
        <v>90.710676942042468</v>
      </c>
    </row>
    <row r="56" spans="1:34" x14ac:dyDescent="0.25">
      <c r="A56" s="402">
        <f t="shared" ca="1" si="6"/>
        <v>0.01</v>
      </c>
      <c r="B56" s="357">
        <f t="shared" ca="1" si="7"/>
        <v>0.52000000000000024</v>
      </c>
      <c r="C56" s="342"/>
      <c r="D56" s="359">
        <f t="shared" ca="1" si="8"/>
        <v>16.534787474468477</v>
      </c>
      <c r="E56" s="360">
        <f t="shared" ca="1" si="9"/>
        <v>79.376986759118807</v>
      </c>
      <c r="F56" s="357">
        <f t="shared" ca="1" si="10"/>
        <v>81.080856086891202</v>
      </c>
      <c r="G56" s="359">
        <f t="shared" ca="1" si="11"/>
        <v>7.5777303156637839</v>
      </c>
      <c r="H56" s="360">
        <f t="shared" ca="1" si="12"/>
        <v>40.77541799173968</v>
      </c>
      <c r="I56" s="357">
        <f t="shared" ca="1" si="13"/>
        <v>41.473566390389166</v>
      </c>
      <c r="J56" s="359">
        <f t="shared" ca="1" si="14"/>
        <v>1.8363810378253125</v>
      </c>
      <c r="K56" s="360">
        <f t="shared" ca="1" si="15"/>
        <v>10.23003339712321</v>
      </c>
      <c r="L56" s="357">
        <f t="shared" ca="1" si="0"/>
        <v>10.393549856634191</v>
      </c>
      <c r="M56" s="359">
        <f t="shared" ca="1" si="16"/>
        <v>1.3870518489547687</v>
      </c>
      <c r="N56" s="357">
        <f t="shared" ca="1" si="17"/>
        <v>79.472216910925596</v>
      </c>
      <c r="O56" s="343"/>
      <c r="P56" s="363">
        <f t="shared" ca="1" si="18"/>
        <v>5</v>
      </c>
      <c r="Q56" s="357">
        <f t="shared" ca="1" si="19"/>
        <v>1033.5</v>
      </c>
      <c r="R56" s="359">
        <f t="shared" ca="1" si="20"/>
        <v>0.51771349161954783</v>
      </c>
      <c r="S56" s="360">
        <f t="shared" ca="1" si="21"/>
        <v>11.343362746544102</v>
      </c>
      <c r="T56" s="357">
        <f t="shared" ca="1" si="1"/>
        <v>111.27838854359764</v>
      </c>
      <c r="U56" s="364">
        <f t="shared" ca="1" si="2"/>
        <v>0</v>
      </c>
      <c r="V56" s="359">
        <f t="shared" ca="1" si="3"/>
        <v>1.223747461584344</v>
      </c>
      <c r="W56" s="357">
        <f t="shared" ca="1" si="4"/>
        <v>4.7644655092703845</v>
      </c>
      <c r="X56" s="343"/>
      <c r="Y56" s="367" t="str">
        <f t="shared" ca="1" si="22"/>
        <v/>
      </c>
      <c r="Z56" s="368" t="str">
        <f t="shared" ca="1" si="23"/>
        <v/>
      </c>
      <c r="AA56" s="369" t="str">
        <f t="shared" ca="1" si="24"/>
        <v/>
      </c>
      <c r="AB56" s="344"/>
      <c r="AC56" s="363" t="e">
        <f t="shared" ca="1" si="25"/>
        <v>#N/A</v>
      </c>
      <c r="AD56" s="376" t="e">
        <f t="shared" ca="1" si="26"/>
        <v>#N/A</v>
      </c>
      <c r="AE56" s="377">
        <f t="shared" ca="1" si="5"/>
        <v>10.23003339712321</v>
      </c>
      <c r="AF56" s="344"/>
      <c r="AG56" s="359">
        <f t="shared" ca="1" si="27"/>
        <v>81.061133659621845</v>
      </c>
      <c r="AH56" s="357">
        <f t="shared" ca="1" si="28"/>
        <v>90.706768236979286</v>
      </c>
    </row>
    <row r="57" spans="1:34" x14ac:dyDescent="0.25">
      <c r="A57" s="402">
        <f t="shared" ca="1" si="6"/>
        <v>0.01</v>
      </c>
      <c r="B57" s="357">
        <f t="shared" ca="1" si="7"/>
        <v>0.53000000000000025</v>
      </c>
      <c r="C57" s="342"/>
      <c r="D57" s="359">
        <f t="shared" ca="1" si="8"/>
        <v>16.572465879766259</v>
      </c>
      <c r="E57" s="360">
        <f t="shared" ca="1" si="9"/>
        <v>79.365675994233328</v>
      </c>
      <c r="F57" s="357">
        <f t="shared" ca="1" si="10"/>
        <v>81.077476227110338</v>
      </c>
      <c r="G57" s="359">
        <f t="shared" ca="1" si="11"/>
        <v>7.7434549744614465</v>
      </c>
      <c r="H57" s="360">
        <f t="shared" ca="1" si="12"/>
        <v>41.56907475168201</v>
      </c>
      <c r="I57" s="357">
        <f t="shared" ca="1" si="13"/>
        <v>42.28414680057336</v>
      </c>
      <c r="J57" s="359">
        <f t="shared" ca="1" si="14"/>
        <v>1.9129869642759387</v>
      </c>
      <c r="K57" s="360">
        <f t="shared" ca="1" si="15"/>
        <v>10.641755860840318</v>
      </c>
      <c r="L57" s="357">
        <f t="shared" ca="1" si="0"/>
        <v>10.812330319002418</v>
      </c>
      <c r="M57" s="359">
        <f t="shared" ca="1" si="16"/>
        <v>1.3866279530598877</v>
      </c>
      <c r="N57" s="357">
        <f t="shared" ca="1" si="17"/>
        <v>79.447929465195998</v>
      </c>
      <c r="O57" s="343"/>
      <c r="P57" s="363">
        <f t="shared" ca="1" si="18"/>
        <v>5</v>
      </c>
      <c r="Q57" s="357">
        <f t="shared" ca="1" si="19"/>
        <v>1033.1666666666667</v>
      </c>
      <c r="R57" s="359">
        <f t="shared" ca="1" si="20"/>
        <v>0.51754651419925446</v>
      </c>
      <c r="S57" s="360">
        <f t="shared" ca="1" si="21"/>
        <v>11.33818728140211</v>
      </c>
      <c r="T57" s="357">
        <f t="shared" ca="1" si="1"/>
        <v>111.2276172305547</v>
      </c>
      <c r="U57" s="364">
        <f t="shared" ca="1" si="2"/>
        <v>0</v>
      </c>
      <c r="V57" s="359">
        <f t="shared" ca="1" si="3"/>
        <v>1.2236970781758449</v>
      </c>
      <c r="W57" s="357">
        <f t="shared" ca="1" si="4"/>
        <v>4.9523198337213206</v>
      </c>
      <c r="X57" s="343"/>
      <c r="Y57" s="367" t="str">
        <f t="shared" ca="1" si="22"/>
        <v/>
      </c>
      <c r="Z57" s="368" t="str">
        <f t="shared" ca="1" si="23"/>
        <v/>
      </c>
      <c r="AA57" s="369" t="str">
        <f t="shared" ca="1" si="24"/>
        <v/>
      </c>
      <c r="AB57" s="344"/>
      <c r="AC57" s="363" t="e">
        <f t="shared" ca="1" si="25"/>
        <v>#N/A</v>
      </c>
      <c r="AD57" s="376" t="e">
        <f t="shared" ca="1" si="26"/>
        <v>#N/A</v>
      </c>
      <c r="AE57" s="377">
        <f t="shared" ca="1" si="5"/>
        <v>10.641755860840318</v>
      </c>
      <c r="AF57" s="344"/>
      <c r="AG57" s="359">
        <f t="shared" ca="1" si="27"/>
        <v>81.057661121308428</v>
      </c>
      <c r="AH57" s="357">
        <f t="shared" ca="1" si="28"/>
        <v>90.702523748595326</v>
      </c>
    </row>
    <row r="58" spans="1:34" x14ac:dyDescent="0.25">
      <c r="A58" s="402">
        <f t="shared" ca="1" si="6"/>
        <v>0.01</v>
      </c>
      <c r="B58" s="357">
        <f t="shared" ca="1" si="7"/>
        <v>0.54000000000000026</v>
      </c>
      <c r="C58" s="342"/>
      <c r="D58" s="359">
        <f t="shared" ca="1" si="8"/>
        <v>16.609426762179975</v>
      </c>
      <c r="E58" s="360">
        <f t="shared" ca="1" si="9"/>
        <v>79.354139900957662</v>
      </c>
      <c r="F58" s="357">
        <f t="shared" ca="1" si="10"/>
        <v>81.073747765777924</v>
      </c>
      <c r="G58" s="359">
        <f t="shared" ca="1" si="11"/>
        <v>7.9095492420832461</v>
      </c>
      <c r="H58" s="360">
        <f t="shared" ca="1" si="12"/>
        <v>42.362616150691586</v>
      </c>
      <c r="I58" s="357">
        <f t="shared" ca="1" si="13"/>
        <v>43.094688957501191</v>
      </c>
      <c r="J58" s="359">
        <f t="shared" ca="1" si="14"/>
        <v>1.9912519853586621</v>
      </c>
      <c r="K58" s="360">
        <f t="shared" ca="1" si="15"/>
        <v>11.061414315352186</v>
      </c>
      <c r="L58" s="357">
        <f t="shared" ca="1" si="0"/>
        <v>11.239215770020303</v>
      </c>
      <c r="M58" s="359">
        <f t="shared" ca="1" si="16"/>
        <v>1.3862110813007316</v>
      </c>
      <c r="N58" s="357">
        <f t="shared" ca="1" si="17"/>
        <v>79.424044472798144</v>
      </c>
      <c r="O58" s="343"/>
      <c r="P58" s="363">
        <f t="shared" ca="1" si="18"/>
        <v>5</v>
      </c>
      <c r="Q58" s="357">
        <f t="shared" ca="1" si="19"/>
        <v>1032.8333333333333</v>
      </c>
      <c r="R58" s="359">
        <f t="shared" ca="1" si="20"/>
        <v>0.51737953677896098</v>
      </c>
      <c r="S58" s="360">
        <f t="shared" ca="1" si="21"/>
        <v>11.33301348603432</v>
      </c>
      <c r="T58" s="357">
        <f t="shared" ca="1" si="1"/>
        <v>111.17686229799668</v>
      </c>
      <c r="U58" s="364">
        <f t="shared" ca="1" si="2"/>
        <v>0</v>
      </c>
      <c r="V58" s="359">
        <f t="shared" ca="1" si="3"/>
        <v>1.2236457257557953</v>
      </c>
      <c r="W58" s="357">
        <f t="shared" ca="1" si="4"/>
        <v>5.1437851029507726</v>
      </c>
      <c r="X58" s="343"/>
      <c r="Y58" s="367" t="str">
        <f t="shared" ca="1" si="22"/>
        <v/>
      </c>
      <c r="Z58" s="368" t="str">
        <f t="shared" ca="1" si="23"/>
        <v/>
      </c>
      <c r="AA58" s="369" t="str">
        <f t="shared" ca="1" si="24"/>
        <v/>
      </c>
      <c r="AB58" s="344"/>
      <c r="AC58" s="363" t="e">
        <f t="shared" ca="1" si="25"/>
        <v>#N/A</v>
      </c>
      <c r="AD58" s="376" t="e">
        <f t="shared" ca="1" si="26"/>
        <v>#N/A</v>
      </c>
      <c r="AE58" s="377">
        <f t="shared" ca="1" si="5"/>
        <v>11.061414315352186</v>
      </c>
      <c r="AF58" s="344"/>
      <c r="AG58" s="359">
        <f t="shared" ca="1" si="27"/>
        <v>81.053841238589769</v>
      </c>
      <c r="AH58" s="357">
        <f t="shared" ca="1" si="28"/>
        <v>90.697943205156378</v>
      </c>
    </row>
    <row r="59" spans="1:34" x14ac:dyDescent="0.25">
      <c r="A59" s="402">
        <f t="shared" ca="1" si="6"/>
        <v>0.01</v>
      </c>
      <c r="B59" s="357">
        <f t="shared" ca="1" si="7"/>
        <v>0.55000000000000027</v>
      </c>
      <c r="C59" s="342"/>
      <c r="D59" s="359">
        <f t="shared" ca="1" si="8"/>
        <v>16.645692894329752</v>
      </c>
      <c r="E59" s="360">
        <f t="shared" ca="1" si="9"/>
        <v>79.342374814605677</v>
      </c>
      <c r="F59" s="357">
        <f t="shared" ca="1" si="10"/>
        <v>81.06967085879721</v>
      </c>
      <c r="G59" s="359">
        <f t="shared" ca="1" si="11"/>
        <v>8.0760061710265436</v>
      </c>
      <c r="H59" s="360">
        <f t="shared" ca="1" si="12"/>
        <v>43.156039898837641</v>
      </c>
      <c r="I59" s="357">
        <f t="shared" ca="1" si="13"/>
        <v>43.905189390600803</v>
      </c>
      <c r="J59" s="359">
        <f t="shared" ca="1" si="14"/>
        <v>2.0711797624242112</v>
      </c>
      <c r="K59" s="360">
        <f t="shared" ca="1" si="15"/>
        <v>11.489007595599832</v>
      </c>
      <c r="L59" s="357">
        <f t="shared" ca="1" si="0"/>
        <v>11.674205803395203</v>
      </c>
      <c r="M59" s="359">
        <f t="shared" ca="1" si="16"/>
        <v>1.3858009894413041</v>
      </c>
      <c r="N59" s="357">
        <f t="shared" ca="1" si="17"/>
        <v>79.400547940040283</v>
      </c>
      <c r="O59" s="343"/>
      <c r="P59" s="363">
        <f t="shared" ca="1" si="18"/>
        <v>5</v>
      </c>
      <c r="Q59" s="357">
        <f t="shared" ca="1" si="19"/>
        <v>1032.5</v>
      </c>
      <c r="R59" s="359">
        <f t="shared" ca="1" si="20"/>
        <v>0.51721255935866772</v>
      </c>
      <c r="S59" s="360">
        <f t="shared" ca="1" si="21"/>
        <v>11.327841360440733</v>
      </c>
      <c r="T59" s="357">
        <f t="shared" ca="1" si="1"/>
        <v>111.12612374592359</v>
      </c>
      <c r="U59" s="364">
        <f t="shared" ca="1" si="2"/>
        <v>0</v>
      </c>
      <c r="V59" s="359">
        <f t="shared" ca="1" si="3"/>
        <v>1.2235934045888075</v>
      </c>
      <c r="W59" s="357">
        <f t="shared" ca="1" si="4"/>
        <v>5.3388590463875811</v>
      </c>
      <c r="X59" s="343"/>
      <c r="Y59" s="367" t="str">
        <f t="shared" ca="1" si="22"/>
        <v/>
      </c>
      <c r="Z59" s="368" t="str">
        <f t="shared" ca="1" si="23"/>
        <v/>
      </c>
      <c r="AA59" s="369" t="str">
        <f t="shared" ca="1" si="24"/>
        <v/>
      </c>
      <c r="AB59" s="344"/>
      <c r="AC59" s="363" t="e">
        <f t="shared" ca="1" si="25"/>
        <v>#N/A</v>
      </c>
      <c r="AD59" s="376" t="e">
        <f t="shared" ca="1" si="26"/>
        <v>#N/A</v>
      </c>
      <c r="AE59" s="377">
        <f t="shared" ca="1" si="5"/>
        <v>11.489007595599832</v>
      </c>
      <c r="AF59" s="344"/>
      <c r="AG59" s="359">
        <f t="shared" ca="1" si="27"/>
        <v>81.049674121473558</v>
      </c>
      <c r="AH59" s="357">
        <f t="shared" ca="1" si="28"/>
        <v>90.693026341699934</v>
      </c>
    </row>
    <row r="60" spans="1:34" x14ac:dyDescent="0.25">
      <c r="A60" s="402">
        <f t="shared" ca="1" si="6"/>
        <v>0.01</v>
      </c>
      <c r="B60" s="357">
        <f t="shared" ca="1" si="7"/>
        <v>0.56000000000000028</v>
      </c>
      <c r="C60" s="342"/>
      <c r="D60" s="359">
        <f t="shared" ca="1" si="8"/>
        <v>16.681285828463587</v>
      </c>
      <c r="E60" s="360">
        <f t="shared" ca="1" si="9"/>
        <v>79.330377252285246</v>
      </c>
      <c r="F60" s="357">
        <f t="shared" ca="1" si="10"/>
        <v>81.065245647446204</v>
      </c>
      <c r="G60" s="359">
        <f t="shared" ca="1" si="11"/>
        <v>8.24281902931118</v>
      </c>
      <c r="H60" s="360">
        <f t="shared" ca="1" si="12"/>
        <v>43.949343671360495</v>
      </c>
      <c r="I60" s="357">
        <f t="shared" ca="1" si="13"/>
        <v>44.715644630188763</v>
      </c>
      <c r="J60" s="359">
        <f t="shared" ca="1" si="14"/>
        <v>2.1527738884258998</v>
      </c>
      <c r="K60" s="360">
        <f t="shared" ca="1" si="15"/>
        <v>11.924534513450823</v>
      </c>
      <c r="L60" s="357">
        <f t="shared" ca="1" si="0"/>
        <v>12.11729997883886</v>
      </c>
      <c r="M60" s="359">
        <f t="shared" ca="1" si="16"/>
        <v>1.3853974459840346</v>
      </c>
      <c r="N60" s="357">
        <f t="shared" ca="1" si="17"/>
        <v>79.377426603088622</v>
      </c>
      <c r="O60" s="343"/>
      <c r="P60" s="363">
        <f t="shared" ca="1" si="18"/>
        <v>5</v>
      </c>
      <c r="Q60" s="357">
        <f t="shared" ca="1" si="19"/>
        <v>1032.1666666666667</v>
      </c>
      <c r="R60" s="359">
        <f t="shared" ca="1" si="20"/>
        <v>0.51704558193837435</v>
      </c>
      <c r="S60" s="360">
        <f t="shared" ca="1" si="21"/>
        <v>11.322670904621349</v>
      </c>
      <c r="T60" s="357">
        <f t="shared" ca="1" si="1"/>
        <v>111.07540157433544</v>
      </c>
      <c r="U60" s="364">
        <f t="shared" ca="1" si="2"/>
        <v>0</v>
      </c>
      <c r="V60" s="359">
        <f t="shared" ca="1" si="3"/>
        <v>1.2235401149445888</v>
      </c>
      <c r="W60" s="357">
        <f t="shared" ca="1" si="4"/>
        <v>5.5375393145677725</v>
      </c>
      <c r="X60" s="343"/>
      <c r="Y60" s="367" t="str">
        <f t="shared" ca="1" si="22"/>
        <v/>
      </c>
      <c r="Z60" s="368" t="str">
        <f t="shared" ca="1" si="23"/>
        <v/>
      </c>
      <c r="AA60" s="369" t="str">
        <f t="shared" ca="1" si="24"/>
        <v/>
      </c>
      <c r="AB60" s="344"/>
      <c r="AC60" s="363" t="e">
        <f t="shared" ca="1" si="25"/>
        <v>#N/A</v>
      </c>
      <c r="AD60" s="376" t="e">
        <f t="shared" ca="1" si="26"/>
        <v>#N/A</v>
      </c>
      <c r="AE60" s="377">
        <f t="shared" ca="1" si="5"/>
        <v>11.924534513450823</v>
      </c>
      <c r="AF60" s="344"/>
      <c r="AG60" s="359">
        <f t="shared" ca="1" si="27"/>
        <v>81.045159867652302</v>
      </c>
      <c r="AH60" s="357">
        <f t="shared" ca="1" si="28"/>
        <v>90.687772900047747</v>
      </c>
    </row>
    <row r="61" spans="1:34" x14ac:dyDescent="0.25">
      <c r="A61" s="402">
        <f t="shared" ca="1" si="6"/>
        <v>0.01</v>
      </c>
      <c r="B61" s="357">
        <f t="shared" ca="1" si="7"/>
        <v>0.57000000000000028</v>
      </c>
      <c r="C61" s="342"/>
      <c r="D61" s="359">
        <f t="shared" ca="1" si="8"/>
        <v>16.716225982520115</v>
      </c>
      <c r="E61" s="360">
        <f t="shared" ca="1" si="9"/>
        <v>79.318143900945955</v>
      </c>
      <c r="F61" s="357">
        <f t="shared" ca="1" si="10"/>
        <v>81.060472259849632</v>
      </c>
      <c r="G61" s="359">
        <f t="shared" ca="1" si="11"/>
        <v>8.4099812891363808</v>
      </c>
      <c r="H61" s="360">
        <f t="shared" ca="1" si="12"/>
        <v>44.742525110369954</v>
      </c>
      <c r="I61" s="357">
        <f t="shared" ca="1" si="13"/>
        <v>45.526051207365988</v>
      </c>
      <c r="J61" s="359">
        <f t="shared" ca="1" si="14"/>
        <v>2.2360378900181375</v>
      </c>
      <c r="K61" s="360">
        <f t="shared" ca="1" si="15"/>
        <v>12.367993857359474</v>
      </c>
      <c r="L61" s="357">
        <f t="shared" ca="1" si="0"/>
        <v>12.568497821986462</v>
      </c>
      <c r="M61" s="359">
        <f t="shared" ca="1" si="16"/>
        <v>1.3850002312905134</v>
      </c>
      <c r="N61" s="357">
        <f t="shared" ca="1" si="17"/>
        <v>79.354667877589279</v>
      </c>
      <c r="O61" s="343"/>
      <c r="P61" s="363">
        <f t="shared" ca="1" si="18"/>
        <v>5</v>
      </c>
      <c r="Q61" s="357">
        <f t="shared" ca="1" si="19"/>
        <v>1031.8333333333333</v>
      </c>
      <c r="R61" s="359">
        <f t="shared" ca="1" si="20"/>
        <v>0.51687860451808099</v>
      </c>
      <c r="S61" s="360">
        <f t="shared" ca="1" si="21"/>
        <v>11.317502118576169</v>
      </c>
      <c r="T61" s="357">
        <f t="shared" ca="1" si="1"/>
        <v>111.02469578323222</v>
      </c>
      <c r="U61" s="364">
        <f t="shared" ca="1" si="2"/>
        <v>0</v>
      </c>
      <c r="V61" s="359">
        <f t="shared" ca="1" si="3"/>
        <v>1.2234858570979792</v>
      </c>
      <c r="W61" s="357">
        <f t="shared" ca="1" si="4"/>
        <v>5.7398234791733733</v>
      </c>
      <c r="X61" s="343"/>
      <c r="Y61" s="367" t="str">
        <f t="shared" ca="1" si="22"/>
        <v/>
      </c>
      <c r="Z61" s="368" t="str">
        <f t="shared" ca="1" si="23"/>
        <v/>
      </c>
      <c r="AA61" s="369" t="str">
        <f t="shared" ca="1" si="24"/>
        <v/>
      </c>
      <c r="AB61" s="344"/>
      <c r="AC61" s="363" t="e">
        <f t="shared" ca="1" si="25"/>
        <v>#N/A</v>
      </c>
      <c r="AD61" s="376" t="e">
        <f t="shared" ca="1" si="26"/>
        <v>#N/A</v>
      </c>
      <c r="AE61" s="377">
        <f t="shared" ca="1" si="5"/>
        <v>12.367993857359474</v>
      </c>
      <c r="AF61" s="344"/>
      <c r="AG61" s="359">
        <f t="shared" ca="1" si="27"/>
        <v>81.040298563817998</v>
      </c>
      <c r="AH61" s="357">
        <f t="shared" ca="1" si="28"/>
        <v>90.682182628818595</v>
      </c>
    </row>
    <row r="62" spans="1:34" x14ac:dyDescent="0.25">
      <c r="A62" s="402">
        <f t="shared" ca="1" si="6"/>
        <v>0.01</v>
      </c>
      <c r="B62" s="357">
        <f t="shared" ca="1" si="7"/>
        <v>0.58000000000000029</v>
      </c>
      <c r="C62" s="342"/>
      <c r="D62" s="359">
        <f t="shared" ca="1" si="8"/>
        <v>16.750532718710847</v>
      </c>
      <c r="E62" s="360">
        <f t="shared" ca="1" si="9"/>
        <v>79.305671606441351</v>
      </c>
      <c r="F62" s="357">
        <f t="shared" ca="1" si="10"/>
        <v>81.055350812326509</v>
      </c>
      <c r="G62" s="359">
        <f t="shared" ca="1" si="11"/>
        <v>8.5774866163234886</v>
      </c>
      <c r="H62" s="360">
        <f t="shared" ca="1" si="12"/>
        <v>45.535581826434367</v>
      </c>
      <c r="I62" s="357">
        <f t="shared" ca="1" si="13"/>
        <v>46.336405653925169</v>
      </c>
      <c r="J62" s="359">
        <f t="shared" ca="1" si="14"/>
        <v>2.3209752295454367</v>
      </c>
      <c r="K62" s="360">
        <f t="shared" ca="1" si="15"/>
        <v>12.819384392043496</v>
      </c>
      <c r="L62" s="357">
        <f t="shared" ca="1" si="0"/>
        <v>13.027798824326844</v>
      </c>
      <c r="M62" s="359">
        <f t="shared" ca="1" si="16"/>
        <v>1.384609136777228</v>
      </c>
      <c r="N62" s="357">
        <f t="shared" ca="1" si="17"/>
        <v>79.332259812587296</v>
      </c>
      <c r="O62" s="343"/>
      <c r="P62" s="363">
        <f t="shared" ca="1" si="18"/>
        <v>5</v>
      </c>
      <c r="Q62" s="357">
        <f t="shared" ca="1" si="19"/>
        <v>1031.5</v>
      </c>
      <c r="R62" s="359">
        <f t="shared" ca="1" si="20"/>
        <v>0.51671162709778762</v>
      </c>
      <c r="S62" s="360">
        <f t="shared" ca="1" si="21"/>
        <v>11.312335002305192</v>
      </c>
      <c r="T62" s="357">
        <f t="shared" ca="1" si="1"/>
        <v>110.97400637261394</v>
      </c>
      <c r="U62" s="364">
        <f t="shared" ca="1" si="2"/>
        <v>0</v>
      </c>
      <c r="V62" s="359">
        <f t="shared" ca="1" si="3"/>
        <v>1.2234306313289873</v>
      </c>
      <c r="W62" s="357">
        <f t="shared" ca="1" si="4"/>
        <v>5.9457090330730216</v>
      </c>
      <c r="X62" s="343"/>
      <c r="Y62" s="367" t="str">
        <f t="shared" ca="1" si="22"/>
        <v/>
      </c>
      <c r="Z62" s="368" t="str">
        <f t="shared" ca="1" si="23"/>
        <v/>
      </c>
      <c r="AA62" s="369" t="str">
        <f t="shared" ca="1" si="24"/>
        <v/>
      </c>
      <c r="AB62" s="344"/>
      <c r="AC62" s="363" t="e">
        <f t="shared" ca="1" si="25"/>
        <v>#N/A</v>
      </c>
      <c r="AD62" s="376" t="e">
        <f t="shared" ca="1" si="26"/>
        <v>#N/A</v>
      </c>
      <c r="AE62" s="377">
        <f t="shared" ca="1" si="5"/>
        <v>12.819384392043496</v>
      </c>
      <c r="AF62" s="344"/>
      <c r="AG62" s="359">
        <f t="shared" ca="1" si="27"/>
        <v>81.035090286865838</v>
      </c>
      <c r="AH62" s="357">
        <f t="shared" ca="1" si="28"/>
        <v>90.676255283440653</v>
      </c>
    </row>
    <row r="63" spans="1:34" x14ac:dyDescent="0.25">
      <c r="A63" s="402">
        <f t="shared" ca="1" si="6"/>
        <v>0.01</v>
      </c>
      <c r="B63" s="357">
        <f t="shared" ca="1" si="7"/>
        <v>0.5900000000000003</v>
      </c>
      <c r="C63" s="342"/>
      <c r="D63" s="359">
        <f t="shared" ca="1" si="8"/>
        <v>16.784224415391506</v>
      </c>
      <c r="E63" s="360">
        <f t="shared" ca="1" si="9"/>
        <v>79.292957363503973</v>
      </c>
      <c r="F63" s="357">
        <f t="shared" ca="1" si="10"/>
        <v>81.049881410626895</v>
      </c>
      <c r="G63" s="359">
        <f t="shared" ca="1" si="11"/>
        <v>8.7453288604774038</v>
      </c>
      <c r="H63" s="360">
        <f t="shared" ca="1" si="12"/>
        <v>46.328511400069409</v>
      </c>
      <c r="I63" s="357">
        <f t="shared" ca="1" si="13"/>
        <v>47.146704502268882</v>
      </c>
      <c r="J63" s="359">
        <f t="shared" ca="1" si="14"/>
        <v>2.4075893069294412</v>
      </c>
      <c r="K63" s="360">
        <f t="shared" ca="1" si="15"/>
        <v>13.278704858176015</v>
      </c>
      <c r="L63" s="357">
        <f t="shared" ca="1" si="0"/>
        <v>13.495202443142093</v>
      </c>
      <c r="M63" s="359">
        <f t="shared" ca="1" si="16"/>
        <v>1.3842239641787226</v>
      </c>
      <c r="N63" s="357">
        <f t="shared" ca="1" si="17"/>
        <v>79.310191048308852</v>
      </c>
      <c r="O63" s="343"/>
      <c r="P63" s="363">
        <f t="shared" ca="1" si="18"/>
        <v>5</v>
      </c>
      <c r="Q63" s="357">
        <f t="shared" ca="1" si="19"/>
        <v>1031.1666666666667</v>
      </c>
      <c r="R63" s="359">
        <f t="shared" ca="1" si="20"/>
        <v>0.51654464967749436</v>
      </c>
      <c r="S63" s="360">
        <f t="shared" ca="1" si="21"/>
        <v>11.307169555808416</v>
      </c>
      <c r="T63" s="357">
        <f t="shared" ca="1" si="1"/>
        <v>110.92333334248057</v>
      </c>
      <c r="U63" s="364">
        <f t="shared" ca="1" si="2"/>
        <v>0</v>
      </c>
      <c r="V63" s="359">
        <f t="shared" ca="1" si="3"/>
        <v>1.2233744379228257</v>
      </c>
      <c r="W63" s="357">
        <f t="shared" ca="1" si="4"/>
        <v>6.1551933903645333</v>
      </c>
      <c r="X63" s="343"/>
      <c r="Y63" s="367" t="str">
        <f t="shared" ca="1" si="22"/>
        <v/>
      </c>
      <c r="Z63" s="368" t="str">
        <f t="shared" ca="1" si="23"/>
        <v/>
      </c>
      <c r="AA63" s="369" t="str">
        <f t="shared" ca="1" si="24"/>
        <v/>
      </c>
      <c r="AB63" s="344"/>
      <c r="AC63" s="363" t="e">
        <f t="shared" ca="1" si="25"/>
        <v>#N/A</v>
      </c>
      <c r="AD63" s="376" t="e">
        <f t="shared" ca="1" si="26"/>
        <v>#N/A</v>
      </c>
      <c r="AE63" s="377">
        <f t="shared" ca="1" si="5"/>
        <v>13.278704858176015</v>
      </c>
      <c r="AF63" s="344"/>
      <c r="AG63" s="359">
        <f t="shared" ca="1" si="27"/>
        <v>81.029535104998857</v>
      </c>
      <c r="AH63" s="357">
        <f t="shared" ca="1" si="28"/>
        <v>90.669990626163795</v>
      </c>
    </row>
    <row r="64" spans="1:34" x14ac:dyDescent="0.25">
      <c r="A64" s="402">
        <f t="shared" ca="1" si="6"/>
        <v>0.01</v>
      </c>
      <c r="B64" s="357">
        <f t="shared" ca="1" si="7"/>
        <v>0.60000000000000031</v>
      </c>
      <c r="C64" s="342"/>
      <c r="D64" s="359">
        <f t="shared" ca="1" si="8"/>
        <v>16.817318532900689</v>
      </c>
      <c r="E64" s="360">
        <f t="shared" ca="1" si="9"/>
        <v>79.279998306542453</v>
      </c>
      <c r="F64" s="357">
        <f t="shared" ca="1" si="10"/>
        <v>81.044064151067971</v>
      </c>
      <c r="G64" s="359">
        <f t="shared" ca="1" si="11"/>
        <v>8.9135020458064105</v>
      </c>
      <c r="H64" s="360">
        <f t="shared" ca="1" si="12"/>
        <v>47.121311383134831</v>
      </c>
      <c r="I64" s="357">
        <f t="shared" ca="1" si="13"/>
        <v>47.956944285337315</v>
      </c>
      <c r="J64" s="359">
        <f t="shared" ca="1" si="14"/>
        <v>2.4958834614608603</v>
      </c>
      <c r="K64" s="360">
        <f t="shared" ca="1" si="15"/>
        <v>13.745953972092035</v>
      </c>
      <c r="L64" s="357">
        <f t="shared" ca="1" si="0"/>
        <v>13.970708101455227</v>
      </c>
      <c r="M64" s="359">
        <f t="shared" ca="1" si="16"/>
        <v>1.3838445248714863</v>
      </c>
      <c r="N64" s="357">
        <f t="shared" ca="1" si="17"/>
        <v>79.288450777422852</v>
      </c>
      <c r="O64" s="343"/>
      <c r="P64" s="363">
        <f t="shared" ca="1" si="18"/>
        <v>5</v>
      </c>
      <c r="Q64" s="357">
        <f t="shared" ca="1" si="19"/>
        <v>1030.8333333333333</v>
      </c>
      <c r="R64" s="359">
        <f t="shared" ca="1" si="20"/>
        <v>0.51637767225720088</v>
      </c>
      <c r="S64" s="360">
        <f t="shared" ca="1" si="21"/>
        <v>11.302005779085844</v>
      </c>
      <c r="T64" s="357">
        <f t="shared" ca="1" si="1"/>
        <v>110.87267669283213</v>
      </c>
      <c r="U64" s="364">
        <f t="shared" ca="1" si="2"/>
        <v>0</v>
      </c>
      <c r="V64" s="359">
        <f t="shared" ca="1" si="3"/>
        <v>1.2233172771699474</v>
      </c>
      <c r="W64" s="357">
        <f t="shared" ca="1" si="4"/>
        <v>6.3682738864194732</v>
      </c>
      <c r="X64" s="343"/>
      <c r="Y64" s="367" t="str">
        <f t="shared" ca="1" si="22"/>
        <v/>
      </c>
      <c r="Z64" s="368" t="str">
        <f t="shared" ca="1" si="23"/>
        <v/>
      </c>
      <c r="AA64" s="369" t="str">
        <f t="shared" ca="1" si="24"/>
        <v/>
      </c>
      <c r="AB64" s="344"/>
      <c r="AC64" s="363" t="e">
        <f t="shared" ca="1" si="25"/>
        <v>#N/A</v>
      </c>
      <c r="AD64" s="376" t="e">
        <f t="shared" ca="1" si="26"/>
        <v>#N/A</v>
      </c>
      <c r="AE64" s="377">
        <f t="shared" ca="1" si="5"/>
        <v>13.745953972092035</v>
      </c>
      <c r="AF64" s="344"/>
      <c r="AG64" s="359">
        <f t="shared" ca="1" si="27"/>
        <v>81.023633078742989</v>
      </c>
      <c r="AH64" s="357">
        <f t="shared" ca="1" si="28"/>
        <v>90.663388426071862</v>
      </c>
    </row>
    <row r="65" spans="1:34" x14ac:dyDescent="0.25">
      <c r="A65" s="402">
        <f t="shared" ca="1" si="6"/>
        <v>0.01</v>
      </c>
      <c r="B65" s="357">
        <f t="shared" ca="1" si="7"/>
        <v>0.61000000000000032</v>
      </c>
      <c r="C65" s="342"/>
      <c r="D65" s="359">
        <f t="shared" ca="1" si="8"/>
        <v>16.849831673965674</v>
      </c>
      <c r="E65" s="360">
        <f t="shared" ca="1" si="9"/>
        <v>79.266791701180537</v>
      </c>
      <c r="F65" s="357">
        <f t="shared" ca="1" si="10"/>
        <v>81.037899121579656</v>
      </c>
      <c r="G65" s="359">
        <f t="shared" ca="1" si="11"/>
        <v>9.0820003625460668</v>
      </c>
      <c r="H65" s="360">
        <f t="shared" ca="1" si="12"/>
        <v>47.913979300146636</v>
      </c>
      <c r="I65" s="357">
        <f t="shared" ca="1" si="13"/>
        <v>48.767121536545162</v>
      </c>
      <c r="J65" s="359">
        <f t="shared" ca="1" si="14"/>
        <v>2.5858609735026228</v>
      </c>
      <c r="K65" s="360">
        <f t="shared" ca="1" si="15"/>
        <v>14.221130425508443</v>
      </c>
      <c r="L65" s="357">
        <f t="shared" ca="1" si="0"/>
        <v>14.454315187984724</v>
      </c>
      <c r="M65" s="359">
        <f t="shared" ca="1" si="16"/>
        <v>1.3834706392526399</v>
      </c>
      <c r="N65" s="357">
        <f t="shared" ca="1" si="17"/>
        <v>79.267028709442314</v>
      </c>
      <c r="O65" s="343"/>
      <c r="P65" s="363">
        <f t="shared" ca="1" si="18"/>
        <v>5</v>
      </c>
      <c r="Q65" s="357">
        <f t="shared" ca="1" si="19"/>
        <v>1030.5</v>
      </c>
      <c r="R65" s="359">
        <f t="shared" ca="1" si="20"/>
        <v>0.51621069483690762</v>
      </c>
      <c r="S65" s="360">
        <f t="shared" ca="1" si="21"/>
        <v>11.296843672137475</v>
      </c>
      <c r="T65" s="357">
        <f t="shared" ca="1" si="1"/>
        <v>110.82203642366864</v>
      </c>
      <c r="U65" s="364">
        <f t="shared" ca="1" si="2"/>
        <v>0</v>
      </c>
      <c r="V65" s="359">
        <f t="shared" ca="1" si="3"/>
        <v>1.2232591493660714</v>
      </c>
      <c r="W65" s="357">
        <f t="shared" ca="1" si="4"/>
        <v>6.5849477779298731</v>
      </c>
      <c r="X65" s="343"/>
      <c r="Y65" s="367" t="str">
        <f t="shared" ca="1" si="22"/>
        <v/>
      </c>
      <c r="Z65" s="368" t="str">
        <f t="shared" ca="1" si="23"/>
        <v/>
      </c>
      <c r="AA65" s="369" t="str">
        <f t="shared" ca="1" si="24"/>
        <v/>
      </c>
      <c r="AB65" s="344"/>
      <c r="AC65" s="363" t="e">
        <f t="shared" ca="1" si="25"/>
        <v>#N/A</v>
      </c>
      <c r="AD65" s="376" t="e">
        <f t="shared" ca="1" si="26"/>
        <v>#N/A</v>
      </c>
      <c r="AE65" s="377">
        <f t="shared" ca="1" si="5"/>
        <v>14.221130425508443</v>
      </c>
      <c r="AF65" s="344"/>
      <c r="AG65" s="359">
        <f t="shared" ca="1" si="27"/>
        <v>81.017384261881247</v>
      </c>
      <c r="AH65" s="357">
        <f t="shared" ca="1" si="28"/>
        <v>90.656448459094648</v>
      </c>
    </row>
    <row r="66" spans="1:34" x14ac:dyDescent="0.25">
      <c r="A66" s="402">
        <f t="shared" ca="1" si="6"/>
        <v>0.01</v>
      </c>
      <c r="B66" s="357">
        <f t="shared" ca="1" si="7"/>
        <v>0.62000000000000033</v>
      </c>
      <c r="C66" s="342"/>
      <c r="D66" s="359">
        <f t="shared" ca="1" si="8"/>
        <v>16.881779639206062</v>
      </c>
      <c r="E66" s="360">
        <f t="shared" ca="1" si="9"/>
        <v>79.253334936467098</v>
      </c>
      <c r="F66" s="357">
        <f t="shared" ca="1" si="10"/>
        <v>81.031386402668375</v>
      </c>
      <c r="G66" s="359">
        <f t="shared" ca="1" si="11"/>
        <v>9.2508181589381273</v>
      </c>
      <c r="H66" s="360">
        <f t="shared" ca="1" si="12"/>
        <v>48.706512649511303</v>
      </c>
      <c r="I66" s="357">
        <f t="shared" ca="1" si="13"/>
        <v>49.577232789726615</v>
      </c>
      <c r="J66" s="359">
        <f t="shared" ca="1" si="14"/>
        <v>2.6775250661100438</v>
      </c>
      <c r="K66" s="360">
        <f t="shared" ca="1" si="15"/>
        <v>14.704232885256733</v>
      </c>
      <c r="L66" s="357">
        <f t="shared" ca="1" si="0"/>
        <v>14.946023057104961</v>
      </c>
      <c r="M66" s="359">
        <f t="shared" ca="1" si="16"/>
        <v>1.3831021361681541</v>
      </c>
      <c r="N66" s="357">
        <f t="shared" ca="1" si="17"/>
        <v>79.245915037963726</v>
      </c>
      <c r="O66" s="343"/>
      <c r="P66" s="363">
        <f t="shared" ca="1" si="18"/>
        <v>5</v>
      </c>
      <c r="Q66" s="357">
        <f t="shared" ca="1" si="19"/>
        <v>1030.1666666666667</v>
      </c>
      <c r="R66" s="359">
        <f t="shared" ca="1" si="20"/>
        <v>0.51604371741661426</v>
      </c>
      <c r="S66" s="360">
        <f t="shared" ca="1" si="21"/>
        <v>11.29168323496331</v>
      </c>
      <c r="T66" s="357">
        <f t="shared" ca="1" si="1"/>
        <v>110.77141253499008</v>
      </c>
      <c r="U66" s="364">
        <f t="shared" ca="1" si="2"/>
        <v>0</v>
      </c>
      <c r="V66" s="359">
        <f t="shared" ca="1" si="3"/>
        <v>1.2232000548122171</v>
      </c>
      <c r="W66" s="357">
        <f t="shared" ca="1" si="4"/>
        <v>6.805212242957154</v>
      </c>
      <c r="X66" s="343"/>
      <c r="Y66" s="367" t="str">
        <f t="shared" ca="1" si="22"/>
        <v/>
      </c>
      <c r="Z66" s="368" t="str">
        <f t="shared" ca="1" si="23"/>
        <v/>
      </c>
      <c r="AA66" s="369" t="str">
        <f t="shared" ca="1" si="24"/>
        <v/>
      </c>
      <c r="AB66" s="344"/>
      <c r="AC66" s="363" t="e">
        <f t="shared" ca="1" si="25"/>
        <v>#N/A</v>
      </c>
      <c r="AD66" s="376" t="e">
        <f t="shared" ca="1" si="26"/>
        <v>#N/A</v>
      </c>
      <c r="AE66" s="377">
        <f t="shared" ca="1" si="5"/>
        <v>14.704232885256733</v>
      </c>
      <c r="AF66" s="344"/>
      <c r="AG66" s="359">
        <f t="shared" ca="1" si="27"/>
        <v>81.010788702314784</v>
      </c>
      <c r="AH66" s="357">
        <f t="shared" ca="1" si="28"/>
        <v>90.649170508019722</v>
      </c>
    </row>
    <row r="67" spans="1:34" x14ac:dyDescent="0.25">
      <c r="A67" s="402">
        <f t="shared" ca="1" si="6"/>
        <v>0.01</v>
      </c>
      <c r="B67" s="357">
        <f t="shared" ca="1" si="7"/>
        <v>0.63000000000000034</v>
      </c>
      <c r="C67" s="342"/>
      <c r="D67" s="359">
        <f t="shared" ca="1" si="8"/>
        <v>16.913177478207015</v>
      </c>
      <c r="E67" s="360">
        <f t="shared" ca="1" si="9"/>
        <v>79.239625517693582</v>
      </c>
      <c r="F67" s="357">
        <f t="shared" ca="1" si="10"/>
        <v>81.024526068306287</v>
      </c>
      <c r="G67" s="359">
        <f t="shared" ca="1" si="11"/>
        <v>9.4199499337201971</v>
      </c>
      <c r="H67" s="360">
        <f t="shared" ca="1" si="12"/>
        <v>49.498908904688243</v>
      </c>
      <c r="I67" s="357">
        <f t="shared" ca="1" si="13"/>
        <v>50.387274579088121</v>
      </c>
      <c r="J67" s="359">
        <f t="shared" ca="1" si="14"/>
        <v>2.7708789065733352</v>
      </c>
      <c r="K67" s="360">
        <f t="shared" ca="1" si="15"/>
        <v>15.195259993027731</v>
      </c>
      <c r="L67" s="357">
        <f t="shared" ca="1" si="0"/>
        <v>15.445831028811696</v>
      </c>
      <c r="M67" s="359">
        <f t="shared" ca="1" si="16"/>
        <v>1.3827388523859223</v>
      </c>
      <c r="N67" s="357">
        <f t="shared" ca="1" si="17"/>
        <v>79.225100410476287</v>
      </c>
      <c r="O67" s="343"/>
      <c r="P67" s="363">
        <f t="shared" ca="1" si="18"/>
        <v>5</v>
      </c>
      <c r="Q67" s="357">
        <f t="shared" ca="1" si="19"/>
        <v>1029.8333333333333</v>
      </c>
      <c r="R67" s="359">
        <f t="shared" ca="1" si="20"/>
        <v>0.51587673999632078</v>
      </c>
      <c r="S67" s="360">
        <f t="shared" ca="1" si="21"/>
        <v>11.286524467563346</v>
      </c>
      <c r="T67" s="357">
        <f t="shared" ca="1" si="1"/>
        <v>110.72080502679643</v>
      </c>
      <c r="U67" s="364">
        <f t="shared" ca="1" si="2"/>
        <v>0</v>
      </c>
      <c r="V67" s="359">
        <f t="shared" ca="1" si="3"/>
        <v>1.2231399938147329</v>
      </c>
      <c r="W67" s="357">
        <f t="shared" ca="1" si="4"/>
        <v>7.0290643809833746</v>
      </c>
      <c r="X67" s="343"/>
      <c r="Y67" s="367" t="str">
        <f t="shared" ca="1" si="22"/>
        <v/>
      </c>
      <c r="Z67" s="368" t="str">
        <f t="shared" ca="1" si="23"/>
        <v/>
      </c>
      <c r="AA67" s="369" t="str">
        <f t="shared" ca="1" si="24"/>
        <v/>
      </c>
      <c r="AB67" s="344"/>
      <c r="AC67" s="363" t="e">
        <f t="shared" ca="1" si="25"/>
        <v>#N/A</v>
      </c>
      <c r="AD67" s="376" t="e">
        <f t="shared" ca="1" si="26"/>
        <v>#N/A</v>
      </c>
      <c r="AE67" s="377">
        <f t="shared" ca="1" si="5"/>
        <v>15.195259993027731</v>
      </c>
      <c r="AF67" s="344"/>
      <c r="AG67" s="359">
        <f t="shared" ca="1" si="27"/>
        <v>81.00384644285765</v>
      </c>
      <c r="AH67" s="357">
        <f t="shared" ca="1" si="28"/>
        <v>90.641554362504138</v>
      </c>
    </row>
    <row r="68" spans="1:34" x14ac:dyDescent="0.25">
      <c r="A68" s="402">
        <f t="shared" ca="1" si="6"/>
        <v>0.01</v>
      </c>
      <c r="B68" s="357">
        <f t="shared" ca="1" si="7"/>
        <v>0.64000000000000035</v>
      </c>
      <c r="C68" s="342"/>
      <c r="D68" s="359">
        <f t="shared" ca="1" si="8"/>
        <v>16.944039536580782</v>
      </c>
      <c r="E68" s="360">
        <f t="shared" ca="1" si="9"/>
        <v>79.22566105976297</v>
      </c>
      <c r="F68" s="357">
        <f t="shared" ca="1" si="10"/>
        <v>81.017318186753471</v>
      </c>
      <c r="G68" s="359">
        <f t="shared" ca="1" si="11"/>
        <v>9.5893903290860045</v>
      </c>
      <c r="H68" s="360">
        <f t="shared" ca="1" si="12"/>
        <v>50.291165515285876</v>
      </c>
      <c r="I68" s="357">
        <f t="shared" ca="1" si="13"/>
        <v>51.197243439168162</v>
      </c>
      <c r="J68" s="359">
        <f t="shared" ca="1" si="14"/>
        <v>2.8659256078873661</v>
      </c>
      <c r="K68" s="360">
        <f t="shared" ca="1" si="15"/>
        <v>15.694210365127601</v>
      </c>
      <c r="L68" s="357">
        <f t="shared" ref="L68:L131" ca="1" si="29">SQRT(pos_x^2+pos_z^2)</f>
        <v>15.953738388691949</v>
      </c>
      <c r="M68" s="359">
        <f t="shared" ca="1" si="16"/>
        <v>1.3823806321095118</v>
      </c>
      <c r="N68" s="357">
        <f t="shared" ca="1" si="17"/>
        <v>79.204575900501951</v>
      </c>
      <c r="O68" s="343"/>
      <c r="P68" s="363">
        <f t="shared" ca="1" si="18"/>
        <v>5</v>
      </c>
      <c r="Q68" s="357">
        <f t="shared" ca="1" si="19"/>
        <v>1029.5</v>
      </c>
      <c r="R68" s="359">
        <f t="shared" ca="1" si="20"/>
        <v>0.51570976257602752</v>
      </c>
      <c r="S68" s="360">
        <f t="shared" ca="1" si="21"/>
        <v>11.281367369937586</v>
      </c>
      <c r="T68" s="357">
        <f t="shared" ref="T68:T131" ca="1" si="30">m*g</f>
        <v>110.67021389908773</v>
      </c>
      <c r="U68" s="364">
        <f t="shared" ref="U68:U131" ca="1" si="31">IF(pos_xz&lt;L_rampe,Poids*COS(Beta),0)</f>
        <v>0</v>
      </c>
      <c r="V68" s="359">
        <f t="shared" ref="V68:V131" ca="1" si="32">Rho_moyen*(20000-Alt_rampe-pos_z)/(20000+Alt_rampe+pos_z)</f>
        <v>1.2230789666853199</v>
      </c>
      <c r="W68" s="357">
        <f t="shared" ref="W68:W131" ca="1" si="33">1/2*Rho*Sref*Cx*vit_xz^2</f>
        <v>7.2565012129648112</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15.694210365127601</v>
      </c>
      <c r="AF68" s="344"/>
      <c r="AG68" s="359">
        <f t="shared" ca="1" si="27"/>
        <v>80.99655752197144</v>
      </c>
      <c r="AH68" s="357">
        <f t="shared" ca="1" si="28"/>
        <v>90.633599819085887</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16.974379499390224</v>
      </c>
      <c r="E69" s="360">
        <f t="shared" ref="E69:E132" ca="1" si="38">IF(AND(L68&lt;L_rampe,Poussee&lt;Poids*SIN(M68)),0,(-W68+Poussee)/m*SIN(M68)+U68/m*COS(M68)-Poids/m)</f>
        <v>79.211439281059484</v>
      </c>
      <c r="F69" s="357">
        <f t="shared" ref="F69:F132" ca="1" si="39">SQRT(acc_x^2+acc_z^2)</f>
        <v>81.009762821318603</v>
      </c>
      <c r="G69" s="359">
        <f t="shared" ref="G69:G132" ca="1" si="40">G68+acc_x*pas</f>
        <v>9.7591341240799068</v>
      </c>
      <c r="H69" s="360">
        <f t="shared" ref="H69:H132" ca="1" si="41">H68+acc_z*pas</f>
        <v>51.083279908096472</v>
      </c>
      <c r="I69" s="357">
        <f t="shared" ref="I69:I132" ca="1" si="42">SQRT(vit_x^2+vit_z^2)</f>
        <v>52.007135904803619</v>
      </c>
      <c r="J69" s="359">
        <f t="shared" ref="J69:J132" ca="1" si="43">J68+0.5*(vit_x+G68)*pas*(K68&gt;=0)</f>
        <v>2.9626682301531955</v>
      </c>
      <c r="K69" s="360">
        <f t="shared" ref="K69:K132" ca="1" si="44">K68+0.5*(vit_z+H68)*pas</f>
        <v>16.201082592244514</v>
      </c>
      <c r="L69" s="357">
        <f t="shared" ca="1" si="29"/>
        <v>16.469744387897684</v>
      </c>
      <c r="M69" s="359">
        <f t="shared" ref="M69:M132" ca="1" si="45">IF(AND(L68&gt;L_rampe,G69&gt;0),ATAN2(G69,H69),$M$4)</f>
        <v>1.3820273265288698</v>
      </c>
      <c r="N69" s="357">
        <f t="shared" ref="N69:N132" ca="1" si="46">DEGREES(Beta)</f>
        <v>79.184332981852748</v>
      </c>
      <c r="O69" s="343"/>
      <c r="P69" s="363">
        <f t="shared" ref="P69:P132" ca="1" si="47">MATCH(t-pas/2-T_ini,CdP_t)</f>
        <v>5</v>
      </c>
      <c r="Q69" s="357">
        <f t="shared" ref="Q69:Q132" ca="1" si="48">(INDEX(CdP,2,i_P+1)-INDEX(CdP,2,i_P+0))/(INDEX(CdP,1,i_P+1)-INDEX(CdP,1,i_P+0))*(t-pas/2-T_ini-INDEX(CdP,1,i_P+0))+INDEX(CdP,2,i_P+0)</f>
        <v>1029.1666666666667</v>
      </c>
      <c r="R69" s="359">
        <f t="shared" ref="R69:R132" ca="1" si="49">Poussee/(g*ISP)</f>
        <v>0.51554278515573415</v>
      </c>
      <c r="S69" s="360">
        <f t="shared" ref="S69:S132" ca="1" si="50">S68-Débit*pas</f>
        <v>11.276211942086029</v>
      </c>
      <c r="T69" s="357">
        <f t="shared" ca="1" si="30"/>
        <v>110.61963915186395</v>
      </c>
      <c r="U69" s="364">
        <f t="shared" ca="1" si="31"/>
        <v>0</v>
      </c>
      <c r="V69" s="359">
        <f t="shared" ca="1" si="32"/>
        <v>1.2230169737410603</v>
      </c>
      <c r="W69" s="357">
        <f t="shared" ca="1" si="33"/>
        <v>7.4875196813880507</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16.201082592244514</v>
      </c>
      <c r="AF69" s="344"/>
      <c r="AG69" s="359">
        <f t="shared" ref="AG69:AG132" ca="1" si="56">IF(AND(L68&lt;L_rampe,Poussee&lt;Poids*SIN(M68)),0,(-W68+Poussee)/m-Poids*SIN(M68)/m)</f>
        <v>80.988921974445233</v>
      </c>
      <c r="AH69" s="357">
        <f t="shared" ref="AH69:AH132" ca="1" si="57">IF(AND(L68&lt;L_rampe,Poussee&lt;Poids*SIN(M68)), g*SIN(M68), (-W68+Poussee)/m)</f>
        <v>90.625306681195184</v>
      </c>
    </row>
    <row r="70" spans="1:34" x14ac:dyDescent="0.25">
      <c r="A70" s="402">
        <f t="shared" ca="1" si="35"/>
        <v>0.01</v>
      </c>
      <c r="B70" s="357">
        <f t="shared" ca="1" si="36"/>
        <v>0.66000000000000036</v>
      </c>
      <c r="C70" s="342"/>
      <c r="D70" s="359">
        <f t="shared" ca="1" si="37"/>
        <v>17.004210431267783</v>
      </c>
      <c r="E70" s="360">
        <f t="shared" ca="1" si="38"/>
        <v>79.196957997774291</v>
      </c>
      <c r="F70" s="357">
        <f t="shared" ca="1" si="39"/>
        <v>81.00186003106387</v>
      </c>
      <c r="G70" s="359">
        <f t="shared" ca="1" si="40"/>
        <v>9.9291762283925848</v>
      </c>
      <c r="H70" s="360">
        <f t="shared" ca="1" si="41"/>
        <v>51.875249488074218</v>
      </c>
      <c r="I70" s="357">
        <f t="shared" ca="1" si="42"/>
        <v>52.816948511102204</v>
      </c>
      <c r="J70" s="359">
        <f t="shared" ca="1" si="43"/>
        <v>3.0611097819155582</v>
      </c>
      <c r="K70" s="360">
        <f t="shared" ca="1" si="44"/>
        <v>16.715875239225369</v>
      </c>
      <c r="L70" s="357">
        <f t="shared" ca="1" si="29"/>
        <v>16.99384824312277</v>
      </c>
      <c r="M70" s="359">
        <f t="shared" ca="1" si="45"/>
        <v>1.3816787934046515</v>
      </c>
      <c r="N70" s="357">
        <f t="shared" ca="1" si="46"/>
        <v>79.164363504814531</v>
      </c>
      <c r="O70" s="343"/>
      <c r="P70" s="363">
        <f t="shared" ca="1" si="47"/>
        <v>5</v>
      </c>
      <c r="Q70" s="357">
        <f t="shared" ca="1" si="48"/>
        <v>1028.8333333333333</v>
      </c>
      <c r="R70" s="359">
        <f t="shared" ca="1" si="49"/>
        <v>0.51537580773544078</v>
      </c>
      <c r="S70" s="360">
        <f t="shared" ca="1" si="50"/>
        <v>11.271058184008675</v>
      </c>
      <c r="T70" s="357">
        <f t="shared" ca="1" si="30"/>
        <v>110.56908078512511</v>
      </c>
      <c r="U70" s="364">
        <f t="shared" ca="1" si="31"/>
        <v>0</v>
      </c>
      <c r="V70" s="359">
        <f t="shared" ca="1" si="32"/>
        <v>1.2229540153044407</v>
      </c>
      <c r="W70" s="357">
        <f t="shared" ca="1" si="33"/>
        <v>7.7221166503285437</v>
      </c>
      <c r="X70" s="343"/>
      <c r="Y70" s="367" t="str">
        <f t="shared" ca="1" si="51"/>
        <v/>
      </c>
      <c r="Z70" s="368" t="str">
        <f t="shared" ca="1" si="52"/>
        <v/>
      </c>
      <c r="AA70" s="369" t="str">
        <f t="shared" ca="1" si="53"/>
        <v/>
      </c>
      <c r="AB70" s="344"/>
      <c r="AC70" s="363" t="e">
        <f t="shared" ca="1" si="54"/>
        <v>#N/A</v>
      </c>
      <c r="AD70" s="376" t="e">
        <f t="shared" ca="1" si="55"/>
        <v>#N/A</v>
      </c>
      <c r="AE70" s="377">
        <f t="shared" ca="1" si="34"/>
        <v>16.715875239225369</v>
      </c>
      <c r="AF70" s="344"/>
      <c r="AG70" s="359">
        <f t="shared" ca="1" si="56"/>
        <v>80.980939832025683</v>
      </c>
      <c r="AH70" s="357">
        <f t="shared" ca="1" si="57"/>
        <v>90.616674759165562</v>
      </c>
    </row>
    <row r="71" spans="1:34" x14ac:dyDescent="0.25">
      <c r="A71" s="402">
        <f t="shared" ca="1" si="35"/>
        <v>0.01</v>
      </c>
      <c r="B71" s="357">
        <f t="shared" ca="1" si="36"/>
        <v>0.67000000000000037</v>
      </c>
      <c r="C71" s="342"/>
      <c r="D71" s="359">
        <f t="shared" ca="1" si="37"/>
        <v>17.033544813528177</v>
      </c>
      <c r="E71" s="360">
        <f t="shared" ca="1" si="38"/>
        <v>79.182215118646738</v>
      </c>
      <c r="F71" s="357">
        <f t="shared" ca="1" si="39"/>
        <v>80.993609871459128</v>
      </c>
      <c r="G71" s="359">
        <f t="shared" ca="1" si="40"/>
        <v>10.099511676527866</v>
      </c>
      <c r="H71" s="360">
        <f t="shared" ca="1" si="41"/>
        <v>52.667071639260683</v>
      </c>
      <c r="I71" s="357">
        <f t="shared" ca="1" si="42"/>
        <v>53.626677793420505</v>
      </c>
      <c r="J71" s="359">
        <f t="shared" ca="1" si="43"/>
        <v>3.1612532214401603</v>
      </c>
      <c r="K71" s="360">
        <f t="shared" ca="1" si="44"/>
        <v>17.238586844862045</v>
      </c>
      <c r="L71" s="357">
        <f t="shared" ca="1" si="29"/>
        <v>17.526049136582852</v>
      </c>
      <c r="M71" s="359">
        <f t="shared" ca="1" si="45"/>
        <v>1.3813348966831855</v>
      </c>
      <c r="N71" s="357">
        <f t="shared" ca="1" si="46"/>
        <v>79.144659674086142</v>
      </c>
      <c r="O71" s="343"/>
      <c r="P71" s="363">
        <f t="shared" ca="1" si="47"/>
        <v>5</v>
      </c>
      <c r="Q71" s="357">
        <f t="shared" ca="1" si="48"/>
        <v>1028.5</v>
      </c>
      <c r="R71" s="359">
        <f t="shared" ca="1" si="49"/>
        <v>0.51520883031514741</v>
      </c>
      <c r="S71" s="360">
        <f t="shared" ca="1" si="50"/>
        <v>11.265906095705523</v>
      </c>
      <c r="T71" s="357">
        <f t="shared" ca="1" si="30"/>
        <v>110.51853879887119</v>
      </c>
      <c r="U71" s="364">
        <f t="shared" ca="1" si="31"/>
        <v>0</v>
      </c>
      <c r="V71" s="359">
        <f t="shared" ca="1" si="32"/>
        <v>1.2228900917033747</v>
      </c>
      <c r="W71" s="357">
        <f t="shared" ca="1" si="33"/>
        <v>7.9602889055117529</v>
      </c>
      <c r="X71" s="343"/>
      <c r="Y71" s="367" t="str">
        <f t="shared" ca="1" si="51"/>
        <v/>
      </c>
      <c r="Z71" s="368" t="str">
        <f t="shared" ca="1" si="52"/>
        <v/>
      </c>
      <c r="AA71" s="369" t="str">
        <f t="shared" ca="1" si="53"/>
        <v/>
      </c>
      <c r="AB71" s="344"/>
      <c r="AC71" s="363" t="e">
        <f t="shared" ca="1" si="54"/>
        <v>#N/A</v>
      </c>
      <c r="AD71" s="376" t="e">
        <f t="shared" ca="1" si="55"/>
        <v>#N/A</v>
      </c>
      <c r="AE71" s="377">
        <f t="shared" ca="1" si="34"/>
        <v>17.238586844862045</v>
      </c>
      <c r="AF71" s="344"/>
      <c r="AG71" s="359">
        <f t="shared" ca="1" si="56"/>
        <v>80.97261112400183</v>
      </c>
      <c r="AH71" s="357">
        <f t="shared" ca="1" si="57"/>
        <v>90.607703870244777</v>
      </c>
    </row>
    <row r="72" spans="1:34" x14ac:dyDescent="0.25">
      <c r="A72" s="402">
        <f t="shared" ca="1" si="35"/>
        <v>0.01</v>
      </c>
      <c r="B72" s="357">
        <f t="shared" ca="1" si="36"/>
        <v>0.68000000000000038</v>
      </c>
      <c r="C72" s="342"/>
      <c r="D72" s="359">
        <f t="shared" ca="1" si="37"/>
        <v>17.062394578541785</v>
      </c>
      <c r="E72" s="360">
        <f t="shared" ca="1" si="38"/>
        <v>79.167208640084908</v>
      </c>
      <c r="F72" s="357">
        <f t="shared" ca="1" si="39"/>
        <v>80.985012394989397</v>
      </c>
      <c r="G72" s="359">
        <f t="shared" ca="1" si="40"/>
        <v>10.270135622313283</v>
      </c>
      <c r="H72" s="360">
        <f t="shared" ca="1" si="41"/>
        <v>53.458743725661535</v>
      </c>
      <c r="I72" s="357">
        <f t="shared" ca="1" si="42"/>
        <v>54.43632028734735</v>
      </c>
      <c r="J72" s="359">
        <f t="shared" ca="1" si="43"/>
        <v>3.2631014579343662</v>
      </c>
      <c r="K72" s="360">
        <f t="shared" ca="1" si="44"/>
        <v>17.769215921686655</v>
      </c>
      <c r="L72" s="357">
        <f t="shared" ca="1" si="29"/>
        <v>18.06634621599774</v>
      </c>
      <c r="M72" s="359">
        <f t="shared" ca="1" si="45"/>
        <v>1.3809955061393939</v>
      </c>
      <c r="N72" s="357">
        <f t="shared" ca="1" si="46"/>
        <v>79.125214028320244</v>
      </c>
      <c r="O72" s="343"/>
      <c r="P72" s="363">
        <f t="shared" ca="1" si="47"/>
        <v>5</v>
      </c>
      <c r="Q72" s="357">
        <f t="shared" ca="1" si="48"/>
        <v>1028.1666666666667</v>
      </c>
      <c r="R72" s="359">
        <f t="shared" ca="1" si="49"/>
        <v>0.51504185289485416</v>
      </c>
      <c r="S72" s="360">
        <f t="shared" ca="1" si="50"/>
        <v>11.260755677176574</v>
      </c>
      <c r="T72" s="357">
        <f t="shared" ca="1" si="30"/>
        <v>110.46801319310219</v>
      </c>
      <c r="U72" s="364">
        <f t="shared" ca="1" si="31"/>
        <v>0</v>
      </c>
      <c r="V72" s="359">
        <f t="shared" ca="1" si="32"/>
        <v>1.2228252032712266</v>
      </c>
      <c r="W72" s="357">
        <f t="shared" ca="1" si="33"/>
        <v>8.2020331543769576</v>
      </c>
      <c r="X72" s="343"/>
      <c r="Y72" s="367" t="str">
        <f t="shared" ca="1" si="51"/>
        <v/>
      </c>
      <c r="Z72" s="368" t="str">
        <f t="shared" ca="1" si="52"/>
        <v/>
      </c>
      <c r="AA72" s="369" t="str">
        <f t="shared" ca="1" si="53"/>
        <v/>
      </c>
      <c r="AB72" s="344"/>
      <c r="AC72" s="363" t="e">
        <f t="shared" ca="1" si="54"/>
        <v>#N/A</v>
      </c>
      <c r="AD72" s="376" t="e">
        <f t="shared" ca="1" si="55"/>
        <v>#N/A</v>
      </c>
      <c r="AE72" s="377">
        <f t="shared" ca="1" si="34"/>
        <v>17.769215921686655</v>
      </c>
      <c r="AF72" s="344"/>
      <c r="AG72" s="359">
        <f t="shared" ca="1" si="56"/>
        <v>80.963935877748142</v>
      </c>
      <c r="AH72" s="357">
        <f t="shared" ca="1" si="57"/>
        <v>90.598393838605404</v>
      </c>
    </row>
    <row r="73" spans="1:34" x14ac:dyDescent="0.25">
      <c r="A73" s="402">
        <f t="shared" ca="1" si="35"/>
        <v>0.01</v>
      </c>
      <c r="B73" s="357">
        <f t="shared" ca="1" si="36"/>
        <v>0.69000000000000039</v>
      </c>
      <c r="C73" s="342"/>
      <c r="D73" s="359">
        <f t="shared" ca="1" si="37"/>
        <v>17.090771141609078</v>
      </c>
      <c r="E73" s="360">
        <f t="shared" ca="1" si="38"/>
        <v>79.151936641632929</v>
      </c>
      <c r="F73" s="357">
        <f t="shared" ca="1" si="39"/>
        <v>80.976067651719987</v>
      </c>
      <c r="G73" s="359">
        <f t="shared" ca="1" si="40"/>
        <v>10.441043333729374</v>
      </c>
      <c r="H73" s="360">
        <f t="shared" ca="1" si="41"/>
        <v>54.250263092077866</v>
      </c>
      <c r="I73" s="357">
        <f t="shared" ca="1" si="42"/>
        <v>55.245872528691955</v>
      </c>
      <c r="J73" s="359">
        <f t="shared" ca="1" si="43"/>
        <v>3.3666573527145793</v>
      </c>
      <c r="K73" s="360">
        <f t="shared" ca="1" si="44"/>
        <v>18.30776095577535</v>
      </c>
      <c r="L73" s="357">
        <f t="shared" ca="1" si="29"/>
        <v>18.61473859457606</v>
      </c>
      <c r="M73" s="359">
        <f t="shared" ca="1" si="45"/>
        <v>1.3806604970452605</v>
      </c>
      <c r="N73" s="357">
        <f t="shared" ca="1" si="46"/>
        <v>79.106019421127897</v>
      </c>
      <c r="O73" s="343"/>
      <c r="P73" s="363">
        <f t="shared" ca="1" si="47"/>
        <v>5</v>
      </c>
      <c r="Q73" s="357">
        <f t="shared" ca="1" si="48"/>
        <v>1027.8333333333333</v>
      </c>
      <c r="R73" s="359">
        <f t="shared" ca="1" si="49"/>
        <v>0.51487487547456068</v>
      </c>
      <c r="S73" s="360">
        <f t="shared" ca="1" si="50"/>
        <v>11.255606928421829</v>
      </c>
      <c r="T73" s="357">
        <f t="shared" ca="1" si="30"/>
        <v>110.41750396781815</v>
      </c>
      <c r="U73" s="364">
        <f t="shared" ca="1" si="31"/>
        <v>0</v>
      </c>
      <c r="V73" s="359">
        <f t="shared" ca="1" si="32"/>
        <v>1.2227593503468293</v>
      </c>
      <c r="W73" s="357">
        <f t="shared" ca="1" si="33"/>
        <v>8.4473460261436735</v>
      </c>
      <c r="X73" s="343"/>
      <c r="Y73" s="367" t="str">
        <f t="shared" ca="1" si="51"/>
        <v/>
      </c>
      <c r="Z73" s="368" t="str">
        <f t="shared" ca="1" si="52"/>
        <v/>
      </c>
      <c r="AA73" s="369" t="str">
        <f t="shared" ca="1" si="53"/>
        <v/>
      </c>
      <c r="AB73" s="344"/>
      <c r="AC73" s="363" t="e">
        <f t="shared" ca="1" si="54"/>
        <v>#N/A</v>
      </c>
      <c r="AD73" s="376" t="e">
        <f t="shared" ca="1" si="55"/>
        <v>#N/A</v>
      </c>
      <c r="AE73" s="377">
        <f t="shared" ca="1" si="34"/>
        <v>18.30776095577535</v>
      </c>
      <c r="AF73" s="344"/>
      <c r="AG73" s="359">
        <f t="shared" ca="1" si="56"/>
        <v>80.954914119229898</v>
      </c>
      <c r="AH73" s="357">
        <f t="shared" ca="1" si="57"/>
        <v>90.588744495355328</v>
      </c>
    </row>
    <row r="74" spans="1:34" x14ac:dyDescent="0.25">
      <c r="A74" s="402">
        <f t="shared" ca="1" si="35"/>
        <v>0.01</v>
      </c>
      <c r="B74" s="357">
        <f t="shared" ca="1" si="36"/>
        <v>0.7000000000000004</v>
      </c>
      <c r="C74" s="342"/>
      <c r="D74" s="359">
        <f t="shared" ca="1" si="37"/>
        <v>17.118685430551153</v>
      </c>
      <c r="E74" s="360">
        <f t="shared" ca="1" si="38"/>
        <v>79.136397281755748</v>
      </c>
      <c r="F74" s="357">
        <f t="shared" ca="1" si="39"/>
        <v>80.966775689822569</v>
      </c>
      <c r="G74" s="359">
        <f t="shared" ca="1" si="40"/>
        <v>10.612230188034886</v>
      </c>
      <c r="H74" s="360">
        <f t="shared" ca="1" si="41"/>
        <v>55.041627064895422</v>
      </c>
      <c r="I74" s="357">
        <f t="shared" ca="1" si="42"/>
        <v>56.055331053476685</v>
      </c>
      <c r="J74" s="359">
        <f t="shared" ca="1" si="43"/>
        <v>3.4719237203234008</v>
      </c>
      <c r="K74" s="360">
        <f t="shared" ca="1" si="44"/>
        <v>18.854220406560216</v>
      </c>
      <c r="L74" s="357">
        <f t="shared" ca="1" si="29"/>
        <v>19.171225351001848</v>
      </c>
      <c r="M74" s="359">
        <f t="shared" ca="1" si="45"/>
        <v>1.3803297498616736</v>
      </c>
      <c r="N74" s="357">
        <f t="shared" ca="1" si="46"/>
        <v>79.087069003422528</v>
      </c>
      <c r="O74" s="343"/>
      <c r="P74" s="363">
        <f t="shared" ca="1" si="47"/>
        <v>5</v>
      </c>
      <c r="Q74" s="357">
        <f t="shared" ca="1" si="48"/>
        <v>1027.5</v>
      </c>
      <c r="R74" s="359">
        <f t="shared" ca="1" si="49"/>
        <v>0.51470789805426742</v>
      </c>
      <c r="S74" s="360">
        <f t="shared" ca="1" si="50"/>
        <v>11.250459849441286</v>
      </c>
      <c r="T74" s="357">
        <f t="shared" ca="1" si="30"/>
        <v>110.36701112301903</v>
      </c>
      <c r="U74" s="364">
        <f t="shared" ca="1" si="31"/>
        <v>0</v>
      </c>
      <c r="V74" s="359">
        <f t="shared" ca="1" si="32"/>
        <v>1.2226925332745078</v>
      </c>
      <c r="W74" s="357">
        <f t="shared" ca="1" si="33"/>
        <v>8.6962240718808896</v>
      </c>
      <c r="X74" s="343"/>
      <c r="Y74" s="367" t="str">
        <f t="shared" ca="1" si="51"/>
        <v/>
      </c>
      <c r="Z74" s="368" t="str">
        <f t="shared" ca="1" si="52"/>
        <v/>
      </c>
      <c r="AA74" s="369" t="str">
        <f t="shared" ca="1" si="53"/>
        <v/>
      </c>
      <c r="AB74" s="344"/>
      <c r="AC74" s="363" t="e">
        <f t="shared" ca="1" si="54"/>
        <v>#N/A</v>
      </c>
      <c r="AD74" s="376" t="e">
        <f t="shared" ca="1" si="55"/>
        <v>#N/A</v>
      </c>
      <c r="AE74" s="377">
        <f t="shared" ca="1" si="34"/>
        <v>18.854220406560216</v>
      </c>
      <c r="AF74" s="344"/>
      <c r="AG74" s="359">
        <f t="shared" ca="1" si="56"/>
        <v>80.945545873473634</v>
      </c>
      <c r="AH74" s="357">
        <f t="shared" ca="1" si="57"/>
        <v>90.578755678548006</v>
      </c>
    </row>
    <row r="75" spans="1:34" x14ac:dyDescent="0.25">
      <c r="A75" s="402">
        <f t="shared" ca="1" si="35"/>
        <v>0.01</v>
      </c>
      <c r="B75" s="357">
        <f t="shared" ca="1" si="36"/>
        <v>0.71000000000000041</v>
      </c>
      <c r="C75" s="342"/>
      <c r="D75" s="359">
        <f t="shared" ca="1" si="37"/>
        <v>17.146147913211056</v>
      </c>
      <c r="E75" s="360">
        <f t="shared" ca="1" si="38"/>
        <v>79.120588793914692</v>
      </c>
      <c r="F75" s="357">
        <f t="shared" ca="1" si="39"/>
        <v>80.957136556065592</v>
      </c>
      <c r="G75" s="359">
        <f t="shared" ca="1" si="40"/>
        <v>10.783691667166996</v>
      </c>
      <c r="H75" s="360">
        <f t="shared" ca="1" si="41"/>
        <v>55.832832952834572</v>
      </c>
      <c r="I75" s="357">
        <f t="shared" ca="1" si="42"/>
        <v>56.864692397934036</v>
      </c>
      <c r="J75" s="359">
        <f t="shared" ca="1" si="43"/>
        <v>3.5789033295994104</v>
      </c>
      <c r="K75" s="360">
        <f t="shared" ca="1" si="44"/>
        <v>19.408592706648868</v>
      </c>
      <c r="L75" s="357">
        <f t="shared" ca="1" si="29"/>
        <v>19.735805529422947</v>
      </c>
      <c r="M75" s="359">
        <f t="shared" ca="1" si="45"/>
        <v>1.3800031499516872</v>
      </c>
      <c r="N75" s="357">
        <f t="shared" ca="1" si="46"/>
        <v>79.068356206990956</v>
      </c>
      <c r="O75" s="343"/>
      <c r="P75" s="363">
        <f t="shared" ca="1" si="47"/>
        <v>5</v>
      </c>
      <c r="Q75" s="357">
        <f t="shared" ca="1" si="48"/>
        <v>1027.1666666666667</v>
      </c>
      <c r="R75" s="359">
        <f t="shared" ca="1" si="49"/>
        <v>0.51454092063397405</v>
      </c>
      <c r="S75" s="360">
        <f t="shared" ca="1" si="50"/>
        <v>11.245314440234946</v>
      </c>
      <c r="T75" s="357">
        <f t="shared" ca="1" si="30"/>
        <v>110.31653465870482</v>
      </c>
      <c r="U75" s="364">
        <f t="shared" ca="1" si="31"/>
        <v>0</v>
      </c>
      <c r="V75" s="359">
        <f t="shared" ca="1" si="32"/>
        <v>1.2226247524040941</v>
      </c>
      <c r="W75" s="357">
        <f t="shared" ca="1" si="33"/>
        <v>8.9486637645789884</v>
      </c>
      <c r="X75" s="343"/>
      <c r="Y75" s="367" t="str">
        <f t="shared" ca="1" si="51"/>
        <v/>
      </c>
      <c r="Z75" s="368" t="str">
        <f t="shared" ca="1" si="52"/>
        <v/>
      </c>
      <c r="AA75" s="369" t="str">
        <f t="shared" ca="1" si="53"/>
        <v/>
      </c>
      <c r="AB75" s="344"/>
      <c r="AC75" s="363" t="e">
        <f t="shared" ca="1" si="54"/>
        <v>#N/A</v>
      </c>
      <c r="AD75" s="376" t="e">
        <f t="shared" ca="1" si="55"/>
        <v>#N/A</v>
      </c>
      <c r="AE75" s="377">
        <f t="shared" ca="1" si="34"/>
        <v>19.408592706648868</v>
      </c>
      <c r="AF75" s="344"/>
      <c r="AG75" s="359">
        <f t="shared" ca="1" si="56"/>
        <v>80.935831165005638</v>
      </c>
      <c r="AH75" s="357">
        <f t="shared" ca="1" si="57"/>
        <v>90.568427233192352</v>
      </c>
    </row>
    <row r="76" spans="1:34" x14ac:dyDescent="0.25">
      <c r="A76" s="402">
        <f t="shared" ca="1" si="35"/>
        <v>0.01</v>
      </c>
      <c r="B76" s="357">
        <f t="shared" ca="1" si="36"/>
        <v>0.72000000000000042</v>
      </c>
      <c r="C76" s="342"/>
      <c r="D76" s="359">
        <f t="shared" ca="1" si="37"/>
        <v>17.17174722670401</v>
      </c>
      <c r="E76" s="360">
        <f t="shared" ca="1" si="38"/>
        <v>79.097150167873806</v>
      </c>
      <c r="F76" s="357">
        <f t="shared" ca="1" si="39"/>
        <v>80.939656951935476</v>
      </c>
      <c r="G76" s="359">
        <f t="shared" ca="1" si="40"/>
        <v>10.955409139434037</v>
      </c>
      <c r="H76" s="360">
        <f t="shared" ca="1" si="41"/>
        <v>56.623804454513312</v>
      </c>
      <c r="I76" s="357">
        <f t="shared" ca="1" si="42"/>
        <v>57.673878145269171</v>
      </c>
      <c r="J76" s="359">
        <f t="shared" ca="1" si="43"/>
        <v>3.6875988336324155</v>
      </c>
      <c r="K76" s="360">
        <f t="shared" ca="1" si="44"/>
        <v>19.970875893685609</v>
      </c>
      <c r="L76" s="357">
        <f t="shared" ca="1" si="29"/>
        <v>20.308477764687339</v>
      </c>
      <c r="M76" s="359">
        <f t="shared" ca="1" si="45"/>
        <v>1.3796805868942288</v>
      </c>
      <c r="N76" s="357">
        <f t="shared" ca="1" si="46"/>
        <v>79.049874705171746</v>
      </c>
      <c r="O76" s="343"/>
      <c r="P76" s="363">
        <f t="shared" ca="1" si="47"/>
        <v>6</v>
      </c>
      <c r="Q76" s="357">
        <f t="shared" ca="1" si="48"/>
        <v>1026.7491228070176</v>
      </c>
      <c r="R76" s="359">
        <f t="shared" ca="1" si="49"/>
        <v>0.51433175944434339</v>
      </c>
      <c r="S76" s="360">
        <f t="shared" ca="1" si="50"/>
        <v>11.240171122640502</v>
      </c>
      <c r="T76" s="357">
        <f t="shared" ca="1" si="30"/>
        <v>110.26607871310334</v>
      </c>
      <c r="U76" s="364">
        <f t="shared" ca="1" si="31"/>
        <v>0</v>
      </c>
      <c r="V76" s="359">
        <f t="shared" ca="1" si="32"/>
        <v>1.2225560081359335</v>
      </c>
      <c r="W76" s="357">
        <f t="shared" ca="1" si="33"/>
        <v>9.204637574768709</v>
      </c>
      <c r="X76" s="343"/>
      <c r="Y76" s="367" t="str">
        <f t="shared" ca="1" si="51"/>
        <v/>
      </c>
      <c r="Z76" s="368" t="str">
        <f t="shared" ca="1" si="52"/>
        <v/>
      </c>
      <c r="AA76" s="369" t="str">
        <f t="shared" ca="1" si="53"/>
        <v/>
      </c>
      <c r="AB76" s="344"/>
      <c r="AC76" s="363" t="e">
        <f t="shared" ca="1" si="54"/>
        <v>#N/A</v>
      </c>
      <c r="AD76" s="376" t="e">
        <f t="shared" ca="1" si="55"/>
        <v>#N/A</v>
      </c>
      <c r="AE76" s="377">
        <f t="shared" ca="1" si="34"/>
        <v>19.970875893685609</v>
      </c>
      <c r="AF76" s="344"/>
      <c r="AG76" s="359">
        <f t="shared" ca="1" si="56"/>
        <v>80.918274694028767</v>
      </c>
      <c r="AH76" s="357">
        <f t="shared" ca="1" si="57"/>
        <v>90.550263687030096</v>
      </c>
    </row>
    <row r="77" spans="1:34" x14ac:dyDescent="0.25">
      <c r="A77" s="402">
        <f t="shared" ca="1" si="35"/>
        <v>0.01</v>
      </c>
      <c r="B77" s="357">
        <f t="shared" ca="1" si="36"/>
        <v>0.73000000000000043</v>
      </c>
      <c r="C77" s="342"/>
      <c r="D77" s="359">
        <f t="shared" ca="1" si="37"/>
        <v>17.195483714401931</v>
      </c>
      <c r="E77" s="360">
        <f t="shared" ca="1" si="38"/>
        <v>79.066069798280822</v>
      </c>
      <c r="F77" s="357">
        <f t="shared" ca="1" si="39"/>
        <v>80.91432539123636</v>
      </c>
      <c r="G77" s="359">
        <f t="shared" ca="1" si="40"/>
        <v>11.127363976578057</v>
      </c>
      <c r="H77" s="360">
        <f t="shared" ca="1" si="41"/>
        <v>57.41446515249612</v>
      </c>
      <c r="I77" s="357">
        <f t="shared" ca="1" si="42"/>
        <v>58.482809763335062</v>
      </c>
      <c r="J77" s="359">
        <f t="shared" ca="1" si="43"/>
        <v>3.7980126992124759</v>
      </c>
      <c r="K77" s="360">
        <f t="shared" ca="1" si="44"/>
        <v>20.541067241720654</v>
      </c>
      <c r="L77" s="357">
        <f t="shared" ca="1" si="29"/>
        <v>20.88923990700161</v>
      </c>
      <c r="M77" s="359">
        <f t="shared" ca="1" si="45"/>
        <v>1.3793619542770894</v>
      </c>
      <c r="N77" s="357">
        <f t="shared" ca="1" si="46"/>
        <v>79.031618400994461</v>
      </c>
      <c r="O77" s="343"/>
      <c r="P77" s="363">
        <f t="shared" ca="1" si="47"/>
        <v>6</v>
      </c>
      <c r="Q77" s="357">
        <f t="shared" ca="1" si="48"/>
        <v>1026.2473684210527</v>
      </c>
      <c r="R77" s="359">
        <f t="shared" ca="1" si="49"/>
        <v>0.51408041448537556</v>
      </c>
      <c r="S77" s="360">
        <f t="shared" ca="1" si="50"/>
        <v>11.235030318495648</v>
      </c>
      <c r="T77" s="357">
        <f t="shared" ca="1" si="30"/>
        <v>110.21564742444231</v>
      </c>
      <c r="U77" s="364">
        <f t="shared" ca="1" si="31"/>
        <v>0</v>
      </c>
      <c r="V77" s="359">
        <f t="shared" ca="1" si="32"/>
        <v>1.2224863009659335</v>
      </c>
      <c r="W77" s="357">
        <f t="shared" ca="1" si="33"/>
        <v>9.4641165214598839</v>
      </c>
      <c r="X77" s="343"/>
      <c r="Y77" s="367" t="str">
        <f t="shared" ca="1" si="51"/>
        <v/>
      </c>
      <c r="Z77" s="368" t="str">
        <f t="shared" ca="1" si="52"/>
        <v/>
      </c>
      <c r="AA77" s="369" t="str">
        <f t="shared" ca="1" si="53"/>
        <v/>
      </c>
      <c r="AB77" s="344"/>
      <c r="AC77" s="363" t="e">
        <f t="shared" ca="1" si="54"/>
        <v>#N/A</v>
      </c>
      <c r="AD77" s="376" t="e">
        <f t="shared" ca="1" si="55"/>
        <v>#N/A</v>
      </c>
      <c r="AE77" s="377">
        <f t="shared" ca="1" si="34"/>
        <v>20.541067241720654</v>
      </c>
      <c r="AF77" s="344"/>
      <c r="AG77" s="359">
        <f t="shared" ca="1" si="56"/>
        <v>80.892864928126784</v>
      </c>
      <c r="AH77" s="357">
        <f t="shared" ca="1" si="57"/>
        <v>90.524253341086151</v>
      </c>
    </row>
    <row r="78" spans="1:34" x14ac:dyDescent="0.25">
      <c r="A78" s="402">
        <f t="shared" ca="1" si="35"/>
        <v>0.01</v>
      </c>
      <c r="B78" s="357">
        <f t="shared" ca="1" si="36"/>
        <v>0.74000000000000044</v>
      </c>
      <c r="C78" s="342"/>
      <c r="D78" s="359">
        <f t="shared" ca="1" si="37"/>
        <v>17.218784966305773</v>
      </c>
      <c r="E78" s="360">
        <f t="shared" ca="1" si="38"/>
        <v>79.03470135938781</v>
      </c>
      <c r="F78" s="357">
        <f t="shared" ca="1" si="39"/>
        <v>80.888630688641868</v>
      </c>
      <c r="G78" s="359">
        <f t="shared" ca="1" si="40"/>
        <v>11.299551826241114</v>
      </c>
      <c r="H78" s="360">
        <f t="shared" ca="1" si="41"/>
        <v>58.204812166090001</v>
      </c>
      <c r="I78" s="357">
        <f t="shared" ca="1" si="42"/>
        <v>59.291483627614916</v>
      </c>
      <c r="J78" s="359">
        <f t="shared" ca="1" si="43"/>
        <v>3.9101472782265718</v>
      </c>
      <c r="K78" s="360">
        <f t="shared" ca="1" si="44"/>
        <v>21.119163628313586</v>
      </c>
      <c r="L78" s="357">
        <f t="shared" ca="1" si="29"/>
        <v>21.478089395868203</v>
      </c>
      <c r="M78" s="359">
        <f t="shared" ca="1" si="45"/>
        <v>1.3790471499007768</v>
      </c>
      <c r="N78" s="357">
        <f t="shared" ca="1" si="46"/>
        <v>79.013581438859489</v>
      </c>
      <c r="O78" s="343"/>
      <c r="P78" s="363">
        <f t="shared" ca="1" si="47"/>
        <v>6</v>
      </c>
      <c r="Q78" s="357">
        <f t="shared" ca="1" si="48"/>
        <v>1025.7456140350878</v>
      </c>
      <c r="R78" s="359">
        <f t="shared" ca="1" si="49"/>
        <v>0.51382906952640761</v>
      </c>
      <c r="S78" s="360">
        <f t="shared" ca="1" si="50"/>
        <v>11.229892027800384</v>
      </c>
      <c r="T78" s="357">
        <f t="shared" ca="1" si="30"/>
        <v>110.16524079272178</v>
      </c>
      <c r="U78" s="364">
        <f t="shared" ca="1" si="31"/>
        <v>0</v>
      </c>
      <c r="V78" s="359">
        <f t="shared" ca="1" si="32"/>
        <v>1.2224156314406556</v>
      </c>
      <c r="W78" s="357">
        <f t="shared" ca="1" si="33"/>
        <v>9.7270947867264752</v>
      </c>
      <c r="X78" s="343"/>
      <c r="Y78" s="367" t="str">
        <f t="shared" ca="1" si="51"/>
        <v/>
      </c>
      <c r="Z78" s="368" t="str">
        <f t="shared" ca="1" si="52"/>
        <v/>
      </c>
      <c r="AA78" s="369" t="str">
        <f t="shared" ca="1" si="53"/>
        <v/>
      </c>
      <c r="AB78" s="344"/>
      <c r="AC78" s="363" t="e">
        <f t="shared" ca="1" si="54"/>
        <v>#N/A</v>
      </c>
      <c r="AD78" s="376" t="e">
        <f t="shared" ca="1" si="55"/>
        <v>#N/A</v>
      </c>
      <c r="AE78" s="377">
        <f t="shared" ca="1" si="34"/>
        <v>21.119163628313586</v>
      </c>
      <c r="AF78" s="344"/>
      <c r="AG78" s="359">
        <f t="shared" ca="1" si="56"/>
        <v>80.867092633364052</v>
      </c>
      <c r="AH78" s="357">
        <f t="shared" ca="1" si="57"/>
        <v>90.497886800492111</v>
      </c>
    </row>
    <row r="79" spans="1:34" x14ac:dyDescent="0.25">
      <c r="A79" s="402">
        <f t="shared" ca="1" si="35"/>
        <v>0.01</v>
      </c>
      <c r="B79" s="357">
        <f t="shared" ca="1" si="36"/>
        <v>0.75000000000000044</v>
      </c>
      <c r="C79" s="342"/>
      <c r="D79" s="359">
        <f t="shared" ca="1" si="37"/>
        <v>17.241660102245341</v>
      </c>
      <c r="E79" s="360">
        <f t="shared" ca="1" si="38"/>
        <v>79.003043483034872</v>
      </c>
      <c r="F79" s="357">
        <f t="shared" ca="1" si="39"/>
        <v>80.862573064821888</v>
      </c>
      <c r="G79" s="359">
        <f t="shared" ca="1" si="40"/>
        <v>11.471968427263567</v>
      </c>
      <c r="H79" s="360">
        <f t="shared" ca="1" si="41"/>
        <v>58.99484260092035</v>
      </c>
      <c r="I79" s="357">
        <f t="shared" ca="1" si="42"/>
        <v>60.099896115579924</v>
      </c>
      <c r="J79" s="359">
        <f t="shared" ca="1" si="43"/>
        <v>4.024004879494095</v>
      </c>
      <c r="K79" s="360">
        <f t="shared" ca="1" si="44"/>
        <v>21.705161902148639</v>
      </c>
      <c r="L79" s="357">
        <f t="shared" ca="1" si="29"/>
        <v>22.07502363461197</v>
      </c>
      <c r="M79" s="359">
        <f t="shared" ca="1" si="45"/>
        <v>1.3787360755568638</v>
      </c>
      <c r="N79" s="357">
        <f t="shared" ca="1" si="46"/>
        <v>78.995758191838476</v>
      </c>
      <c r="O79" s="343"/>
      <c r="P79" s="363">
        <f t="shared" ca="1" si="47"/>
        <v>6</v>
      </c>
      <c r="Q79" s="357">
        <f t="shared" ca="1" si="48"/>
        <v>1025.2438596491227</v>
      </c>
      <c r="R79" s="359">
        <f t="shared" ca="1" si="49"/>
        <v>0.51357772456743966</v>
      </c>
      <c r="S79" s="360">
        <f t="shared" ca="1" si="50"/>
        <v>11.224756250554709</v>
      </c>
      <c r="T79" s="357">
        <f t="shared" ca="1" si="30"/>
        <v>110.11485881794169</v>
      </c>
      <c r="U79" s="364">
        <f t="shared" ca="1" si="31"/>
        <v>0</v>
      </c>
      <c r="V79" s="359">
        <f t="shared" ca="1" si="32"/>
        <v>1.2223440001123655</v>
      </c>
      <c r="W79" s="357">
        <f t="shared" ca="1" si="33"/>
        <v>9.9935664743861725</v>
      </c>
      <c r="X79" s="343"/>
      <c r="Y79" s="367" t="str">
        <f t="shared" ca="1" si="51"/>
        <v/>
      </c>
      <c r="Z79" s="368" t="str">
        <f t="shared" ca="1" si="52"/>
        <v/>
      </c>
      <c r="AA79" s="369" t="str">
        <f t="shared" ca="1" si="53"/>
        <v/>
      </c>
      <c r="AB79" s="344"/>
      <c r="AC79" s="363" t="e">
        <f t="shared" ca="1" si="54"/>
        <v>#N/A</v>
      </c>
      <c r="AD79" s="376" t="e">
        <f t="shared" ca="1" si="55"/>
        <v>#N/A</v>
      </c>
      <c r="AE79" s="377">
        <f t="shared" ca="1" si="34"/>
        <v>21.705161902148639</v>
      </c>
      <c r="AF79" s="344"/>
      <c r="AG79" s="359">
        <f t="shared" ca="1" si="56"/>
        <v>80.84095801142719</v>
      </c>
      <c r="AH79" s="357">
        <f t="shared" ca="1" si="57"/>
        <v>90.471164112112547</v>
      </c>
    </row>
    <row r="80" spans="1:34" x14ac:dyDescent="0.25">
      <c r="A80" s="402">
        <f t="shared" ca="1" si="35"/>
        <v>0.01</v>
      </c>
      <c r="B80" s="357">
        <f t="shared" ca="1" si="36"/>
        <v>0.76000000000000045</v>
      </c>
      <c r="C80" s="342"/>
      <c r="D80" s="359">
        <f t="shared" ca="1" si="37"/>
        <v>17.264117883783701</v>
      </c>
      <c r="E80" s="360">
        <f t="shared" ca="1" si="38"/>
        <v>78.971094862243874</v>
      </c>
      <c r="F80" s="357">
        <f t="shared" ca="1" si="39"/>
        <v>80.836152741497415</v>
      </c>
      <c r="G80" s="359">
        <f t="shared" ca="1" si="40"/>
        <v>11.644609606101405</v>
      </c>
      <c r="H80" s="360">
        <f t="shared" ca="1" si="41"/>
        <v>59.784553549542792</v>
      </c>
      <c r="I80" s="357">
        <f t="shared" ca="1" si="42"/>
        <v>60.908043606708127</v>
      </c>
      <c r="J80" s="359">
        <f t="shared" ca="1" si="43"/>
        <v>4.1395877696609196</v>
      </c>
      <c r="K80" s="360">
        <f t="shared" ca="1" si="44"/>
        <v>22.299058882900955</v>
      </c>
      <c r="L80" s="357">
        <f t="shared" ca="1" si="29"/>
        <v>22.680039990392658</v>
      </c>
      <c r="M80" s="359">
        <f t="shared" ca="1" si="45"/>
        <v>1.378428636820805</v>
      </c>
      <c r="N80" s="357">
        <f t="shared" ca="1" si="46"/>
        <v>78.978143249803466</v>
      </c>
      <c r="O80" s="343"/>
      <c r="P80" s="363">
        <f t="shared" ca="1" si="47"/>
        <v>6</v>
      </c>
      <c r="Q80" s="357">
        <f t="shared" ca="1" si="48"/>
        <v>1024.7421052631578</v>
      </c>
      <c r="R80" s="359">
        <f t="shared" ca="1" si="49"/>
        <v>0.51332637960847183</v>
      </c>
      <c r="S80" s="360">
        <f t="shared" ca="1" si="50"/>
        <v>11.219622986758624</v>
      </c>
      <c r="T80" s="357">
        <f t="shared" ca="1" si="30"/>
        <v>110.06450150010211</v>
      </c>
      <c r="U80" s="364">
        <f t="shared" ca="1" si="31"/>
        <v>0</v>
      </c>
      <c r="V80" s="359">
        <f t="shared" ca="1" si="32"/>
        <v>1.2222714075390424</v>
      </c>
      <c r="W80" s="357">
        <f t="shared" ca="1" si="33"/>
        <v>10.263525610180416</v>
      </c>
      <c r="X80" s="343"/>
      <c r="Y80" s="367" t="str">
        <f t="shared" ca="1" si="51"/>
        <v/>
      </c>
      <c r="Z80" s="368" t="str">
        <f t="shared" ca="1" si="52"/>
        <v/>
      </c>
      <c r="AA80" s="369" t="str">
        <f t="shared" ca="1" si="53"/>
        <v/>
      </c>
      <c r="AB80" s="344"/>
      <c r="AC80" s="363" t="e">
        <f t="shared" ca="1" si="54"/>
        <v>#N/A</v>
      </c>
      <c r="AD80" s="376" t="e">
        <f t="shared" ca="1" si="55"/>
        <v>#N/A</v>
      </c>
      <c r="AE80" s="377">
        <f t="shared" ca="1" si="34"/>
        <v>22.299058882900955</v>
      </c>
      <c r="AF80" s="344"/>
      <c r="AG80" s="359">
        <f t="shared" ca="1" si="56"/>
        <v>80.814461265743631</v>
      </c>
      <c r="AH80" s="357">
        <f t="shared" ca="1" si="57"/>
        <v>90.444085330351626</v>
      </c>
    </row>
    <row r="81" spans="1:34" x14ac:dyDescent="0.25">
      <c r="A81" s="402">
        <f t="shared" ca="1" si="35"/>
        <v>0.01</v>
      </c>
      <c r="B81" s="357">
        <f t="shared" ca="1" si="36"/>
        <v>0.77000000000000046</v>
      </c>
      <c r="C81" s="342"/>
      <c r="D81" s="359">
        <f t="shared" ca="1" si="37"/>
        <v>17.286166732953607</v>
      </c>
      <c r="E81" s="360">
        <f t="shared" ca="1" si="38"/>
        <v>78.93885424850113</v>
      </c>
      <c r="F81" s="357">
        <f t="shared" ca="1" si="39"/>
        <v>80.809369941768367</v>
      </c>
      <c r="G81" s="359">
        <f t="shared" ca="1" si="40"/>
        <v>11.817471273430941</v>
      </c>
      <c r="H81" s="360">
        <f t="shared" ca="1" si="41"/>
        <v>60.573942092027806</v>
      </c>
      <c r="I81" s="357">
        <f t="shared" ca="1" si="42"/>
        <v>61.715922482506116</v>
      </c>
      <c r="J81" s="359">
        <f t="shared" ca="1" si="43"/>
        <v>4.2568981740585814</v>
      </c>
      <c r="K81" s="360">
        <f t="shared" ca="1" si="44"/>
        <v>22.900851361108806</v>
      </c>
      <c r="L81" s="357">
        <f t="shared" ca="1" si="29"/>
        <v>23.293135794218486</v>
      </c>
      <c r="M81" s="359">
        <f t="shared" ca="1" si="45"/>
        <v>1.3781247428581025</v>
      </c>
      <c r="N81" s="357">
        <f t="shared" ca="1" si="46"/>
        <v>78.960731408321109</v>
      </c>
      <c r="O81" s="343"/>
      <c r="P81" s="363">
        <f t="shared" ca="1" si="47"/>
        <v>6</v>
      </c>
      <c r="Q81" s="357">
        <f t="shared" ca="1" si="48"/>
        <v>1024.2403508771929</v>
      </c>
      <c r="R81" s="359">
        <f t="shared" ca="1" si="49"/>
        <v>0.51307503464950388</v>
      </c>
      <c r="S81" s="360">
        <f t="shared" ca="1" si="50"/>
        <v>11.214492236412129</v>
      </c>
      <c r="T81" s="357">
        <f t="shared" ca="1" si="30"/>
        <v>110.01416883920299</v>
      </c>
      <c r="U81" s="364">
        <f t="shared" ca="1" si="31"/>
        <v>0</v>
      </c>
      <c r="V81" s="359">
        <f t="shared" ca="1" si="32"/>
        <v>1.2221978542843908</v>
      </c>
      <c r="W81" s="357">
        <f t="shared" ca="1" si="33"/>
        <v>10.53696614195753</v>
      </c>
      <c r="X81" s="343"/>
      <c r="Y81" s="367" t="str">
        <f t="shared" ca="1" si="51"/>
        <v/>
      </c>
      <c r="Z81" s="368" t="str">
        <f t="shared" ca="1" si="52"/>
        <v/>
      </c>
      <c r="AA81" s="369" t="str">
        <f t="shared" ca="1" si="53"/>
        <v/>
      </c>
      <c r="AB81" s="344"/>
      <c r="AC81" s="363" t="e">
        <f t="shared" ca="1" si="54"/>
        <v>#N/A</v>
      </c>
      <c r="AD81" s="376" t="e">
        <f t="shared" ca="1" si="55"/>
        <v>#N/A</v>
      </c>
      <c r="AE81" s="377">
        <f t="shared" ca="1" si="34"/>
        <v>22.900851361108806</v>
      </c>
      <c r="AF81" s="344"/>
      <c r="AG81" s="359">
        <f t="shared" ca="1" si="56"/>
        <v>80.787602601774552</v>
      </c>
      <c r="AH81" s="357">
        <f t="shared" ca="1" si="57"/>
        <v>90.416650517154025</v>
      </c>
    </row>
    <row r="82" spans="1:34" x14ac:dyDescent="0.25">
      <c r="A82" s="402">
        <f t="shared" ca="1" si="35"/>
        <v>0.01</v>
      </c>
      <c r="B82" s="357">
        <f t="shared" ca="1" si="36"/>
        <v>0.78000000000000047</v>
      </c>
      <c r="C82" s="342"/>
      <c r="D82" s="359">
        <f t="shared" ca="1" si="37"/>
        <v>17.307814749785408</v>
      </c>
      <c r="E82" s="360">
        <f t="shared" ca="1" si="38"/>
        <v>78.906320449211037</v>
      </c>
      <c r="F82" s="357">
        <f t="shared" ca="1" si="39"/>
        <v>80.782224890420466</v>
      </c>
      <c r="G82" s="359">
        <f t="shared" ca="1" si="40"/>
        <v>11.990549420928795</v>
      </c>
      <c r="H82" s="360">
        <f t="shared" ca="1" si="41"/>
        <v>61.363005296519916</v>
      </c>
      <c r="I82" s="357">
        <f t="shared" ca="1" si="42"/>
        <v>62.523529126533376</v>
      </c>
      <c r="J82" s="359">
        <f t="shared" ca="1" si="43"/>
        <v>4.3759382775303797</v>
      </c>
      <c r="K82" s="360">
        <f t="shared" ca="1" si="44"/>
        <v>23.510536098051546</v>
      </c>
      <c r="L82" s="357">
        <f t="shared" ca="1" si="29"/>
        <v>23.914308340960652</v>
      </c>
      <c r="M82" s="359">
        <f t="shared" ca="1" si="45"/>
        <v>1.3778243062427966</v>
      </c>
      <c r="N82" s="357">
        <f t="shared" ca="1" si="46"/>
        <v>78.943517658252887</v>
      </c>
      <c r="O82" s="343"/>
      <c r="P82" s="363">
        <f t="shared" ca="1" si="47"/>
        <v>6</v>
      </c>
      <c r="Q82" s="357">
        <f t="shared" ca="1" si="48"/>
        <v>1023.738596491228</v>
      </c>
      <c r="R82" s="359">
        <f t="shared" ca="1" si="49"/>
        <v>0.51282368969053604</v>
      </c>
      <c r="S82" s="360">
        <f t="shared" ca="1" si="50"/>
        <v>11.209363999515224</v>
      </c>
      <c r="T82" s="357">
        <f t="shared" ca="1" si="30"/>
        <v>109.96386083524436</v>
      </c>
      <c r="U82" s="364">
        <f t="shared" ca="1" si="31"/>
        <v>0</v>
      </c>
      <c r="V82" s="359">
        <f t="shared" ca="1" si="32"/>
        <v>1.2221233409178485</v>
      </c>
      <c r="W82" s="357">
        <f t="shared" ca="1" si="33"/>
        <v>10.813881939858899</v>
      </c>
      <c r="X82" s="343"/>
      <c r="Y82" s="367" t="str">
        <f t="shared" ca="1" si="51"/>
        <v/>
      </c>
      <c r="Z82" s="368" t="str">
        <f t="shared" ca="1" si="52"/>
        <v/>
      </c>
      <c r="AA82" s="369" t="str">
        <f t="shared" ca="1" si="53"/>
        <v/>
      </c>
      <c r="AB82" s="344"/>
      <c r="AC82" s="363" t="e">
        <f t="shared" ca="1" si="54"/>
        <v>#N/A</v>
      </c>
      <c r="AD82" s="376" t="e">
        <f t="shared" ca="1" si="55"/>
        <v>#N/A</v>
      </c>
      <c r="AE82" s="377">
        <f t="shared" ca="1" si="34"/>
        <v>23.510536098051546</v>
      </c>
      <c r="AF82" s="344"/>
      <c r="AG82" s="359">
        <f t="shared" ca="1" si="56"/>
        <v>80.760382227289327</v>
      </c>
      <c r="AH82" s="357">
        <f t="shared" ca="1" si="57"/>
        <v>90.388859742005764</v>
      </c>
    </row>
    <row r="83" spans="1:34" x14ac:dyDescent="0.25">
      <c r="A83" s="402">
        <f t="shared" ca="1" si="35"/>
        <v>0.01</v>
      </c>
      <c r="B83" s="357">
        <f t="shared" ca="1" si="36"/>
        <v>0.79000000000000048</v>
      </c>
      <c r="C83" s="342"/>
      <c r="D83" s="359">
        <f t="shared" ca="1" si="37"/>
        <v>17.329069728719269</v>
      </c>
      <c r="E83" s="360">
        <f t="shared" ca="1" si="38"/>
        <v>78.873492325307822</v>
      </c>
      <c r="F83" s="357">
        <f t="shared" ca="1" si="39"/>
        <v>80.754717814213222</v>
      </c>
      <c r="G83" s="359">
        <f t="shared" ca="1" si="40"/>
        <v>12.163840118215989</v>
      </c>
      <c r="H83" s="360">
        <f t="shared" ca="1" si="41"/>
        <v>62.151740219772996</v>
      </c>
      <c r="I83" s="357">
        <f t="shared" ca="1" si="42"/>
        <v>63.33085992442917</v>
      </c>
      <c r="J83" s="359">
        <f t="shared" ca="1" si="43"/>
        <v>4.4967102252261038</v>
      </c>
      <c r="K83" s="360">
        <f t="shared" ca="1" si="44"/>
        <v>24.128109825633011</v>
      </c>
      <c r="L83" s="357">
        <f t="shared" ca="1" si="29"/>
        <v>24.543554889368842</v>
      </c>
      <c r="M83" s="359">
        <f t="shared" ca="1" si="45"/>
        <v>1.3775272427873488</v>
      </c>
      <c r="N83" s="357">
        <f t="shared" ca="1" si="46"/>
        <v>78.926497176008155</v>
      </c>
      <c r="O83" s="343"/>
      <c r="P83" s="363">
        <f t="shared" ca="1" si="47"/>
        <v>6</v>
      </c>
      <c r="Q83" s="357">
        <f t="shared" ca="1" si="48"/>
        <v>1023.2368421052631</v>
      </c>
      <c r="R83" s="359">
        <f t="shared" ca="1" si="49"/>
        <v>0.5125723447315681</v>
      </c>
      <c r="S83" s="360">
        <f t="shared" ca="1" si="50"/>
        <v>11.204238276067908</v>
      </c>
      <c r="T83" s="357">
        <f t="shared" ca="1" si="30"/>
        <v>109.91357748822618</v>
      </c>
      <c r="U83" s="364">
        <f t="shared" ca="1" si="31"/>
        <v>0</v>
      </c>
      <c r="V83" s="359">
        <f t="shared" ca="1" si="32"/>
        <v>1.2220478680145983</v>
      </c>
      <c r="W83" s="357">
        <f t="shared" ca="1" si="33"/>
        <v>11.094266796508339</v>
      </c>
      <c r="X83" s="343"/>
      <c r="Y83" s="367" t="str">
        <f t="shared" ca="1" si="51"/>
        <v/>
      </c>
      <c r="Z83" s="368" t="str">
        <f t="shared" ca="1" si="52"/>
        <v/>
      </c>
      <c r="AA83" s="369" t="str">
        <f t="shared" ca="1" si="53"/>
        <v/>
      </c>
      <c r="AB83" s="344"/>
      <c r="AC83" s="363" t="e">
        <f t="shared" ca="1" si="54"/>
        <v>#N/A</v>
      </c>
      <c r="AD83" s="376" t="e">
        <f t="shared" ca="1" si="55"/>
        <v>#N/A</v>
      </c>
      <c r="AE83" s="377">
        <f t="shared" ca="1" si="34"/>
        <v>24.128109825633011</v>
      </c>
      <c r="AF83" s="344"/>
      <c r="AG83" s="359">
        <f t="shared" ca="1" si="56"/>
        <v>80.732800352622817</v>
      </c>
      <c r="AH83" s="357">
        <f t="shared" ca="1" si="57"/>
        <v>90.360713081934819</v>
      </c>
    </row>
    <row r="84" spans="1:34" x14ac:dyDescent="0.25">
      <c r="A84" s="402">
        <f t="shared" ca="1" si="35"/>
        <v>0.01</v>
      </c>
      <c r="B84" s="357">
        <f t="shared" ca="1" si="36"/>
        <v>0.80000000000000049</v>
      </c>
      <c r="C84" s="342"/>
      <c r="D84" s="359">
        <f t="shared" ca="1" si="37"/>
        <v>17.349939173986002</v>
      </c>
      <c r="E84" s="360">
        <f t="shared" ca="1" si="38"/>
        <v>78.840368789013098</v>
      </c>
      <c r="F84" s="357">
        <f t="shared" ca="1" si="39"/>
        <v>80.726848942149388</v>
      </c>
      <c r="G84" s="359">
        <f t="shared" ca="1" si="40"/>
        <v>12.337339509955848</v>
      </c>
      <c r="H84" s="360">
        <f t="shared" ca="1" si="41"/>
        <v>62.940143907663128</v>
      </c>
      <c r="I84" s="357">
        <f t="shared" ca="1" si="42"/>
        <v>64.137911263941717</v>
      </c>
      <c r="J84" s="359">
        <f t="shared" ca="1" si="43"/>
        <v>4.6192161233669626</v>
      </c>
      <c r="K84" s="360">
        <f t="shared" ca="1" si="44"/>
        <v>24.753569246270192</v>
      </c>
      <c r="L84" s="357">
        <f t="shared" ca="1" si="29"/>
        <v>25.180872662087523</v>
      </c>
      <c r="M84" s="359">
        <f t="shared" ca="1" si="45"/>
        <v>1.3772334713830681</v>
      </c>
      <c r="N84" s="357">
        <f t="shared" ca="1" si="46"/>
        <v>78.909665314401238</v>
      </c>
      <c r="O84" s="343"/>
      <c r="P84" s="363">
        <f t="shared" ca="1" si="47"/>
        <v>6</v>
      </c>
      <c r="Q84" s="357">
        <f t="shared" ca="1" si="48"/>
        <v>1022.7350877192982</v>
      </c>
      <c r="R84" s="359">
        <f t="shared" ca="1" si="49"/>
        <v>0.51232099977260026</v>
      </c>
      <c r="S84" s="360">
        <f t="shared" ca="1" si="50"/>
        <v>11.199115066070183</v>
      </c>
      <c r="T84" s="357">
        <f t="shared" ca="1" si="30"/>
        <v>109.8633187981485</v>
      </c>
      <c r="U84" s="364">
        <f t="shared" ca="1" si="31"/>
        <v>0</v>
      </c>
      <c r="V84" s="359">
        <f t="shared" ca="1" si="32"/>
        <v>1.221971436155574</v>
      </c>
      <c r="W84" s="357">
        <f t="shared" ca="1" si="33"/>
        <v>11.37811442720453</v>
      </c>
      <c r="X84" s="343"/>
      <c r="Y84" s="367" t="str">
        <f t="shared" ca="1" si="51"/>
        <v/>
      </c>
      <c r="Z84" s="368" t="str">
        <f t="shared" ca="1" si="52"/>
        <v/>
      </c>
      <c r="AA84" s="369" t="str">
        <f t="shared" ca="1" si="53"/>
        <v/>
      </c>
      <c r="AB84" s="344"/>
      <c r="AC84" s="363" t="e">
        <f t="shared" ca="1" si="54"/>
        <v>#N/A</v>
      </c>
      <c r="AD84" s="376" t="e">
        <f t="shared" ca="1" si="55"/>
        <v>#N/A</v>
      </c>
      <c r="AE84" s="377">
        <f t="shared" ca="1" si="34"/>
        <v>24.753569246270192</v>
      </c>
      <c r="AF84" s="344"/>
      <c r="AG84" s="359">
        <f t="shared" ca="1" si="56"/>
        <v>80.704857190916272</v>
      </c>
      <c r="AH84" s="357">
        <f t="shared" ca="1" si="57"/>
        <v>90.332210621511095</v>
      </c>
    </row>
    <row r="85" spans="1:34" x14ac:dyDescent="0.25">
      <c r="A85" s="402">
        <f t="shared" ca="1" si="35"/>
        <v>0.01</v>
      </c>
      <c r="B85" s="357">
        <f t="shared" ca="1" si="36"/>
        <v>0.8100000000000005</v>
      </c>
      <c r="C85" s="342"/>
      <c r="D85" s="359">
        <f t="shared" ca="1" si="37"/>
        <v>17.370430314033616</v>
      </c>
      <c r="E85" s="360">
        <f t="shared" ca="1" si="38"/>
        <v>78.806948801729348</v>
      </c>
      <c r="F85" s="357">
        <f t="shared" ca="1" si="39"/>
        <v>80.69861850572839</v>
      </c>
      <c r="G85" s="359">
        <f t="shared" ca="1" si="40"/>
        <v>12.511043813096185</v>
      </c>
      <c r="H85" s="360">
        <f t="shared" ca="1" si="41"/>
        <v>63.72821339568042</v>
      </c>
      <c r="I85" s="357">
        <f t="shared" ca="1" si="42"/>
        <v>64.944679534959548</v>
      </c>
      <c r="J85" s="359">
        <f t="shared" ca="1" si="43"/>
        <v>4.7434580399822224</v>
      </c>
      <c r="K85" s="360">
        <f t="shared" ca="1" si="44"/>
        <v>25.386911032786909</v>
      </c>
      <c r="L85" s="357">
        <f t="shared" ca="1" si="29"/>
        <v>25.826258845673131</v>
      </c>
      <c r="M85" s="359">
        <f t="shared" ca="1" si="45"/>
        <v>1.3769429138503002</v>
      </c>
      <c r="N85" s="357">
        <f t="shared" ca="1" si="46"/>
        <v>78.893017594067913</v>
      </c>
      <c r="O85" s="343"/>
      <c r="P85" s="363">
        <f t="shared" ca="1" si="47"/>
        <v>6</v>
      </c>
      <c r="Q85" s="357">
        <f t="shared" ca="1" si="48"/>
        <v>1022.2333333333333</v>
      </c>
      <c r="R85" s="359">
        <f t="shared" ca="1" si="49"/>
        <v>0.51206965481363242</v>
      </c>
      <c r="S85" s="360">
        <f t="shared" ca="1" si="50"/>
        <v>11.193994369522047</v>
      </c>
      <c r="T85" s="357">
        <f t="shared" ca="1" si="30"/>
        <v>109.81308476501128</v>
      </c>
      <c r="U85" s="364">
        <f t="shared" ca="1" si="31"/>
        <v>0</v>
      </c>
      <c r="V85" s="359">
        <f t="shared" ca="1" si="32"/>
        <v>1.2218940459274694</v>
      </c>
      <c r="W85" s="357">
        <f t="shared" ca="1" si="33"/>
        <v>11.665418470116617</v>
      </c>
      <c r="X85" s="343"/>
      <c r="Y85" s="367" t="str">
        <f t="shared" ca="1" si="51"/>
        <v/>
      </c>
      <c r="Z85" s="368" t="str">
        <f t="shared" ca="1" si="52"/>
        <v/>
      </c>
      <c r="AA85" s="369" t="str">
        <f t="shared" ca="1" si="53"/>
        <v/>
      </c>
      <c r="AB85" s="344"/>
      <c r="AC85" s="363" t="e">
        <f t="shared" ca="1" si="54"/>
        <v>#N/A</v>
      </c>
      <c r="AD85" s="376" t="e">
        <f t="shared" ca="1" si="55"/>
        <v>#N/A</v>
      </c>
      <c r="AE85" s="377">
        <f t="shared" ca="1" si="34"/>
        <v>25.386911032786909</v>
      </c>
      <c r="AF85" s="344"/>
      <c r="AG85" s="359">
        <f t="shared" ca="1" si="56"/>
        <v>80.676552958343777</v>
      </c>
      <c r="AH85" s="357">
        <f t="shared" ca="1" si="57"/>
        <v>90.303352452846511</v>
      </c>
    </row>
    <row r="86" spans="1:34" x14ac:dyDescent="0.25">
      <c r="A86" s="402">
        <f t="shared" ca="1" si="35"/>
        <v>0.01</v>
      </c>
      <c r="B86" s="357">
        <f t="shared" ca="1" si="36"/>
        <v>0.82000000000000051</v>
      </c>
      <c r="C86" s="342"/>
      <c r="D86" s="359">
        <f t="shared" ca="1" si="37"/>
        <v>17.390550115070123</v>
      </c>
      <c r="E86" s="360">
        <f t="shared" ca="1" si="38"/>
        <v>78.773231372058774</v>
      </c>
      <c r="F86" s="357">
        <f t="shared" ca="1" si="39"/>
        <v>80.670026739184053</v>
      </c>
      <c r="G86" s="359">
        <f t="shared" ca="1" si="40"/>
        <v>12.684949314246886</v>
      </c>
      <c r="H86" s="360">
        <f t="shared" ca="1" si="41"/>
        <v>64.515945709401009</v>
      </c>
      <c r="I86" s="357">
        <f t="shared" ca="1" si="42"/>
        <v>65.751161129545011</v>
      </c>
      <c r="J86" s="359">
        <f t="shared" ca="1" si="43"/>
        <v>4.8694380056189379</v>
      </c>
      <c r="K86" s="360">
        <f t="shared" ca="1" si="44"/>
        <v>26.028131828312315</v>
      </c>
      <c r="L86" s="357">
        <f t="shared" ca="1" si="29"/>
        <v>26.479710590612026</v>
      </c>
      <c r="M86" s="359">
        <f t="shared" ca="1" si="45"/>
        <v>1.3766554947976741</v>
      </c>
      <c r="N86" s="357">
        <f t="shared" ca="1" si="46"/>
        <v>78.876549695400783</v>
      </c>
      <c r="O86" s="343"/>
      <c r="P86" s="363">
        <f t="shared" ca="1" si="47"/>
        <v>6</v>
      </c>
      <c r="Q86" s="357">
        <f t="shared" ca="1" si="48"/>
        <v>1021.7315789473683</v>
      </c>
      <c r="R86" s="359">
        <f t="shared" ca="1" si="49"/>
        <v>0.51181830985466448</v>
      </c>
      <c r="S86" s="360">
        <f t="shared" ca="1" si="50"/>
        <v>11.188876186423499</v>
      </c>
      <c r="T86" s="357">
        <f t="shared" ca="1" si="30"/>
        <v>109.76287538881454</v>
      </c>
      <c r="U86" s="364">
        <f t="shared" ca="1" si="31"/>
        <v>0</v>
      </c>
      <c r="V86" s="359">
        <f t="shared" ca="1" si="32"/>
        <v>1.2218156979227441</v>
      </c>
      <c r="W86" s="357">
        <f t="shared" ca="1" si="33"/>
        <v>11.956172486483</v>
      </c>
      <c r="X86" s="343"/>
      <c r="Y86" s="367" t="str">
        <f t="shared" ca="1" si="51"/>
        <v/>
      </c>
      <c r="Z86" s="368" t="str">
        <f t="shared" ca="1" si="52"/>
        <v/>
      </c>
      <c r="AA86" s="369" t="str">
        <f t="shared" ca="1" si="53"/>
        <v/>
      </c>
      <c r="AB86" s="344"/>
      <c r="AC86" s="363" t="e">
        <f t="shared" ca="1" si="54"/>
        <v>#N/A</v>
      </c>
      <c r="AD86" s="376" t="e">
        <f t="shared" ca="1" si="55"/>
        <v>#N/A</v>
      </c>
      <c r="AE86" s="377">
        <f t="shared" ca="1" si="34"/>
        <v>26.028131828312315</v>
      </c>
      <c r="AF86" s="344"/>
      <c r="AG86" s="359">
        <f t="shared" ca="1" si="56"/>
        <v>80.647887874324525</v>
      </c>
      <c r="AH86" s="357">
        <f t="shared" ca="1" si="57"/>
        <v>90.274138675594486</v>
      </c>
    </row>
    <row r="87" spans="1:34" x14ac:dyDescent="0.25">
      <c r="A87" s="402">
        <f t="shared" ca="1" si="35"/>
        <v>0.01</v>
      </c>
      <c r="B87" s="357">
        <f t="shared" ca="1" si="36"/>
        <v>0.83000000000000052</v>
      </c>
      <c r="C87" s="342"/>
      <c r="D87" s="359">
        <f t="shared" ca="1" si="37"/>
        <v>17.410305293786646</v>
      </c>
      <c r="E87" s="360">
        <f t="shared" ca="1" si="38"/>
        <v>78.73921555393882</v>
      </c>
      <c r="F87" s="357">
        <f t="shared" ca="1" si="39"/>
        <v>80.641073879707832</v>
      </c>
      <c r="G87" s="359">
        <f t="shared" ca="1" si="40"/>
        <v>12.859052367184752</v>
      </c>
      <c r="H87" s="360">
        <f t="shared" ca="1" si="41"/>
        <v>65.303337864940403</v>
      </c>
      <c r="I87" s="357">
        <f t="shared" ca="1" si="42"/>
        <v>66.557352441969613</v>
      </c>
      <c r="J87" s="359">
        <f t="shared" ca="1" si="43"/>
        <v>4.9971580140260965</v>
      </c>
      <c r="K87" s="360">
        <f t="shared" ca="1" si="44"/>
        <v>26.677228246184022</v>
      </c>
      <c r="L87" s="357">
        <f t="shared" ca="1" si="29"/>
        <v>27.141225011339188</v>
      </c>
      <c r="M87" s="359">
        <f t="shared" ca="1" si="45"/>
        <v>1.3763711414897484</v>
      </c>
      <c r="N87" s="357">
        <f t="shared" ca="1" si="46"/>
        <v>78.86025745096606</v>
      </c>
      <c r="O87" s="343"/>
      <c r="P87" s="363">
        <f t="shared" ca="1" si="47"/>
        <v>6</v>
      </c>
      <c r="Q87" s="357">
        <f t="shared" ca="1" si="48"/>
        <v>1021.2298245614035</v>
      </c>
      <c r="R87" s="359">
        <f t="shared" ca="1" si="49"/>
        <v>0.51156696489569653</v>
      </c>
      <c r="S87" s="360">
        <f t="shared" ca="1" si="50"/>
        <v>11.183760516774543</v>
      </c>
      <c r="T87" s="357">
        <f t="shared" ca="1" si="30"/>
        <v>109.71269066955827</v>
      </c>
      <c r="U87" s="364">
        <f t="shared" ca="1" si="31"/>
        <v>0</v>
      </c>
      <c r="V87" s="359">
        <f t="shared" ca="1" si="32"/>
        <v>1.2217363927396321</v>
      </c>
      <c r="W87" s="357">
        <f t="shared" ca="1" si="33"/>
        <v>12.250369960813266</v>
      </c>
      <c r="X87" s="343"/>
      <c r="Y87" s="367" t="str">
        <f t="shared" ca="1" si="51"/>
        <v/>
      </c>
      <c r="Z87" s="368" t="str">
        <f t="shared" ca="1" si="52"/>
        <v/>
      </c>
      <c r="AA87" s="369" t="str">
        <f t="shared" ca="1" si="53"/>
        <v/>
      </c>
      <c r="AB87" s="344"/>
      <c r="AC87" s="363" t="e">
        <f t="shared" ca="1" si="54"/>
        <v>#N/A</v>
      </c>
      <c r="AD87" s="376" t="e">
        <f t="shared" ca="1" si="55"/>
        <v>#N/A</v>
      </c>
      <c r="AE87" s="377">
        <f t="shared" ca="1" si="34"/>
        <v>26.677228246184022</v>
      </c>
      <c r="AF87" s="344"/>
      <c r="AG87" s="359">
        <f t="shared" ca="1" si="56"/>
        <v>80.618862161722404</v>
      </c>
      <c r="AH87" s="357">
        <f t="shared" ca="1" si="57"/>
        <v>90.244569396949188</v>
      </c>
    </row>
    <row r="88" spans="1:34" x14ac:dyDescent="0.25">
      <c r="A88" s="402">
        <f t="shared" ca="1" si="35"/>
        <v>0.01</v>
      </c>
      <c r="B88" s="357">
        <f t="shared" ca="1" si="36"/>
        <v>0.84000000000000052</v>
      </c>
      <c r="C88" s="342"/>
      <c r="D88" s="359">
        <f t="shared" ca="1" si="37"/>
        <v>17.429702329320232</v>
      </c>
      <c r="E88" s="360">
        <f t="shared" ca="1" si="38"/>
        <v>78.704900444886277</v>
      </c>
      <c r="F88" s="357">
        <f t="shared" ca="1" si="39"/>
        <v>80.611760167658986</v>
      </c>
      <c r="G88" s="359">
        <f t="shared" ca="1" si="40"/>
        <v>13.033349390477955</v>
      </c>
      <c r="H88" s="360">
        <f t="shared" ca="1" si="41"/>
        <v>66.090386869389263</v>
      </c>
      <c r="I88" s="357">
        <f t="shared" ca="1" si="42"/>
        <v>67.36324986875124</v>
      </c>
      <c r="J88" s="359">
        <f t="shared" ca="1" si="43"/>
        <v>5.1266200228144099</v>
      </c>
      <c r="K88" s="360">
        <f t="shared" ca="1" si="44"/>
        <v>27.334196869855671</v>
      </c>
      <c r="L88" s="357">
        <f t="shared" ca="1" si="29"/>
        <v>27.81079918625765</v>
      </c>
      <c r="M88" s="359">
        <f t="shared" ca="1" si="45"/>
        <v>1.3760897837224639</v>
      </c>
      <c r="N88" s="357">
        <f t="shared" ca="1" si="46"/>
        <v>78.844136838367433</v>
      </c>
      <c r="O88" s="343"/>
      <c r="P88" s="363">
        <f t="shared" ca="1" si="47"/>
        <v>6</v>
      </c>
      <c r="Q88" s="357">
        <f t="shared" ca="1" si="48"/>
        <v>1020.7280701754386</v>
      </c>
      <c r="R88" s="359">
        <f t="shared" ca="1" si="49"/>
        <v>0.51131561993672869</v>
      </c>
      <c r="S88" s="360">
        <f t="shared" ca="1" si="50"/>
        <v>11.178647360575175</v>
      </c>
      <c r="T88" s="357">
        <f t="shared" ca="1" si="30"/>
        <v>109.66253060724247</v>
      </c>
      <c r="U88" s="364">
        <f t="shared" ca="1" si="31"/>
        <v>0</v>
      </c>
      <c r="V88" s="359">
        <f t="shared" ca="1" si="32"/>
        <v>1.221656130982145</v>
      </c>
      <c r="W88" s="357">
        <f t="shared" ca="1" si="33"/>
        <v>12.548004301093288</v>
      </c>
      <c r="X88" s="343"/>
      <c r="Y88" s="367" t="str">
        <f t="shared" ca="1" si="51"/>
        <v/>
      </c>
      <c r="Z88" s="368" t="str">
        <f t="shared" ca="1" si="52"/>
        <v/>
      </c>
      <c r="AA88" s="369" t="str">
        <f t="shared" ca="1" si="53"/>
        <v/>
      </c>
      <c r="AB88" s="344"/>
      <c r="AC88" s="363" t="e">
        <f t="shared" ca="1" si="54"/>
        <v>#N/A</v>
      </c>
      <c r="AD88" s="376" t="e">
        <f t="shared" ca="1" si="55"/>
        <v>#N/A</v>
      </c>
      <c r="AE88" s="377">
        <f t="shared" ca="1" si="34"/>
        <v>27.334196869855671</v>
      </c>
      <c r="AF88" s="344"/>
      <c r="AG88" s="359">
        <f t="shared" ca="1" si="56"/>
        <v>80.589476047033514</v>
      </c>
      <c r="AH88" s="357">
        <f t="shared" ca="1" si="57"/>
        <v>90.21464473164454</v>
      </c>
    </row>
    <row r="89" spans="1:34" x14ac:dyDescent="0.25">
      <c r="A89" s="402">
        <f t="shared" ca="1" si="35"/>
        <v>0.01</v>
      </c>
      <c r="B89" s="357">
        <f t="shared" ca="1" si="36"/>
        <v>0.85000000000000053</v>
      </c>
      <c r="C89" s="342"/>
      <c r="D89" s="359">
        <f t="shared" ca="1" si="37"/>
        <v>17.448747474510213</v>
      </c>
      <c r="E89" s="360">
        <f t="shared" ca="1" si="38"/>
        <v>78.670285184341935</v>
      </c>
      <c r="F89" s="357">
        <f t="shared" ca="1" si="39"/>
        <v>80.58208584676197</v>
      </c>
      <c r="G89" s="359">
        <f t="shared" ca="1" si="40"/>
        <v>13.207836865223058</v>
      </c>
      <c r="H89" s="360">
        <f t="shared" ca="1" si="41"/>
        <v>66.877089721232679</v>
      </c>
      <c r="I89" s="357">
        <f t="shared" ca="1" si="42"/>
        <v>68.168849808693054</v>
      </c>
      <c r="J89" s="359">
        <f t="shared" ca="1" si="43"/>
        <v>5.2578259540929153</v>
      </c>
      <c r="K89" s="360">
        <f t="shared" ca="1" si="44"/>
        <v>27.99903425280878</v>
      </c>
      <c r="L89" s="357">
        <f t="shared" ca="1" si="29"/>
        <v>28.488430157758646</v>
      </c>
      <c r="M89" s="359">
        <f t="shared" ca="1" si="45"/>
        <v>1.3758113537058552</v>
      </c>
      <c r="N89" s="357">
        <f t="shared" ca="1" si="46"/>
        <v>78.828183973525995</v>
      </c>
      <c r="O89" s="343"/>
      <c r="P89" s="363">
        <f t="shared" ca="1" si="47"/>
        <v>6</v>
      </c>
      <c r="Q89" s="357">
        <f t="shared" ca="1" si="48"/>
        <v>1020.2263157894737</v>
      </c>
      <c r="R89" s="359">
        <f t="shared" ca="1" si="49"/>
        <v>0.51106427497776075</v>
      </c>
      <c r="S89" s="360">
        <f t="shared" ca="1" si="50"/>
        <v>11.173536717825398</v>
      </c>
      <c r="T89" s="357">
        <f t="shared" ca="1" si="30"/>
        <v>109.61239520186716</v>
      </c>
      <c r="U89" s="364">
        <f t="shared" ca="1" si="31"/>
        <v>0</v>
      </c>
      <c r="V89" s="359">
        <f t="shared" ca="1" si="32"/>
        <v>1.2215749132600788</v>
      </c>
      <c r="W89" s="357">
        <f t="shared" ca="1" si="33"/>
        <v>12.849068838993526</v>
      </c>
      <c r="X89" s="343"/>
      <c r="Y89" s="367" t="str">
        <f t="shared" ca="1" si="51"/>
        <v/>
      </c>
      <c r="Z89" s="368" t="str">
        <f t="shared" ca="1" si="52"/>
        <v/>
      </c>
      <c r="AA89" s="369" t="str">
        <f t="shared" ca="1" si="53"/>
        <v/>
      </c>
      <c r="AB89" s="344"/>
      <c r="AC89" s="363" t="e">
        <f t="shared" ca="1" si="54"/>
        <v>#N/A</v>
      </c>
      <c r="AD89" s="376" t="e">
        <f t="shared" ca="1" si="55"/>
        <v>#N/A</v>
      </c>
      <c r="AE89" s="377">
        <f t="shared" ca="1" si="34"/>
        <v>27.99903425280878</v>
      </c>
      <c r="AF89" s="344"/>
      <c r="AG89" s="359">
        <f t="shared" ca="1" si="56"/>
        <v>80.55972976056259</v>
      </c>
      <c r="AH89" s="357">
        <f t="shared" ca="1" si="57"/>
        <v>90.184364801952825</v>
      </c>
    </row>
    <row r="90" spans="1:34" x14ac:dyDescent="0.25">
      <c r="A90" s="402">
        <f t="shared" ca="1" si="35"/>
        <v>0.01</v>
      </c>
      <c r="B90" s="357">
        <f t="shared" ca="1" si="36"/>
        <v>0.86000000000000054</v>
      </c>
      <c r="C90" s="342"/>
      <c r="D90" s="359">
        <f t="shared" ca="1" si="37"/>
        <v>17.467446766497766</v>
      </c>
      <c r="E90" s="360">
        <f t="shared" ca="1" si="38"/>
        <v>78.635368952109474</v>
      </c>
      <c r="F90" s="357">
        <f t="shared" ca="1" si="39"/>
        <v>80.552051164292621</v>
      </c>
      <c r="G90" s="359">
        <f t="shared" ca="1" si="40"/>
        <v>13.382511332888036</v>
      </c>
      <c r="H90" s="360">
        <f t="shared" ca="1" si="41"/>
        <v>67.663443410753771</v>
      </c>
      <c r="I90" s="357">
        <f t="shared" ca="1" si="42"/>
        <v>68.974148662924108</v>
      </c>
      <c r="J90" s="359">
        <f t="shared" ca="1" si="43"/>
        <v>5.3907776950834707</v>
      </c>
      <c r="K90" s="360">
        <f t="shared" ca="1" si="44"/>
        <v>28.671736918468714</v>
      </c>
      <c r="L90" s="357">
        <f t="shared" ca="1" si="29"/>
        <v>29.174114932242439</v>
      </c>
      <c r="M90" s="359">
        <f t="shared" ca="1" si="45"/>
        <v>1.3755357859535147</v>
      </c>
      <c r="N90" s="357">
        <f t="shared" ca="1" si="46"/>
        <v>78.812395104346976</v>
      </c>
      <c r="O90" s="343"/>
      <c r="P90" s="363">
        <f t="shared" ca="1" si="47"/>
        <v>6</v>
      </c>
      <c r="Q90" s="357">
        <f t="shared" ca="1" si="48"/>
        <v>1019.7245614035087</v>
      </c>
      <c r="R90" s="359">
        <f t="shared" ca="1" si="49"/>
        <v>0.51081293001879291</v>
      </c>
      <c r="S90" s="360">
        <f t="shared" ca="1" si="50"/>
        <v>11.168428588525209</v>
      </c>
      <c r="T90" s="357">
        <f t="shared" ca="1" si="30"/>
        <v>109.56228445343231</v>
      </c>
      <c r="U90" s="364">
        <f t="shared" ca="1" si="31"/>
        <v>0</v>
      </c>
      <c r="V90" s="359">
        <f t="shared" ca="1" si="32"/>
        <v>1.2214927401890179</v>
      </c>
      <c r="W90" s="357">
        <f t="shared" ca="1" si="33"/>
        <v>13.153556830080571</v>
      </c>
      <c r="X90" s="343"/>
      <c r="Y90" s="367" t="str">
        <f t="shared" ca="1" si="51"/>
        <v/>
      </c>
      <c r="Z90" s="368" t="str">
        <f t="shared" ca="1" si="52"/>
        <v/>
      </c>
      <c r="AA90" s="369" t="str">
        <f t="shared" ca="1" si="53"/>
        <v/>
      </c>
      <c r="AB90" s="344"/>
      <c r="AC90" s="363" t="e">
        <f t="shared" ca="1" si="54"/>
        <v>#N/A</v>
      </c>
      <c r="AD90" s="376" t="e">
        <f t="shared" ca="1" si="55"/>
        <v>#N/A</v>
      </c>
      <c r="AE90" s="377">
        <f t="shared" ca="1" si="34"/>
        <v>28.671736918468714</v>
      </c>
      <c r="AF90" s="344"/>
      <c r="AG90" s="359">
        <f t="shared" ca="1" si="56"/>
        <v>80.529623536589028</v>
      </c>
      <c r="AH90" s="357">
        <f t="shared" ca="1" si="57"/>
        <v>90.153729737683094</v>
      </c>
    </row>
    <row r="91" spans="1:34" x14ac:dyDescent="0.25">
      <c r="A91" s="402">
        <f t="shared" ca="1" si="35"/>
        <v>0.01</v>
      </c>
      <c r="B91" s="357">
        <f t="shared" ca="1" si="36"/>
        <v>0.87000000000000055</v>
      </c>
      <c r="C91" s="342"/>
      <c r="D91" s="359">
        <f t="shared" ca="1" si="37"/>
        <v>17.485806036714241</v>
      </c>
      <c r="E91" s="360">
        <f t="shared" ca="1" si="38"/>
        <v>78.600150966881301</v>
      </c>
      <c r="F91" s="357">
        <f t="shared" ca="1" si="39"/>
        <v>80.521656371252845</v>
      </c>
      <c r="G91" s="359">
        <f t="shared" ca="1" si="40"/>
        <v>13.557369393255179</v>
      </c>
      <c r="H91" s="360">
        <f t="shared" ca="1" si="41"/>
        <v>68.449444920422579</v>
      </c>
      <c r="I91" s="357">
        <f t="shared" ca="1" si="42"/>
        <v>69.779142834941283</v>
      </c>
      <c r="J91" s="359">
        <f t="shared" ca="1" si="43"/>
        <v>5.5254770987141866</v>
      </c>
      <c r="K91" s="360">
        <f t="shared" ca="1" si="44"/>
        <v>29.352301360124596</v>
      </c>
      <c r="L91" s="357">
        <f t="shared" ca="1" si="29"/>
        <v>29.867850480139797</v>
      </c>
      <c r="M91" s="359">
        <f t="shared" ca="1" si="45"/>
        <v>1.3752630171783482</v>
      </c>
      <c r="N91" s="357">
        <f t="shared" ca="1" si="46"/>
        <v>78.796766604746992</v>
      </c>
      <c r="O91" s="343"/>
      <c r="P91" s="363">
        <f t="shared" ca="1" si="47"/>
        <v>6</v>
      </c>
      <c r="Q91" s="357">
        <f t="shared" ca="1" si="48"/>
        <v>1019.2228070175438</v>
      </c>
      <c r="R91" s="359">
        <f t="shared" ca="1" si="49"/>
        <v>0.51056158505982496</v>
      </c>
      <c r="S91" s="360">
        <f t="shared" ca="1" si="50"/>
        <v>11.163322972674612</v>
      </c>
      <c r="T91" s="357">
        <f t="shared" ca="1" si="30"/>
        <v>109.51219836193795</v>
      </c>
      <c r="U91" s="364">
        <f t="shared" ca="1" si="31"/>
        <v>0</v>
      </c>
      <c r="V91" s="359">
        <f t="shared" ca="1" si="32"/>
        <v>1.2214096123903406</v>
      </c>
      <c r="W91" s="357">
        <f t="shared" ca="1" si="33"/>
        <v>13.461461454031788</v>
      </c>
      <c r="X91" s="343"/>
      <c r="Y91" s="367" t="str">
        <f t="shared" ca="1" si="51"/>
        <v/>
      </c>
      <c r="Z91" s="368" t="str">
        <f t="shared" ca="1" si="52"/>
        <v/>
      </c>
      <c r="AA91" s="369" t="str">
        <f t="shared" ca="1" si="53"/>
        <v/>
      </c>
      <c r="AB91" s="344"/>
      <c r="AC91" s="363" t="e">
        <f t="shared" ca="1" si="54"/>
        <v>#N/A</v>
      </c>
      <c r="AD91" s="376" t="e">
        <f t="shared" ca="1" si="55"/>
        <v>#N/A</v>
      </c>
      <c r="AE91" s="377">
        <f t="shared" ca="1" si="34"/>
        <v>29.352301360124596</v>
      </c>
      <c r="AF91" s="344"/>
      <c r="AG91" s="359">
        <f t="shared" ca="1" si="56"/>
        <v>80.499157613522897</v>
      </c>
      <c r="AH91" s="357">
        <f t="shared" ca="1" si="57"/>
        <v>90.122739676179037</v>
      </c>
    </row>
    <row r="92" spans="1:34" x14ac:dyDescent="0.25">
      <c r="A92" s="402">
        <f t="shared" ca="1" si="35"/>
        <v>0.01</v>
      </c>
      <c r="B92" s="357">
        <f t="shared" ca="1" si="36"/>
        <v>0.88000000000000056</v>
      </c>
      <c r="C92" s="342"/>
      <c r="D92" s="359">
        <f t="shared" ca="1" si="37"/>
        <v>17.503830920300416</v>
      </c>
      <c r="E92" s="360">
        <f t="shared" ca="1" si="38"/>
        <v>78.564630484846418</v>
      </c>
      <c r="F92" s="357">
        <f t="shared" ca="1" si="39"/>
        <v>80.490901722535853</v>
      </c>
      <c r="G92" s="359">
        <f t="shared" ca="1" si="40"/>
        <v>13.732407702458183</v>
      </c>
      <c r="H92" s="360">
        <f t="shared" ca="1" si="41"/>
        <v>69.235091225271049</v>
      </c>
      <c r="I92" s="357">
        <f t="shared" ca="1" si="42"/>
        <v>70.583828730652868</v>
      </c>
      <c r="J92" s="359">
        <f t="shared" ca="1" si="43"/>
        <v>5.6619259841927532</v>
      </c>
      <c r="K92" s="360">
        <f t="shared" ca="1" si="44"/>
        <v>30.040724040853064</v>
      </c>
      <c r="L92" s="357">
        <f t="shared" ca="1" si="29"/>
        <v>30.569633735934165</v>
      </c>
      <c r="M92" s="359">
        <f t="shared" ca="1" si="45"/>
        <v>1.3749929861941961</v>
      </c>
      <c r="N92" s="357">
        <f t="shared" ca="1" si="46"/>
        <v>78.78129496901731</v>
      </c>
      <c r="O92" s="343"/>
      <c r="P92" s="363">
        <f t="shared" ca="1" si="47"/>
        <v>6</v>
      </c>
      <c r="Q92" s="357">
        <f t="shared" ca="1" si="48"/>
        <v>1018.7210526315789</v>
      </c>
      <c r="R92" s="359">
        <f t="shared" ca="1" si="49"/>
        <v>0.51031024010085713</v>
      </c>
      <c r="S92" s="360">
        <f t="shared" ca="1" si="50"/>
        <v>11.158219870273603</v>
      </c>
      <c r="T92" s="357">
        <f t="shared" ca="1" si="30"/>
        <v>109.46213692738405</v>
      </c>
      <c r="U92" s="364">
        <f t="shared" ca="1" si="31"/>
        <v>0</v>
      </c>
      <c r="V92" s="359">
        <f t="shared" ca="1" si="32"/>
        <v>1.2213255304912209</v>
      </c>
      <c r="W92" s="357">
        <f t="shared" ca="1" si="33"/>
        <v>13.772775814853253</v>
      </c>
      <c r="X92" s="343"/>
      <c r="Y92" s="367" t="str">
        <f t="shared" ca="1" si="51"/>
        <v/>
      </c>
      <c r="Z92" s="368" t="str">
        <f t="shared" ca="1" si="52"/>
        <v/>
      </c>
      <c r="AA92" s="369" t="str">
        <f t="shared" ca="1" si="53"/>
        <v/>
      </c>
      <c r="AB92" s="344"/>
      <c r="AC92" s="363" t="e">
        <f t="shared" ca="1" si="54"/>
        <v>#N/A</v>
      </c>
      <c r="AD92" s="376" t="e">
        <f t="shared" ca="1" si="55"/>
        <v>#N/A</v>
      </c>
      <c r="AE92" s="377">
        <f t="shared" ca="1" si="34"/>
        <v>30.040724040853064</v>
      </c>
      <c r="AF92" s="344"/>
      <c r="AG92" s="359">
        <f t="shared" ca="1" si="56"/>
        <v>80.468332234052269</v>
      </c>
      <c r="AH92" s="357">
        <f t="shared" ca="1" si="57"/>
        <v>90.091394762316853</v>
      </c>
    </row>
    <row r="93" spans="1:34" x14ac:dyDescent="0.25">
      <c r="A93" s="402">
        <f t="shared" ca="1" si="35"/>
        <v>0.01</v>
      </c>
      <c r="B93" s="357">
        <f t="shared" ca="1" si="36"/>
        <v>0.89000000000000057</v>
      </c>
      <c r="C93" s="342"/>
      <c r="D93" s="359">
        <f t="shared" ca="1" si="37"/>
        <v>17.521526864994868</v>
      </c>
      <c r="E93" s="360">
        <f t="shared" ca="1" si="38"/>
        <v>78.528806798374077</v>
      </c>
      <c r="F93" s="357">
        <f t="shared" ca="1" si="39"/>
        <v>80.459787477081363</v>
      </c>
      <c r="G93" s="359">
        <f t="shared" ca="1" si="40"/>
        <v>13.907622971108131</v>
      </c>
      <c r="H93" s="360">
        <f t="shared" ca="1" si="41"/>
        <v>70.020379293254791</v>
      </c>
      <c r="I93" s="357">
        <f t="shared" ca="1" si="42"/>
        <v>71.388202758423319</v>
      </c>
      <c r="J93" s="359">
        <f t="shared" ca="1" si="43"/>
        <v>5.8001261375605848</v>
      </c>
      <c r="K93" s="360">
        <f t="shared" ca="1" si="44"/>
        <v>30.737001393445695</v>
      </c>
      <c r="L93" s="357">
        <f t="shared" ca="1" si="29"/>
        <v>31.279461598184454</v>
      </c>
      <c r="M93" s="359">
        <f t="shared" ca="1" si="45"/>
        <v>1.3747256338229235</v>
      </c>
      <c r="N93" s="357">
        <f t="shared" ca="1" si="46"/>
        <v>78.765976806500575</v>
      </c>
      <c r="O93" s="343"/>
      <c r="P93" s="363">
        <f t="shared" ca="1" si="47"/>
        <v>6</v>
      </c>
      <c r="Q93" s="357">
        <f t="shared" ca="1" si="48"/>
        <v>1018.219298245614</v>
      </c>
      <c r="R93" s="359">
        <f t="shared" ca="1" si="49"/>
        <v>0.51005889514188918</v>
      </c>
      <c r="S93" s="360">
        <f t="shared" ca="1" si="50"/>
        <v>11.153119281322184</v>
      </c>
      <c r="T93" s="357">
        <f t="shared" ca="1" si="30"/>
        <v>109.41210014977062</v>
      </c>
      <c r="U93" s="364">
        <f t="shared" ca="1" si="31"/>
        <v>0</v>
      </c>
      <c r="V93" s="359">
        <f t="shared" ca="1" si="32"/>
        <v>1.2212404951246327</v>
      </c>
      <c r="W93" s="357">
        <f t="shared" ca="1" si="33"/>
        <v>14.087492941100839</v>
      </c>
      <c r="X93" s="343"/>
      <c r="Y93" s="367" t="str">
        <f t="shared" ca="1" si="51"/>
        <v/>
      </c>
      <c r="Z93" s="368" t="str">
        <f t="shared" ca="1" si="52"/>
        <v/>
      </c>
      <c r="AA93" s="369" t="str">
        <f t="shared" ca="1" si="53"/>
        <v/>
      </c>
      <c r="AB93" s="344"/>
      <c r="AC93" s="363" t="e">
        <f t="shared" ca="1" si="54"/>
        <v>#N/A</v>
      </c>
      <c r="AD93" s="376" t="e">
        <f t="shared" ca="1" si="55"/>
        <v>#N/A</v>
      </c>
      <c r="AE93" s="377">
        <f t="shared" ca="1" si="34"/>
        <v>30.737001393445695</v>
      </c>
      <c r="AF93" s="344"/>
      <c r="AG93" s="359">
        <f t="shared" ca="1" si="56"/>
        <v>80.437147645281655</v>
      </c>
      <c r="AH93" s="357">
        <f t="shared" ca="1" si="57"/>
        <v>90.05969514850247</v>
      </c>
    </row>
    <row r="94" spans="1:34" x14ac:dyDescent="0.25">
      <c r="A94" s="402">
        <f t="shared" ca="1" si="35"/>
        <v>0.01</v>
      </c>
      <c r="B94" s="357">
        <f t="shared" ca="1" si="36"/>
        <v>0.90000000000000058</v>
      </c>
      <c r="C94" s="342"/>
      <c r="D94" s="359">
        <f t="shared" ca="1" si="37"/>
        <v>17.538899139527562</v>
      </c>
      <c r="E94" s="360">
        <f t="shared" ca="1" si="38"/>
        <v>78.492679234768559</v>
      </c>
      <c r="F94" s="357">
        <f t="shared" ca="1" si="39"/>
        <v>80.428313898022182</v>
      </c>
      <c r="G94" s="359">
        <f t="shared" ca="1" si="40"/>
        <v>14.083011962503406</v>
      </c>
      <c r="H94" s="360">
        <f t="shared" ca="1" si="41"/>
        <v>70.805306085602481</v>
      </c>
      <c r="I94" s="357">
        <f t="shared" ca="1" si="42"/>
        <v>72.192261329119404</v>
      </c>
      <c r="J94" s="359">
        <f t="shared" ca="1" si="43"/>
        <v>5.9400793122286428</v>
      </c>
      <c r="K94" s="360">
        <f t="shared" ca="1" si="44"/>
        <v>31.441129820339981</v>
      </c>
      <c r="L94" s="357">
        <f t="shared" ca="1" si="29"/>
        <v>31.997330929548461</v>
      </c>
      <c r="M94" s="359">
        <f t="shared" ca="1" si="45"/>
        <v>1.3744609028066224</v>
      </c>
      <c r="N94" s="357">
        <f t="shared" ca="1" si="46"/>
        <v>78.75080883656031</v>
      </c>
      <c r="O94" s="343"/>
      <c r="P94" s="363">
        <f t="shared" ca="1" si="47"/>
        <v>6</v>
      </c>
      <c r="Q94" s="357">
        <f t="shared" ca="1" si="48"/>
        <v>1017.7175438596491</v>
      </c>
      <c r="R94" s="359">
        <f t="shared" ca="1" si="49"/>
        <v>0.50980755018292134</v>
      </c>
      <c r="S94" s="360">
        <f t="shared" ca="1" si="50"/>
        <v>11.148021205820354</v>
      </c>
      <c r="T94" s="357">
        <f t="shared" ca="1" si="30"/>
        <v>109.36208802909768</v>
      </c>
      <c r="U94" s="364">
        <f t="shared" ca="1" si="31"/>
        <v>0</v>
      </c>
      <c r="V94" s="359">
        <f t="shared" ca="1" si="32"/>
        <v>1.221154506929351</v>
      </c>
      <c r="W94" s="357">
        <f t="shared" ca="1" si="33"/>
        <v>14.405605786104546</v>
      </c>
      <c r="X94" s="343"/>
      <c r="Y94" s="367" t="str">
        <f t="shared" ca="1" si="51"/>
        <v/>
      </c>
      <c r="Z94" s="368" t="str">
        <f t="shared" ca="1" si="52"/>
        <v/>
      </c>
      <c r="AA94" s="369" t="str">
        <f t="shared" ca="1" si="53"/>
        <v/>
      </c>
      <c r="AB94" s="344"/>
      <c r="AC94" s="363" t="e">
        <f t="shared" ca="1" si="54"/>
        <v>#N/A</v>
      </c>
      <c r="AD94" s="376" t="e">
        <f t="shared" ca="1" si="55"/>
        <v>#N/A</v>
      </c>
      <c r="AE94" s="377">
        <f t="shared" ca="1" si="34"/>
        <v>31.441129820339981</v>
      </c>
      <c r="AF94" s="344"/>
      <c r="AG94" s="359">
        <f t="shared" ca="1" si="56"/>
        <v>80.405604098862668</v>
      </c>
      <c r="AH94" s="357">
        <f t="shared" ca="1" si="57"/>
        <v>90.027640994668673</v>
      </c>
    </row>
    <row r="95" spans="1:34" x14ac:dyDescent="0.25">
      <c r="A95" s="402">
        <f t="shared" ca="1" si="35"/>
        <v>0.01</v>
      </c>
      <c r="B95" s="357">
        <f t="shared" ca="1" si="36"/>
        <v>0.91000000000000059</v>
      </c>
      <c r="C95" s="342"/>
      <c r="D95" s="359">
        <f t="shared" ca="1" si="37"/>
        <v>17.555952841551022</v>
      </c>
      <c r="E95" s="360">
        <f t="shared" ca="1" si="38"/>
        <v>78.45624715509058</v>
      </c>
      <c r="F95" s="357">
        <f t="shared" ca="1" si="39"/>
        <v>80.396481252822397</v>
      </c>
      <c r="G95" s="359">
        <f t="shared" ca="1" si="40"/>
        <v>14.258571490918916</v>
      </c>
      <c r="H95" s="360">
        <f t="shared" ca="1" si="41"/>
        <v>71.58986855715338</v>
      </c>
      <c r="I95" s="357">
        <f t="shared" ca="1" si="42"/>
        <v>72.99600085615748</v>
      </c>
      <c r="J95" s="359">
        <f t="shared" ca="1" si="43"/>
        <v>6.0817872294957542</v>
      </c>
      <c r="K95" s="360">
        <f t="shared" ca="1" si="44"/>
        <v>32.153105693553762</v>
      </c>
      <c r="L95" s="357">
        <f t="shared" ca="1" si="29"/>
        <v>32.723238556806947</v>
      </c>
      <c r="M95" s="359">
        <f t="shared" ca="1" si="45"/>
        <v>1.3741987377245857</v>
      </c>
      <c r="N95" s="357">
        <f t="shared" ca="1" si="46"/>
        <v>78.735787883823903</v>
      </c>
      <c r="O95" s="343"/>
      <c r="P95" s="363">
        <f t="shared" ca="1" si="47"/>
        <v>6</v>
      </c>
      <c r="Q95" s="357">
        <f t="shared" ca="1" si="48"/>
        <v>1017.2157894736841</v>
      </c>
      <c r="R95" s="359">
        <f t="shared" ca="1" si="49"/>
        <v>0.5095562052239534</v>
      </c>
      <c r="S95" s="360">
        <f t="shared" ca="1" si="50"/>
        <v>11.142925643768114</v>
      </c>
      <c r="T95" s="357">
        <f t="shared" ca="1" si="30"/>
        <v>109.31210056536521</v>
      </c>
      <c r="U95" s="364">
        <f t="shared" ca="1" si="31"/>
        <v>0</v>
      </c>
      <c r="V95" s="359">
        <f t="shared" ca="1" si="32"/>
        <v>1.2210675665499575</v>
      </c>
      <c r="W95" s="357">
        <f t="shared" ca="1" si="33"/>
        <v>14.727107228196033</v>
      </c>
      <c r="X95" s="343"/>
      <c r="Y95" s="367" t="str">
        <f t="shared" ca="1" si="51"/>
        <v/>
      </c>
      <c r="Z95" s="368" t="str">
        <f t="shared" ca="1" si="52"/>
        <v/>
      </c>
      <c r="AA95" s="369" t="str">
        <f t="shared" ca="1" si="53"/>
        <v/>
      </c>
      <c r="AB95" s="344"/>
      <c r="AC95" s="363" t="e">
        <f t="shared" ca="1" si="54"/>
        <v>#N/A</v>
      </c>
      <c r="AD95" s="376" t="e">
        <f t="shared" ca="1" si="55"/>
        <v>#N/A</v>
      </c>
      <c r="AE95" s="377">
        <f t="shared" ca="1" si="34"/>
        <v>32.153105693553762</v>
      </c>
      <c r="AF95" s="344"/>
      <c r="AG95" s="359">
        <f t="shared" ca="1" si="56"/>
        <v>80.373701851117133</v>
      </c>
      <c r="AH95" s="357">
        <f t="shared" ca="1" si="57"/>
        <v>89.995232468271894</v>
      </c>
    </row>
    <row r="96" spans="1:34" x14ac:dyDescent="0.25">
      <c r="A96" s="402">
        <f t="shared" ca="1" si="35"/>
        <v>0.01</v>
      </c>
      <c r="B96" s="357">
        <f t="shared" ca="1" si="36"/>
        <v>0.9200000000000006</v>
      </c>
      <c r="C96" s="342"/>
      <c r="D96" s="359">
        <f t="shared" ca="1" si="37"/>
        <v>17.572692905139672</v>
      </c>
      <c r="E96" s="360">
        <f t="shared" ca="1" si="38"/>
        <v>78.419509953040503</v>
      </c>
      <c r="F96" s="357">
        <f t="shared" ca="1" si="39"/>
        <v>80.364289813407566</v>
      </c>
      <c r="G96" s="359">
        <f t="shared" ca="1" si="40"/>
        <v>14.434298419970313</v>
      </c>
      <c r="H96" s="360">
        <f t="shared" ca="1" si="41"/>
        <v>72.374063656683788</v>
      </c>
      <c r="I96" s="357">
        <f t="shared" ca="1" si="42"/>
        <v>73.799417755551929</v>
      </c>
      <c r="J96" s="359">
        <f t="shared" ca="1" si="43"/>
        <v>6.2252515790502008</v>
      </c>
      <c r="K96" s="360">
        <f t="shared" ca="1" si="44"/>
        <v>32.87292535462295</v>
      </c>
      <c r="L96" s="357">
        <f t="shared" ca="1" si="29"/>
        <v>33.457181270888306</v>
      </c>
      <c r="M96" s="359">
        <f t="shared" ca="1" si="45"/>
        <v>1.3739390849147484</v>
      </c>
      <c r="N96" s="357">
        <f t="shared" ca="1" si="46"/>
        <v>78.720910873681518</v>
      </c>
      <c r="O96" s="343"/>
      <c r="P96" s="363">
        <f t="shared" ca="1" si="47"/>
        <v>6</v>
      </c>
      <c r="Q96" s="357">
        <f t="shared" ca="1" si="48"/>
        <v>1016.7140350877193</v>
      </c>
      <c r="R96" s="359">
        <f t="shared" ca="1" si="49"/>
        <v>0.50930486026498556</v>
      </c>
      <c r="S96" s="360">
        <f t="shared" ca="1" si="50"/>
        <v>11.137832595165465</v>
      </c>
      <c r="T96" s="357">
        <f t="shared" ca="1" si="30"/>
        <v>109.26213775857322</v>
      </c>
      <c r="U96" s="364">
        <f t="shared" ca="1" si="31"/>
        <v>0</v>
      </c>
      <c r="V96" s="359">
        <f t="shared" ca="1" si="32"/>
        <v>1.2209796746368369</v>
      </c>
      <c r="W96" s="357">
        <f t="shared" ca="1" si="33"/>
        <v>15.051990070939329</v>
      </c>
      <c r="X96" s="343"/>
      <c r="Y96" s="367" t="str">
        <f t="shared" ca="1" si="51"/>
        <v/>
      </c>
      <c r="Z96" s="368" t="str">
        <f t="shared" ca="1" si="52"/>
        <v/>
      </c>
      <c r="AA96" s="369" t="str">
        <f t="shared" ca="1" si="53"/>
        <v/>
      </c>
      <c r="AB96" s="344"/>
      <c r="AC96" s="363" t="e">
        <f t="shared" ca="1" si="54"/>
        <v>#N/A</v>
      </c>
      <c r="AD96" s="376" t="e">
        <f t="shared" ca="1" si="55"/>
        <v>#N/A</v>
      </c>
      <c r="AE96" s="377">
        <f t="shared" ca="1" si="34"/>
        <v>32.87292535462295</v>
      </c>
      <c r="AF96" s="344"/>
      <c r="AG96" s="359">
        <f t="shared" ca="1" si="56"/>
        <v>80.341441163153092</v>
      </c>
      <c r="AH96" s="357">
        <f t="shared" ca="1" si="57"/>
        <v>89.962469744288484</v>
      </c>
    </row>
    <row r="97" spans="1:34" x14ac:dyDescent="0.25">
      <c r="A97" s="402">
        <f t="shared" ca="1" si="35"/>
        <v>0.01</v>
      </c>
      <c r="B97" s="357">
        <f t="shared" ca="1" si="36"/>
        <v>0.9300000000000006</v>
      </c>
      <c r="C97" s="342"/>
      <c r="D97" s="359">
        <f t="shared" ca="1" si="37"/>
        <v>17.589124107885194</v>
      </c>
      <c r="E97" s="360">
        <f t="shared" ca="1" si="38"/>
        <v>78.3824670539001</v>
      </c>
      <c r="F97" s="357">
        <f t="shared" ca="1" si="39"/>
        <v>80.331739856287953</v>
      </c>
      <c r="G97" s="359">
        <f t="shared" ca="1" si="40"/>
        <v>14.610189661049164</v>
      </c>
      <c r="H97" s="360">
        <f t="shared" ca="1" si="41"/>
        <v>73.157888327222793</v>
      </c>
      <c r="I97" s="357">
        <f t="shared" ca="1" si="42"/>
        <v>74.602508445964659</v>
      </c>
      <c r="J97" s="359">
        <f t="shared" ca="1" si="43"/>
        <v>6.3704740194552985</v>
      </c>
      <c r="K97" s="360">
        <f t="shared" ca="1" si="44"/>
        <v>33.600585114542483</v>
      </c>
      <c r="L97" s="357">
        <f t="shared" ca="1" si="29"/>
        <v>34.199155826893865</v>
      </c>
      <c r="M97" s="359">
        <f t="shared" ca="1" si="45"/>
        <v>1.3736818923993048</v>
      </c>
      <c r="N97" s="357">
        <f t="shared" ca="1" si="46"/>
        <v>78.706174828024245</v>
      </c>
      <c r="O97" s="343"/>
      <c r="P97" s="363">
        <f t="shared" ca="1" si="47"/>
        <v>6</v>
      </c>
      <c r="Q97" s="357">
        <f t="shared" ca="1" si="48"/>
        <v>1016.2122807017544</v>
      </c>
      <c r="R97" s="359">
        <f t="shared" ca="1" si="49"/>
        <v>0.50905351530601761</v>
      </c>
      <c r="S97" s="360">
        <f t="shared" ca="1" si="50"/>
        <v>11.132742060012404</v>
      </c>
      <c r="T97" s="357">
        <f t="shared" ca="1" si="30"/>
        <v>109.21219960872169</v>
      </c>
      <c r="U97" s="364">
        <f t="shared" ca="1" si="31"/>
        <v>0</v>
      </c>
      <c r="V97" s="359">
        <f t="shared" ca="1" si="32"/>
        <v>1.2208908318461837</v>
      </c>
      <c r="W97" s="357">
        <f t="shared" ca="1" si="33"/>
        <v>15.380247043364824</v>
      </c>
      <c r="X97" s="343"/>
      <c r="Y97" s="367" t="str">
        <f t="shared" ca="1" si="51"/>
        <v/>
      </c>
      <c r="Z97" s="368" t="str">
        <f t="shared" ca="1" si="52"/>
        <v/>
      </c>
      <c r="AA97" s="369" t="str">
        <f t="shared" ca="1" si="53"/>
        <v/>
      </c>
      <c r="AB97" s="344"/>
      <c r="AC97" s="363" t="e">
        <f t="shared" ca="1" si="54"/>
        <v>#N/A</v>
      </c>
      <c r="AD97" s="376" t="e">
        <f t="shared" ca="1" si="55"/>
        <v>#N/A</v>
      </c>
      <c r="AE97" s="377">
        <f t="shared" ca="1" si="34"/>
        <v>33.600585114542483</v>
      </c>
      <c r="AF97" s="344"/>
      <c r="AG97" s="359">
        <f t="shared" ca="1" si="56"/>
        <v>80.308822300974398</v>
      </c>
      <c r="AH97" s="357">
        <f t="shared" ca="1" si="57"/>
        <v>89.929353005210956</v>
      </c>
    </row>
    <row r="98" spans="1:34" x14ac:dyDescent="0.25">
      <c r="A98" s="402">
        <f t="shared" ca="1" si="35"/>
        <v>0.01</v>
      </c>
      <c r="B98" s="357">
        <f t="shared" ca="1" si="36"/>
        <v>0.94000000000000061</v>
      </c>
      <c r="C98" s="342"/>
      <c r="D98" s="359">
        <f t="shared" ca="1" si="37"/>
        <v>17.605251077614</v>
      </c>
      <c r="E98" s="360">
        <f t="shared" ca="1" si="38"/>
        <v>78.345117913528483</v>
      </c>
      <c r="F98" s="357">
        <f t="shared" ca="1" si="39"/>
        <v>80.298831662674331</v>
      </c>
      <c r="G98" s="359">
        <f t="shared" ca="1" si="40"/>
        <v>14.786242171825304</v>
      </c>
      <c r="H98" s="360">
        <f t="shared" ca="1" si="41"/>
        <v>73.941339506358077</v>
      </c>
      <c r="I98" s="357">
        <f t="shared" ca="1" si="42"/>
        <v>75.405269348755553</v>
      </c>
      <c r="J98" s="359">
        <f t="shared" ca="1" si="43"/>
        <v>6.5174561786196712</v>
      </c>
      <c r="K98" s="360">
        <f t="shared" ca="1" si="44"/>
        <v>34.33608125371039</v>
      </c>
      <c r="L98" s="357">
        <f t="shared" ca="1" si="29"/>
        <v>34.949158944123816</v>
      </c>
      <c r="M98" s="359">
        <f t="shared" ca="1" si="45"/>
        <v>1.3734271098142425</v>
      </c>
      <c r="N98" s="357">
        <f t="shared" ca="1" si="46"/>
        <v>78.691576861206741</v>
      </c>
      <c r="O98" s="343"/>
      <c r="P98" s="363">
        <f t="shared" ca="1" si="47"/>
        <v>6</v>
      </c>
      <c r="Q98" s="357">
        <f t="shared" ca="1" si="48"/>
        <v>1015.7105263157895</v>
      </c>
      <c r="R98" s="359">
        <f t="shared" ca="1" si="49"/>
        <v>0.50880217034704978</v>
      </c>
      <c r="S98" s="360">
        <f t="shared" ca="1" si="50"/>
        <v>11.127654038308934</v>
      </c>
      <c r="T98" s="357">
        <f t="shared" ca="1" si="30"/>
        <v>109.16228611581066</v>
      </c>
      <c r="U98" s="364">
        <f t="shared" ca="1" si="31"/>
        <v>0</v>
      </c>
      <c r="V98" s="359">
        <f t="shared" ca="1" si="32"/>
        <v>1.2208010388399992</v>
      </c>
      <c r="W98" s="357">
        <f t="shared" ca="1" si="33"/>
        <v>15.711870800206368</v>
      </c>
      <c r="X98" s="343"/>
      <c r="Y98" s="367" t="str">
        <f t="shared" ca="1" si="51"/>
        <v/>
      </c>
      <c r="Z98" s="368" t="str">
        <f t="shared" ca="1" si="52"/>
        <v/>
      </c>
      <c r="AA98" s="369" t="str">
        <f t="shared" ca="1" si="53"/>
        <v/>
      </c>
      <c r="AB98" s="344"/>
      <c r="AC98" s="363" t="e">
        <f t="shared" ca="1" si="54"/>
        <v>#N/A</v>
      </c>
      <c r="AD98" s="376" t="e">
        <f t="shared" ca="1" si="55"/>
        <v>#N/A</v>
      </c>
      <c r="AE98" s="377">
        <f t="shared" ca="1" si="34"/>
        <v>34.33608125371039</v>
      </c>
      <c r="AF98" s="344"/>
      <c r="AG98" s="359">
        <f t="shared" ca="1" si="56"/>
        <v>80.275845535583869</v>
      </c>
      <c r="AH98" s="357">
        <f t="shared" ca="1" si="57"/>
        <v>89.895882441043653</v>
      </c>
    </row>
    <row r="99" spans="1:34" x14ac:dyDescent="0.25">
      <c r="A99" s="402">
        <f t="shared" ca="1" si="35"/>
        <v>0.01</v>
      </c>
      <c r="B99" s="357">
        <f t="shared" ca="1" si="36"/>
        <v>0.95000000000000062</v>
      </c>
      <c r="C99" s="342"/>
      <c r="D99" s="359">
        <f t="shared" ca="1" si="37"/>
        <v>17.621078298750529</v>
      </c>
      <c r="E99" s="360">
        <f t="shared" ca="1" si="38"/>
        <v>78.307462017409264</v>
      </c>
      <c r="F99" s="357">
        <f t="shared" ca="1" si="39"/>
        <v>80.265565518587678</v>
      </c>
      <c r="G99" s="359">
        <f t="shared" ca="1" si="40"/>
        <v>14.962452954812809</v>
      </c>
      <c r="H99" s="360">
        <f t="shared" ca="1" si="41"/>
        <v>74.724414126532167</v>
      </c>
      <c r="I99" s="357">
        <f t="shared" ca="1" si="42"/>
        <v>76.207696888033993</v>
      </c>
      <c r="J99" s="359">
        <f t="shared" ca="1" si="43"/>
        <v>6.6661996542528614</v>
      </c>
      <c r="K99" s="360">
        <f t="shared" ca="1" si="44"/>
        <v>35.079410021874843</v>
      </c>
      <c r="L99" s="357">
        <f t="shared" ca="1" si="29"/>
        <v>35.707187306103712</v>
      </c>
      <c r="M99" s="359">
        <f t="shared" ca="1" si="45"/>
        <v>1.3731746883425433</v>
      </c>
      <c r="N99" s="357">
        <f t="shared" ca="1" si="46"/>
        <v>78.677114176219902</v>
      </c>
      <c r="O99" s="343"/>
      <c r="P99" s="363">
        <f t="shared" ca="1" si="47"/>
        <v>6</v>
      </c>
      <c r="Q99" s="357">
        <f t="shared" ca="1" si="48"/>
        <v>1015.2087719298245</v>
      </c>
      <c r="R99" s="359">
        <f t="shared" ca="1" si="49"/>
        <v>0.50855082538808183</v>
      </c>
      <c r="S99" s="360">
        <f t="shared" ca="1" si="50"/>
        <v>11.122568530055053</v>
      </c>
      <c r="T99" s="357">
        <f t="shared" ca="1" si="30"/>
        <v>109.11239727984008</v>
      </c>
      <c r="U99" s="364">
        <f t="shared" ca="1" si="31"/>
        <v>0</v>
      </c>
      <c r="V99" s="359">
        <f t="shared" ca="1" si="32"/>
        <v>1.2207102962860932</v>
      </c>
      <c r="W99" s="357">
        <f t="shared" ca="1" si="33"/>
        <v>16.046853922141675</v>
      </c>
      <c r="X99" s="343"/>
      <c r="Y99" s="367" t="str">
        <f t="shared" ca="1" si="51"/>
        <v/>
      </c>
      <c r="Z99" s="368" t="str">
        <f t="shared" ca="1" si="52"/>
        <v/>
      </c>
      <c r="AA99" s="369" t="str">
        <f t="shared" ca="1" si="53"/>
        <v/>
      </c>
      <c r="AB99" s="344"/>
      <c r="AC99" s="363" t="e">
        <f t="shared" ca="1" si="54"/>
        <v>#N/A</v>
      </c>
      <c r="AD99" s="376" t="e">
        <f t="shared" ca="1" si="55"/>
        <v>#N/A</v>
      </c>
      <c r="AE99" s="377">
        <f t="shared" ca="1" si="34"/>
        <v>35.079410021874843</v>
      </c>
      <c r="AF99" s="344"/>
      <c r="AG99" s="359">
        <f t="shared" ca="1" si="56"/>
        <v>80.242511143080691</v>
      </c>
      <c r="AH99" s="357">
        <f t="shared" ca="1" si="57"/>
        <v>89.862058249298187</v>
      </c>
    </row>
    <row r="100" spans="1:34" x14ac:dyDescent="0.25">
      <c r="A100" s="402">
        <f t="shared" ca="1" si="35"/>
        <v>0.01</v>
      </c>
      <c r="B100" s="357">
        <f t="shared" ca="1" si="36"/>
        <v>0.96000000000000063</v>
      </c>
      <c r="C100" s="342"/>
      <c r="D100" s="359">
        <f t="shared" ca="1" si="37"/>
        <v>17.636610118348777</v>
      </c>
      <c r="E100" s="360">
        <f t="shared" ca="1" si="38"/>
        <v>78.269498879745655</v>
      </c>
      <c r="F100" s="357">
        <f t="shared" ca="1" si="39"/>
        <v>80.231941714962559</v>
      </c>
      <c r="G100" s="359">
        <f t="shared" ca="1" si="40"/>
        <v>15.138819055996297</v>
      </c>
      <c r="H100" s="360">
        <f t="shared" ca="1" si="41"/>
        <v>75.507109115329627</v>
      </c>
      <c r="I100" s="357">
        <f t="shared" ca="1" si="42"/>
        <v>77.009787490711147</v>
      </c>
      <c r="J100" s="359">
        <f t="shared" ca="1" si="43"/>
        <v>6.8167060143069067</v>
      </c>
      <c r="K100" s="360">
        <f t="shared" ca="1" si="44"/>
        <v>35.830567638084155</v>
      </c>
      <c r="L100" s="357">
        <f t="shared" ca="1" si="29"/>
        <v>36.473237560611636</v>
      </c>
      <c r="M100" s="359">
        <f t="shared" ca="1" si="45"/>
        <v>1.3729245806508239</v>
      </c>
      <c r="N100" s="357">
        <f t="shared" ca="1" si="46"/>
        <v>78.66278406106062</v>
      </c>
      <c r="O100" s="343"/>
      <c r="P100" s="363">
        <f t="shared" ca="1" si="47"/>
        <v>6</v>
      </c>
      <c r="Q100" s="357">
        <f t="shared" ca="1" si="48"/>
        <v>1014.7070175438596</v>
      </c>
      <c r="R100" s="359">
        <f t="shared" ca="1" si="49"/>
        <v>0.50829948042911399</v>
      </c>
      <c r="S100" s="360">
        <f t="shared" ca="1" si="50"/>
        <v>11.117485535250763</v>
      </c>
      <c r="T100" s="357">
        <f t="shared" ca="1" si="30"/>
        <v>109.06253310080999</v>
      </c>
      <c r="U100" s="364">
        <f t="shared" ca="1" si="31"/>
        <v>0</v>
      </c>
      <c r="V100" s="359">
        <f t="shared" ca="1" si="32"/>
        <v>1.2206186048580838</v>
      </c>
      <c r="W100" s="357">
        <f t="shared" ca="1" si="33"/>
        <v>16.38518891603584</v>
      </c>
      <c r="X100" s="343"/>
      <c r="Y100" s="367" t="str">
        <f t="shared" ca="1" si="51"/>
        <v/>
      </c>
      <c r="Z100" s="368" t="str">
        <f t="shared" ca="1" si="52"/>
        <v/>
      </c>
      <c r="AA100" s="369" t="str">
        <f t="shared" ca="1" si="53"/>
        <v/>
      </c>
      <c r="AB100" s="344"/>
      <c r="AC100" s="363" t="e">
        <f t="shared" ca="1" si="54"/>
        <v>#N/A</v>
      </c>
      <c r="AD100" s="376" t="e">
        <f t="shared" ca="1" si="55"/>
        <v>#N/A</v>
      </c>
      <c r="AE100" s="377">
        <f t="shared" ca="1" si="34"/>
        <v>35.830567638084155</v>
      </c>
      <c r="AF100" s="344"/>
      <c r="AG100" s="359">
        <f t="shared" ca="1" si="56"/>
        <v>80.20881940475239</v>
      </c>
      <c r="AH100" s="357">
        <f t="shared" ca="1" si="57"/>
        <v>89.827880634988603</v>
      </c>
    </row>
    <row r="101" spans="1:34" x14ac:dyDescent="0.25">
      <c r="A101" s="402">
        <f t="shared" ca="1" si="35"/>
        <v>0.01</v>
      </c>
      <c r="B101" s="357">
        <f t="shared" ca="1" si="36"/>
        <v>0.97000000000000064</v>
      </c>
      <c r="C101" s="342"/>
      <c r="D101" s="359">
        <f t="shared" ca="1" si="37"/>
        <v>17.651850751812731</v>
      </c>
      <c r="E101" s="360">
        <f t="shared" ca="1" si="38"/>
        <v>78.231228042600591</v>
      </c>
      <c r="F101" s="357">
        <f t="shared" ca="1" si="39"/>
        <v>80.197960547744913</v>
      </c>
      <c r="G101" s="359">
        <f t="shared" ca="1" si="40"/>
        <v>15.315337563514424</v>
      </c>
      <c r="H101" s="360">
        <f t="shared" ca="1" si="41"/>
        <v>76.289421395755639</v>
      </c>
      <c r="I101" s="357">
        <f t="shared" ca="1" si="42"/>
        <v>77.811537586553158</v>
      </c>
      <c r="J101" s="359">
        <f t="shared" ca="1" si="43"/>
        <v>6.9689767974044603</v>
      </c>
      <c r="K101" s="360">
        <f t="shared" ca="1" si="44"/>
        <v>36.589550290639579</v>
      </c>
      <c r="L101" s="357">
        <f t="shared" ca="1" si="29"/>
        <v>37.24730631970592</v>
      </c>
      <c r="M101" s="359">
        <f t="shared" ca="1" si="45"/>
        <v>1.3726767408292087</v>
      </c>
      <c r="N101" s="357">
        <f t="shared" ca="1" si="46"/>
        <v>78.648583885286783</v>
      </c>
      <c r="O101" s="343"/>
      <c r="P101" s="363">
        <f t="shared" ca="1" si="47"/>
        <v>6</v>
      </c>
      <c r="Q101" s="357">
        <f t="shared" ca="1" si="48"/>
        <v>1014.2052631578947</v>
      </c>
      <c r="R101" s="359">
        <f t="shared" ca="1" si="49"/>
        <v>0.50804813547014605</v>
      </c>
      <c r="S101" s="360">
        <f t="shared" ca="1" si="50"/>
        <v>11.112405053896062</v>
      </c>
      <c r="T101" s="357">
        <f t="shared" ca="1" si="30"/>
        <v>109.01269357872037</v>
      </c>
      <c r="U101" s="364">
        <f t="shared" ca="1" si="31"/>
        <v>0</v>
      </c>
      <c r="V101" s="359">
        <f t="shared" ca="1" si="32"/>
        <v>1.2205259652353979</v>
      </c>
      <c r="W101" s="357">
        <f t="shared" ca="1" si="33"/>
        <v>16.726868215188148</v>
      </c>
      <c r="X101" s="343"/>
      <c r="Y101" s="367" t="str">
        <f t="shared" ca="1" si="51"/>
        <v/>
      </c>
      <c r="Z101" s="368" t="str">
        <f t="shared" ca="1" si="52"/>
        <v/>
      </c>
      <c r="AA101" s="369" t="str">
        <f t="shared" ca="1" si="53"/>
        <v/>
      </c>
      <c r="AB101" s="344"/>
      <c r="AC101" s="363" t="e">
        <f t="shared" ca="1" si="54"/>
        <v>#N/A</v>
      </c>
      <c r="AD101" s="376" t="e">
        <f t="shared" ca="1" si="55"/>
        <v>#N/A</v>
      </c>
      <c r="AE101" s="377">
        <f t="shared" ca="1" si="34"/>
        <v>36.589550290639579</v>
      </c>
      <c r="AF101" s="344"/>
      <c r="AG101" s="359">
        <f t="shared" ca="1" si="56"/>
        <v>80.17477060716152</v>
      </c>
      <c r="AH101" s="357">
        <f t="shared" ca="1" si="57"/>
        <v>89.79334981062614</v>
      </c>
    </row>
    <row r="102" spans="1:34" x14ac:dyDescent="0.25">
      <c r="A102" s="402">
        <f t="shared" ca="1" si="35"/>
        <v>0.01</v>
      </c>
      <c r="B102" s="357">
        <f t="shared" ca="1" si="36"/>
        <v>0.98000000000000065</v>
      </c>
      <c r="C102" s="342"/>
      <c r="D102" s="359">
        <f t="shared" ca="1" si="37"/>
        <v>17.666804288324538</v>
      </c>
      <c r="E102" s="360">
        <f t="shared" ca="1" si="38"/>
        <v>78.19264907507889</v>
      </c>
      <c r="F102" s="357">
        <f t="shared" ca="1" si="39"/>
        <v>80.163622317984107</v>
      </c>
      <c r="G102" s="359">
        <f t="shared" ca="1" si="40"/>
        <v>15.492005606397669</v>
      </c>
      <c r="H102" s="360">
        <f t="shared" ca="1" si="41"/>
        <v>77.07134788650643</v>
      </c>
      <c r="I102" s="357">
        <f t="shared" ca="1" si="42"/>
        <v>78.612943608235128</v>
      </c>
      <c r="J102" s="359">
        <f t="shared" ca="1" si="43"/>
        <v>7.1230135132540209</v>
      </c>
      <c r="K102" s="360">
        <f t="shared" ca="1" si="44"/>
        <v>37.356354137050893</v>
      </c>
      <c r="L102" s="357">
        <f t="shared" ca="1" si="29"/>
        <v>38.029390159753532</v>
      </c>
      <c r="M102" s="359">
        <f t="shared" ca="1" si="45"/>
        <v>1.3724311243342329</v>
      </c>
      <c r="N102" s="357">
        <f t="shared" ca="1" si="46"/>
        <v>78.634511096745882</v>
      </c>
      <c r="O102" s="343"/>
      <c r="P102" s="363">
        <f t="shared" ca="1" si="47"/>
        <v>6</v>
      </c>
      <c r="Q102" s="357">
        <f t="shared" ca="1" si="48"/>
        <v>1013.7035087719298</v>
      </c>
      <c r="R102" s="359">
        <f t="shared" ca="1" si="49"/>
        <v>0.50779679051117821</v>
      </c>
      <c r="S102" s="360">
        <f t="shared" ca="1" si="50"/>
        <v>11.107327085990949</v>
      </c>
      <c r="T102" s="357">
        <f t="shared" ca="1" si="30"/>
        <v>108.96287871357121</v>
      </c>
      <c r="U102" s="364">
        <f t="shared" ca="1" si="31"/>
        <v>0</v>
      </c>
      <c r="V102" s="359">
        <f t="shared" ca="1" si="32"/>
        <v>1.2204323781032684</v>
      </c>
      <c r="W102" s="357">
        <f t="shared" ca="1" si="33"/>
        <v>17.071884179581946</v>
      </c>
      <c r="X102" s="343"/>
      <c r="Y102" s="367" t="str">
        <f t="shared" ca="1" si="51"/>
        <v/>
      </c>
      <c r="Z102" s="368" t="str">
        <f t="shared" ca="1" si="52"/>
        <v/>
      </c>
      <c r="AA102" s="369" t="str">
        <f t="shared" ca="1" si="53"/>
        <v/>
      </c>
      <c r="AB102" s="344"/>
      <c r="AC102" s="363" t="e">
        <f t="shared" ca="1" si="54"/>
        <v>#N/A</v>
      </c>
      <c r="AD102" s="376" t="e">
        <f t="shared" ca="1" si="55"/>
        <v>#N/A</v>
      </c>
      <c r="AE102" s="377">
        <f t="shared" ca="1" si="34"/>
        <v>37.356354137050893</v>
      </c>
      <c r="AF102" s="344"/>
      <c r="AG102" s="359">
        <f t="shared" ca="1" si="56"/>
        <v>80.140365042227444</v>
      </c>
      <c r="AH102" s="357">
        <f t="shared" ca="1" si="57"/>
        <v>89.758465996213673</v>
      </c>
    </row>
    <row r="103" spans="1:34" x14ac:dyDescent="0.25">
      <c r="A103" s="402">
        <f t="shared" ca="1" si="35"/>
        <v>0.01</v>
      </c>
      <c r="B103" s="357">
        <f t="shared" ca="1" si="36"/>
        <v>0.99000000000000066</v>
      </c>
      <c r="C103" s="342"/>
      <c r="D103" s="359">
        <f t="shared" ca="1" si="37"/>
        <v>17.68147469599851</v>
      </c>
      <c r="E103" s="360">
        <f t="shared" ca="1" si="38"/>
        <v>78.153761572549328</v>
      </c>
      <c r="F103" s="357">
        <f t="shared" ca="1" si="39"/>
        <v>80.128927331920053</v>
      </c>
      <c r="G103" s="359">
        <f t="shared" ca="1" si="40"/>
        <v>15.668820353357654</v>
      </c>
      <c r="H103" s="360">
        <f t="shared" ca="1" si="41"/>
        <v>77.852885502231928</v>
      </c>
      <c r="I103" s="357">
        <f t="shared" ca="1" si="42"/>
        <v>79.414001991395892</v>
      </c>
      <c r="J103" s="359">
        <f t="shared" ca="1" si="43"/>
        <v>7.2788176430527978</v>
      </c>
      <c r="K103" s="360">
        <f t="shared" ca="1" si="44"/>
        <v>38.130975303994582</v>
      </c>
      <c r="L103" s="357">
        <f t="shared" ca="1" si="29"/>
        <v>38.819485621458995</v>
      </c>
      <c r="M103" s="359">
        <f t="shared" ca="1" si="45"/>
        <v>1.372187687934598</v>
      </c>
      <c r="N103" s="357">
        <f t="shared" ca="1" si="46"/>
        <v>78.620563218466941</v>
      </c>
      <c r="O103" s="343"/>
      <c r="P103" s="363">
        <f t="shared" ca="1" si="47"/>
        <v>6</v>
      </c>
      <c r="Q103" s="357">
        <f t="shared" ca="1" si="48"/>
        <v>1013.2017543859648</v>
      </c>
      <c r="R103" s="359">
        <f t="shared" ca="1" si="49"/>
        <v>0.50754544555221026</v>
      </c>
      <c r="S103" s="360">
        <f t="shared" ca="1" si="50"/>
        <v>11.102251631535427</v>
      </c>
      <c r="T103" s="357">
        <f t="shared" ca="1" si="30"/>
        <v>108.91308850536255</v>
      </c>
      <c r="U103" s="364">
        <f t="shared" ca="1" si="31"/>
        <v>0</v>
      </c>
      <c r="V103" s="359">
        <f t="shared" ca="1" si="32"/>
        <v>1.2203378441527346</v>
      </c>
      <c r="W103" s="357">
        <f t="shared" ca="1" si="33"/>
        <v>17.420229096137842</v>
      </c>
      <c r="X103" s="343"/>
      <c r="Y103" s="367" t="str">
        <f t="shared" ca="1" si="51"/>
        <v/>
      </c>
      <c r="Z103" s="368" t="str">
        <f t="shared" ca="1" si="52"/>
        <v/>
      </c>
      <c r="AA103" s="369" t="str">
        <f t="shared" ca="1" si="53"/>
        <v/>
      </c>
      <c r="AB103" s="344"/>
      <c r="AC103" s="363" t="e">
        <f t="shared" ca="1" si="54"/>
        <v>#N/A</v>
      </c>
      <c r="AD103" s="376" t="e">
        <f t="shared" ca="1" si="55"/>
        <v>#N/A</v>
      </c>
      <c r="AE103" s="377">
        <f t="shared" ca="1" si="34"/>
        <v>38.130975303994582</v>
      </c>
      <c r="AF103" s="344"/>
      <c r="AG103" s="359">
        <f t="shared" ca="1" si="56"/>
        <v>80.105603007303444</v>
      </c>
      <c r="AH103" s="357">
        <f t="shared" ca="1" si="57"/>
        <v>89.723229419239829</v>
      </c>
    </row>
    <row r="104" spans="1:34" x14ac:dyDescent="0.25">
      <c r="A104" s="402">
        <f t="shared" ca="1" si="35"/>
        <v>0.01</v>
      </c>
      <c r="B104" s="357">
        <f t="shared" ca="1" si="36"/>
        <v>1.0000000000000007</v>
      </c>
      <c r="C104" s="342"/>
      <c r="D104" s="359">
        <f t="shared" ca="1" si="37"/>
        <v>17.695865826777297</v>
      </c>
      <c r="E104" s="360">
        <f t="shared" ca="1" si="38"/>
        <v>78.114565155904145</v>
      </c>
      <c r="F104" s="357">
        <f t="shared" ca="1" si="39"/>
        <v>80.093875901065601</v>
      </c>
      <c r="G104" s="359">
        <f t="shared" ca="1" si="40"/>
        <v>15.845779011625428</v>
      </c>
      <c r="H104" s="360">
        <f t="shared" ca="1" si="41"/>
        <v>78.634031153790971</v>
      </c>
      <c r="I104" s="357">
        <f t="shared" ca="1" si="42"/>
        <v>80.214709174693382</v>
      </c>
      <c r="J104" s="359">
        <f t="shared" ca="1" si="43"/>
        <v>7.4363906398777129</v>
      </c>
      <c r="K104" s="360">
        <f t="shared" ca="1" si="44"/>
        <v>38.913409887274696</v>
      </c>
      <c r="L104" s="357">
        <f t="shared" ca="1" si="29"/>
        <v>39.617589209893993</v>
      </c>
      <c r="M104" s="359">
        <f t="shared" ca="1" si="45"/>
        <v>1.371946389659608</v>
      </c>
      <c r="N104" s="357">
        <f t="shared" ca="1" si="46"/>
        <v>78.60673784570622</v>
      </c>
      <c r="O104" s="343"/>
      <c r="P104" s="363">
        <f t="shared" ca="1" si="47"/>
        <v>6</v>
      </c>
      <c r="Q104" s="357">
        <f t="shared" ca="1" si="48"/>
        <v>1012.6999999999999</v>
      </c>
      <c r="R104" s="359">
        <f t="shared" ca="1" si="49"/>
        <v>0.50729410059324243</v>
      </c>
      <c r="S104" s="360">
        <f t="shared" ca="1" si="50"/>
        <v>11.097178690529494</v>
      </c>
      <c r="T104" s="357">
        <f t="shared" ca="1" si="30"/>
        <v>108.86332295409434</v>
      </c>
      <c r="U104" s="364">
        <f t="shared" ca="1" si="31"/>
        <v>0</v>
      </c>
      <c r="V104" s="359">
        <f t="shared" ca="1" si="32"/>
        <v>1.2202423640806401</v>
      </c>
      <c r="W104" s="357">
        <f t="shared" ca="1" si="33"/>
        <v>17.771895178969967</v>
      </c>
      <c r="X104" s="343"/>
      <c r="Y104" s="367" t="str">
        <f t="shared" ca="1" si="51"/>
        <v/>
      </c>
      <c r="Z104" s="368" t="str">
        <f t="shared" ca="1" si="52"/>
        <v/>
      </c>
      <c r="AA104" s="369" t="str">
        <f t="shared" ca="1" si="53"/>
        <v/>
      </c>
      <c r="AB104" s="344"/>
      <c r="AC104" s="363">
        <f t="shared" ca="1" si="54"/>
        <v>1.0000000000000007</v>
      </c>
      <c r="AD104" s="376">
        <f t="shared" ca="1" si="55"/>
        <v>7.4363906398777129</v>
      </c>
      <c r="AE104" s="377">
        <f t="shared" ca="1" si="34"/>
        <v>38.913409887274696</v>
      </c>
      <c r="AF104" s="344"/>
      <c r="AG104" s="359">
        <f t="shared" ca="1" si="56"/>
        <v>80.07048480524972</v>
      </c>
      <c r="AH104" s="357">
        <f t="shared" ca="1" si="57"/>
        <v>89.68764031467289</v>
      </c>
    </row>
    <row r="105" spans="1:34" x14ac:dyDescent="0.25">
      <c r="A105" s="402">
        <f t="shared" ca="1" si="35"/>
        <v>0.01</v>
      </c>
      <c r="B105" s="357">
        <f t="shared" ca="1" si="36"/>
        <v>1.0100000000000007</v>
      </c>
      <c r="C105" s="342"/>
      <c r="D105" s="359">
        <f t="shared" ca="1" si="37"/>
        <v>17.709981421085541</v>
      </c>
      <c r="E105" s="360">
        <f t="shared" ca="1" si="38"/>
        <v>78.075059470853333</v>
      </c>
      <c r="F105" s="357">
        <f t="shared" ca="1" si="39"/>
        <v>80.058468342283945</v>
      </c>
      <c r="G105" s="359">
        <f t="shared" ca="1" si="40"/>
        <v>16.022878825836283</v>
      </c>
      <c r="H105" s="360">
        <f t="shared" ca="1" si="41"/>
        <v>79.414781748499507</v>
      </c>
      <c r="I105" s="357">
        <f t="shared" ca="1" si="42"/>
        <v>81.015061599860815</v>
      </c>
      <c r="J105" s="359">
        <f t="shared" ca="1" si="43"/>
        <v>7.5957339290650214</v>
      </c>
      <c r="K105" s="360">
        <f t="shared" ca="1" si="44"/>
        <v>39.703653951786151</v>
      </c>
      <c r="L105" s="357">
        <f t="shared" ca="1" si="29"/>
        <v>40.423697394527551</v>
      </c>
      <c r="M105" s="359">
        <f t="shared" ca="1" si="45"/>
        <v>1.3717071887501278</v>
      </c>
      <c r="N105" s="357">
        <f t="shared" ca="1" si="46"/>
        <v>78.59303264313732</v>
      </c>
      <c r="O105" s="343"/>
      <c r="P105" s="363">
        <f t="shared" ca="1" si="47"/>
        <v>6</v>
      </c>
      <c r="Q105" s="357">
        <f t="shared" ca="1" si="48"/>
        <v>1012.198245614035</v>
      </c>
      <c r="R105" s="359">
        <f t="shared" ca="1" si="49"/>
        <v>0.50704275563427448</v>
      </c>
      <c r="S105" s="360">
        <f t="shared" ca="1" si="50"/>
        <v>11.092108262973152</v>
      </c>
      <c r="T105" s="357">
        <f t="shared" ca="1" si="30"/>
        <v>108.81358205976663</v>
      </c>
      <c r="U105" s="364">
        <f t="shared" ca="1" si="31"/>
        <v>0</v>
      </c>
      <c r="V105" s="359">
        <f t="shared" ca="1" si="32"/>
        <v>1.2201459385896312</v>
      </c>
      <c r="W105" s="357">
        <f t="shared" ca="1" si="33"/>
        <v>18.126874569645498</v>
      </c>
      <c r="X105" s="343"/>
      <c r="Y105" s="367" t="str">
        <f t="shared" ca="1" si="51"/>
        <v/>
      </c>
      <c r="Z105" s="368" t="str">
        <f t="shared" ca="1" si="52"/>
        <v/>
      </c>
      <c r="AA105" s="369" t="str">
        <f t="shared" ca="1" si="53"/>
        <v/>
      </c>
      <c r="AB105" s="344"/>
      <c r="AC105" s="363" t="e">
        <f t="shared" ca="1" si="54"/>
        <v>#N/A</v>
      </c>
      <c r="AD105" s="376" t="e">
        <f t="shared" ca="1" si="55"/>
        <v>#N/A</v>
      </c>
      <c r="AE105" s="377">
        <f t="shared" ca="1" si="34"/>
        <v>39.703653951786151</v>
      </c>
      <c r="AF105" s="344"/>
      <c r="AG105" s="359">
        <f t="shared" ca="1" si="56"/>
        <v>80.035010744501875</v>
      </c>
      <c r="AH105" s="357">
        <f t="shared" ca="1" si="57"/>
        <v>89.651698924954133</v>
      </c>
    </row>
    <row r="106" spans="1:34" x14ac:dyDescent="0.25">
      <c r="A106" s="402">
        <f t="shared" ca="1" si="35"/>
        <v>0.01</v>
      </c>
      <c r="B106" s="357">
        <f t="shared" ca="1" si="36"/>
        <v>1.0200000000000007</v>
      </c>
      <c r="C106" s="342"/>
      <c r="D106" s="359">
        <f t="shared" ca="1" si="37"/>
        <v>17.723825112255497</v>
      </c>
      <c r="E106" s="360">
        <f t="shared" ca="1" si="38"/>
        <v>78.035244187252431</v>
      </c>
      <c r="F106" s="357">
        <f t="shared" ca="1" si="39"/>
        <v>80.022704977861963</v>
      </c>
      <c r="G106" s="359">
        <f t="shared" ca="1" si="40"/>
        <v>16.20011707695884</v>
      </c>
      <c r="H106" s="360">
        <f t="shared" ca="1" si="41"/>
        <v>80.195134190372031</v>
      </c>
      <c r="I106" s="357">
        <f t="shared" ca="1" si="42"/>
        <v>81.815055711763407</v>
      </c>
      <c r="J106" s="359">
        <f t="shared" ca="1" si="43"/>
        <v>7.7568489085789967</v>
      </c>
      <c r="K106" s="360">
        <f t="shared" ca="1" si="44"/>
        <v>40.501703531480509</v>
      </c>
      <c r="L106" s="357">
        <f t="shared" ca="1" si="29"/>
        <v>41.237806609256801</v>
      </c>
      <c r="M106" s="359">
        <f t="shared" ca="1" si="45"/>
        <v>1.371470045611918</v>
      </c>
      <c r="N106" s="357">
        <f t="shared" ca="1" si="46"/>
        <v>78.579445342177408</v>
      </c>
      <c r="O106" s="343"/>
      <c r="P106" s="363">
        <f t="shared" ca="1" si="47"/>
        <v>6</v>
      </c>
      <c r="Q106" s="357">
        <f t="shared" ca="1" si="48"/>
        <v>1011.6964912280702</v>
      </c>
      <c r="R106" s="359">
        <f t="shared" ca="1" si="49"/>
        <v>0.50679141067530664</v>
      </c>
      <c r="S106" s="360">
        <f t="shared" ca="1" si="50"/>
        <v>11.087040348866399</v>
      </c>
      <c r="T106" s="357">
        <f t="shared" ca="1" si="30"/>
        <v>108.76386582237937</v>
      </c>
      <c r="U106" s="364">
        <f t="shared" ca="1" si="31"/>
        <v>0</v>
      </c>
      <c r="V106" s="359">
        <f t="shared" ca="1" si="32"/>
        <v>1.2200485683881535</v>
      </c>
      <c r="W106" s="357">
        <f t="shared" ca="1" si="33"/>
        <v>18.485159337447278</v>
      </c>
      <c r="X106" s="343"/>
      <c r="Y106" s="367" t="str">
        <f t="shared" ca="1" si="51"/>
        <v/>
      </c>
      <c r="Z106" s="368" t="str">
        <f t="shared" ca="1" si="52"/>
        <v/>
      </c>
      <c r="AA106" s="369" t="str">
        <f t="shared" ca="1" si="53"/>
        <v/>
      </c>
      <c r="AB106" s="344"/>
      <c r="AC106" s="363" t="e">
        <f t="shared" ca="1" si="54"/>
        <v>#N/A</v>
      </c>
      <c r="AD106" s="376" t="e">
        <f t="shared" ca="1" si="55"/>
        <v>#N/A</v>
      </c>
      <c r="AE106" s="377">
        <f t="shared" ca="1" si="34"/>
        <v>40.501703531480509</v>
      </c>
      <c r="AF106" s="344"/>
      <c r="AG106" s="359">
        <f t="shared" ca="1" si="56"/>
        <v>79.999181139135686</v>
      </c>
      <c r="AH106" s="357">
        <f t="shared" ca="1" si="57"/>
        <v>89.615405499991056</v>
      </c>
    </row>
    <row r="107" spans="1:34" x14ac:dyDescent="0.25">
      <c r="A107" s="402">
        <f t="shared" ca="1" si="35"/>
        <v>0.01</v>
      </c>
      <c r="B107" s="357">
        <f t="shared" ca="1" si="36"/>
        <v>1.0300000000000007</v>
      </c>
      <c r="C107" s="342"/>
      <c r="D107" s="359">
        <f t="shared" ca="1" si="37"/>
        <v>17.737400430737733</v>
      </c>
      <c r="E107" s="360">
        <f t="shared" ca="1" si="38"/>
        <v>77.995118998461265</v>
      </c>
      <c r="F107" s="357">
        <f t="shared" ca="1" si="39"/>
        <v>79.986586135579444</v>
      </c>
      <c r="G107" s="359">
        <f t="shared" ca="1" si="40"/>
        <v>16.377491081266218</v>
      </c>
      <c r="H107" s="360">
        <f t="shared" ca="1" si="41"/>
        <v>80.975085380356646</v>
      </c>
      <c r="I107" s="357">
        <f t="shared" ca="1" si="42"/>
        <v>82.614687958455676</v>
      </c>
      <c r="J107" s="359">
        <f t="shared" ca="1" si="43"/>
        <v>7.9197369493701224</v>
      </c>
      <c r="K107" s="360">
        <f t="shared" ca="1" si="44"/>
        <v>41.307554629334149</v>
      </c>
      <c r="L107" s="357">
        <f t="shared" ca="1" si="29"/>
        <v>42.059913252438406</v>
      </c>
      <c r="M107" s="359">
        <f t="shared" ca="1" si="45"/>
        <v>1.3712349217712074</v>
      </c>
      <c r="N107" s="357">
        <f t="shared" ca="1" si="46"/>
        <v>78.565973738441784</v>
      </c>
      <c r="O107" s="343"/>
      <c r="P107" s="363">
        <f t="shared" ca="1" si="47"/>
        <v>6</v>
      </c>
      <c r="Q107" s="357">
        <f t="shared" ca="1" si="48"/>
        <v>1011.1947368421052</v>
      </c>
      <c r="R107" s="359">
        <f t="shared" ca="1" si="49"/>
        <v>0.50654006571633869</v>
      </c>
      <c r="S107" s="360">
        <f t="shared" ca="1" si="50"/>
        <v>11.081974948209236</v>
      </c>
      <c r="T107" s="357">
        <f t="shared" ca="1" si="30"/>
        <v>108.71417424193261</v>
      </c>
      <c r="U107" s="364">
        <f t="shared" ca="1" si="31"/>
        <v>0</v>
      </c>
      <c r="V107" s="359">
        <f t="shared" ca="1" si="32"/>
        <v>1.2199502541904514</v>
      </c>
      <c r="W107" s="357">
        <f t="shared" ca="1" si="33"/>
        <v>18.84674147963964</v>
      </c>
      <c r="X107" s="343"/>
      <c r="Y107" s="367" t="str">
        <f t="shared" ca="1" si="51"/>
        <v/>
      </c>
      <c r="Z107" s="368" t="str">
        <f t="shared" ca="1" si="52"/>
        <v/>
      </c>
      <c r="AA107" s="369" t="str">
        <f t="shared" ca="1" si="53"/>
        <v/>
      </c>
      <c r="AB107" s="344"/>
      <c r="AC107" s="363" t="e">
        <f t="shared" ca="1" si="54"/>
        <v>#N/A</v>
      </c>
      <c r="AD107" s="376" t="e">
        <f t="shared" ca="1" si="55"/>
        <v>#N/A</v>
      </c>
      <c r="AE107" s="377">
        <f t="shared" ca="1" si="34"/>
        <v>41.307554629334149</v>
      </c>
      <c r="AF107" s="344"/>
      <c r="AG107" s="359">
        <f t="shared" ca="1" si="56"/>
        <v>79.96299630892814</v>
      </c>
      <c r="AH107" s="357">
        <f t="shared" ca="1" si="57"/>
        <v>89.578760297150126</v>
      </c>
    </row>
    <row r="108" spans="1:34" x14ac:dyDescent="0.25">
      <c r="A108" s="402">
        <f t="shared" ca="1" si="35"/>
        <v>0.01</v>
      </c>
      <c r="B108" s="357">
        <f t="shared" ca="1" si="36"/>
        <v>1.0400000000000007</v>
      </c>
      <c r="C108" s="342"/>
      <c r="D108" s="359">
        <f t="shared" ca="1" si="37"/>
        <v>17.750710808109588</v>
      </c>
      <c r="E108" s="360">
        <f t="shared" ca="1" si="38"/>
        <v>77.954683620732197</v>
      </c>
      <c r="F108" s="357">
        <f t="shared" ca="1" si="39"/>
        <v>79.950112148774323</v>
      </c>
      <c r="G108" s="359">
        <f t="shared" ca="1" si="40"/>
        <v>16.554998189347312</v>
      </c>
      <c r="H108" s="360">
        <f t="shared" ca="1" si="41"/>
        <v>81.754632216563962</v>
      </c>
      <c r="I108" s="357">
        <f t="shared" ca="1" si="42"/>
        <v>83.413954791239405</v>
      </c>
      <c r="J108" s="359">
        <f t="shared" ca="1" si="43"/>
        <v>8.0843993957231906</v>
      </c>
      <c r="K108" s="360">
        <f t="shared" ca="1" si="44"/>
        <v>42.121203217318751</v>
      </c>
      <c r="L108" s="357">
        <f t="shared" ca="1" si="29"/>
        <v>42.890013686920561</v>
      </c>
      <c r="M108" s="359">
        <f t="shared" ca="1" si="45"/>
        <v>1.371001779832377</v>
      </c>
      <c r="N108" s="357">
        <f t="shared" ca="1" si="46"/>
        <v>78.55261568931931</v>
      </c>
      <c r="O108" s="343"/>
      <c r="P108" s="363">
        <f t="shared" ca="1" si="47"/>
        <v>6</v>
      </c>
      <c r="Q108" s="357">
        <f t="shared" ca="1" si="48"/>
        <v>1010.6929824561403</v>
      </c>
      <c r="R108" s="359">
        <f t="shared" ca="1" si="49"/>
        <v>0.50628872075737075</v>
      </c>
      <c r="S108" s="360">
        <f t="shared" ca="1" si="50"/>
        <v>11.076912061001662</v>
      </c>
      <c r="T108" s="357">
        <f t="shared" ca="1" si="30"/>
        <v>108.66450731842632</v>
      </c>
      <c r="U108" s="364">
        <f t="shared" ca="1" si="31"/>
        <v>0</v>
      </c>
      <c r="V108" s="359">
        <f t="shared" ca="1" si="32"/>
        <v>1.2198509967165621</v>
      </c>
      <c r="W108" s="357">
        <f t="shared" ca="1" si="33"/>
        <v>19.211612921737316</v>
      </c>
      <c r="X108" s="343"/>
      <c r="Y108" s="367" t="str">
        <f t="shared" ca="1" si="51"/>
        <v/>
      </c>
      <c r="Z108" s="368" t="str">
        <f t="shared" ca="1" si="52"/>
        <v/>
      </c>
      <c r="AA108" s="369" t="str">
        <f t="shared" ca="1" si="53"/>
        <v/>
      </c>
      <c r="AB108" s="344"/>
      <c r="AC108" s="363" t="e">
        <f t="shared" ca="1" si="54"/>
        <v>#N/A</v>
      </c>
      <c r="AD108" s="376" t="e">
        <f t="shared" ca="1" si="55"/>
        <v>#N/A</v>
      </c>
      <c r="AE108" s="377">
        <f t="shared" ca="1" si="34"/>
        <v>42.121203217318751</v>
      </c>
      <c r="AF108" s="344"/>
      <c r="AG108" s="359">
        <f t="shared" ca="1" si="56"/>
        <v>79.926456579415031</v>
      </c>
      <c r="AH108" s="357">
        <f t="shared" ca="1" si="57"/>
        <v>89.541763581249384</v>
      </c>
    </row>
    <row r="109" spans="1:34" x14ac:dyDescent="0.25">
      <c r="A109" s="402">
        <f t="shared" ca="1" si="35"/>
        <v>0.01</v>
      </c>
      <c r="B109" s="357">
        <f t="shared" ca="1" si="36"/>
        <v>1.0500000000000007</v>
      </c>
      <c r="C109" s="342"/>
      <c r="D109" s="359">
        <f t="shared" ca="1" si="37"/>
        <v>17.7637595808926</v>
      </c>
      <c r="E109" s="360">
        <f t="shared" ca="1" si="38"/>
        <v>77.913937792625987</v>
      </c>
      <c r="F109" s="357">
        <f t="shared" ca="1" si="39"/>
        <v>79.913283356404179</v>
      </c>
      <c r="G109" s="359">
        <f t="shared" ca="1" si="40"/>
        <v>16.732635785156237</v>
      </c>
      <c r="H109" s="360">
        <f t="shared" ca="1" si="41"/>
        <v>82.533771594490219</v>
      </c>
      <c r="I109" s="357">
        <f t="shared" ca="1" si="42"/>
        <v>84.212852664721979</v>
      </c>
      <c r="J109" s="359">
        <f t="shared" ca="1" si="43"/>
        <v>8.2508375655957078</v>
      </c>
      <c r="K109" s="360">
        <f t="shared" ca="1" si="44"/>
        <v>42.94264523637402</v>
      </c>
      <c r="L109" s="357">
        <f t="shared" ca="1" si="29"/>
        <v>43.728104240075645</v>
      </c>
      <c r="M109" s="359">
        <f t="shared" ca="1" si="45"/>
        <v>1.3707705834376323</v>
      </c>
      <c r="N109" s="357">
        <f t="shared" ca="1" si="46"/>
        <v>78.539369111661799</v>
      </c>
      <c r="O109" s="343"/>
      <c r="P109" s="363">
        <f t="shared" ca="1" si="47"/>
        <v>6</v>
      </c>
      <c r="Q109" s="357">
        <f t="shared" ca="1" si="48"/>
        <v>1010.1912280701754</v>
      </c>
      <c r="R109" s="359">
        <f t="shared" ca="1" si="49"/>
        <v>0.50603737579840291</v>
      </c>
      <c r="S109" s="360">
        <f t="shared" ca="1" si="50"/>
        <v>11.071851687243678</v>
      </c>
      <c r="T109" s="357">
        <f t="shared" ca="1" si="30"/>
        <v>108.61486505186048</v>
      </c>
      <c r="U109" s="364">
        <f t="shared" ca="1" si="31"/>
        <v>0</v>
      </c>
      <c r="V109" s="359">
        <f t="shared" ca="1" si="32"/>
        <v>1.2197507966923151</v>
      </c>
      <c r="W109" s="357">
        <f t="shared" ca="1" si="33"/>
        <v>19.579765517777574</v>
      </c>
      <c r="X109" s="343"/>
      <c r="Y109" s="367" t="str">
        <f t="shared" ca="1" si="51"/>
        <v/>
      </c>
      <c r="Z109" s="368" t="str">
        <f t="shared" ca="1" si="52"/>
        <v/>
      </c>
      <c r="AA109" s="369" t="str">
        <f t="shared" ca="1" si="53"/>
        <v/>
      </c>
      <c r="AB109" s="344"/>
      <c r="AC109" s="363" t="e">
        <f t="shared" ca="1" si="54"/>
        <v>#N/A</v>
      </c>
      <c r="AD109" s="376" t="e">
        <f t="shared" ca="1" si="55"/>
        <v>#N/A</v>
      </c>
      <c r="AE109" s="377">
        <f t="shared" ca="1" si="34"/>
        <v>42.94264523637402</v>
      </c>
      <c r="AF109" s="344"/>
      <c r="AG109" s="359">
        <f t="shared" ca="1" si="56"/>
        <v>79.889562281944933</v>
      </c>
      <c r="AH109" s="357">
        <f t="shared" ca="1" si="57"/>
        <v>89.504415624550433</v>
      </c>
    </row>
    <row r="110" spans="1:34" x14ac:dyDescent="0.25">
      <c r="A110" s="402">
        <f t="shared" ca="1" si="35"/>
        <v>0.01</v>
      </c>
      <c r="B110" s="357">
        <f t="shared" ca="1" si="36"/>
        <v>1.0600000000000007</v>
      </c>
      <c r="C110" s="342"/>
      <c r="D110" s="359">
        <f t="shared" ca="1" si="37"/>
        <v>17.776549994190233</v>
      </c>
      <c r="E110" s="360">
        <f t="shared" ca="1" si="38"/>
        <v>77.872881274453931</v>
      </c>
      <c r="F110" s="357">
        <f t="shared" ca="1" si="39"/>
        <v>79.876100103104321</v>
      </c>
      <c r="G110" s="359">
        <f t="shared" ca="1" si="40"/>
        <v>16.910401285098139</v>
      </c>
      <c r="H110" s="360">
        <f t="shared" ca="1" si="41"/>
        <v>83.312500407234751</v>
      </c>
      <c r="I110" s="357">
        <f t="shared" ca="1" si="42"/>
        <v>85.011378036875385</v>
      </c>
      <c r="J110" s="359">
        <f t="shared" ca="1" si="43"/>
        <v>8.4190527509469799</v>
      </c>
      <c r="K110" s="360">
        <f t="shared" ca="1" si="44"/>
        <v>43.771876596382647</v>
      </c>
      <c r="L110" s="357">
        <f t="shared" ca="1" si="29"/>
        <v>44.574181203833447</v>
      </c>
      <c r="M110" s="359">
        <f t="shared" ca="1" si="45"/>
        <v>1.3705412972285569</v>
      </c>
      <c r="N110" s="357">
        <f t="shared" ca="1" si="46"/>
        <v>78.526231979581226</v>
      </c>
      <c r="O110" s="343"/>
      <c r="P110" s="363">
        <f t="shared" ca="1" si="47"/>
        <v>6</v>
      </c>
      <c r="Q110" s="357">
        <f t="shared" ca="1" si="48"/>
        <v>1009.6894736842105</v>
      </c>
      <c r="R110" s="359">
        <f t="shared" ca="1" si="49"/>
        <v>0.50578603083943507</v>
      </c>
      <c r="S110" s="360">
        <f t="shared" ca="1" si="50"/>
        <v>11.066793826935283</v>
      </c>
      <c r="T110" s="357">
        <f t="shared" ca="1" si="30"/>
        <v>108.56524744223513</v>
      </c>
      <c r="U110" s="364">
        <f t="shared" ca="1" si="31"/>
        <v>0</v>
      </c>
      <c r="V110" s="359">
        <f t="shared" ca="1" si="32"/>
        <v>1.2196496548493272</v>
      </c>
      <c r="W110" s="357">
        <f t="shared" ca="1" si="33"/>
        <v>19.951191050595398</v>
      </c>
      <c r="X110" s="343"/>
      <c r="Y110" s="367" t="str">
        <f t="shared" ca="1" si="51"/>
        <v/>
      </c>
      <c r="Z110" s="368" t="str">
        <f t="shared" ca="1" si="52"/>
        <v/>
      </c>
      <c r="AA110" s="369" t="str">
        <f t="shared" ca="1" si="53"/>
        <v/>
      </c>
      <c r="AB110" s="344"/>
      <c r="AC110" s="363" t="e">
        <f t="shared" ca="1" si="54"/>
        <v>#N/A</v>
      </c>
      <c r="AD110" s="376" t="e">
        <f t="shared" ca="1" si="55"/>
        <v>#N/A</v>
      </c>
      <c r="AE110" s="377">
        <f t="shared" ca="1" si="34"/>
        <v>43.771876596382647</v>
      </c>
      <c r="AF110" s="344"/>
      <c r="AG110" s="359">
        <f t="shared" ca="1" si="56"/>
        <v>79.8523137537303</v>
      </c>
      <c r="AH110" s="357">
        <f t="shared" ca="1" si="57"/>
        <v>89.46671670675039</v>
      </c>
    </row>
    <row r="111" spans="1:34" x14ac:dyDescent="0.25">
      <c r="A111" s="402">
        <f t="shared" ca="1" si="35"/>
        <v>0.01</v>
      </c>
      <c r="B111" s="357">
        <f t="shared" ca="1" si="36"/>
        <v>1.0700000000000007</v>
      </c>
      <c r="C111" s="342"/>
      <c r="D111" s="359">
        <f t="shared" ca="1" si="37"/>
        <v>17.789085205155462</v>
      </c>
      <c r="E111" s="360">
        <f t="shared" ca="1" si="38"/>
        <v>77.831513847744702</v>
      </c>
      <c r="F111" s="357">
        <f t="shared" ca="1" si="39"/>
        <v>79.838562739242477</v>
      </c>
      <c r="G111" s="359">
        <f t="shared" ca="1" si="40"/>
        <v>17.088292137149693</v>
      </c>
      <c r="H111" s="360">
        <f t="shared" ca="1" si="41"/>
        <v>84.090815545712204</v>
      </c>
      <c r="I111" s="357">
        <f t="shared" ca="1" si="42"/>
        <v>85.809527369095591</v>
      </c>
      <c r="J111" s="359">
        <f t="shared" ca="1" si="43"/>
        <v>8.5890462180582183</v>
      </c>
      <c r="K111" s="360">
        <f t="shared" ca="1" si="44"/>
        <v>44.608893176147383</v>
      </c>
      <c r="L111" s="357">
        <f t="shared" ca="1" si="29"/>
        <v>45.428240834715012</v>
      </c>
      <c r="M111" s="359">
        <f t="shared" ca="1" si="45"/>
        <v>1.3703138868094398</v>
      </c>
      <c r="N111" s="357">
        <f t="shared" ca="1" si="46"/>
        <v>78.513202322348505</v>
      </c>
      <c r="O111" s="343"/>
      <c r="P111" s="363">
        <f t="shared" ca="1" si="47"/>
        <v>6</v>
      </c>
      <c r="Q111" s="357">
        <f t="shared" ca="1" si="48"/>
        <v>1009.1877192982456</v>
      </c>
      <c r="R111" s="359">
        <f t="shared" ca="1" si="49"/>
        <v>0.50553468588046713</v>
      </c>
      <c r="S111" s="360">
        <f t="shared" ca="1" si="50"/>
        <v>11.061738480076478</v>
      </c>
      <c r="T111" s="357">
        <f t="shared" ca="1" si="30"/>
        <v>108.51565448955026</v>
      </c>
      <c r="U111" s="364">
        <f t="shared" ca="1" si="31"/>
        <v>0</v>
      </c>
      <c r="V111" s="359">
        <f t="shared" ca="1" si="32"/>
        <v>1.2195475719249993</v>
      </c>
      <c r="W111" s="357">
        <f t="shared" ca="1" si="33"/>
        <v>20.325881232101874</v>
      </c>
      <c r="X111" s="343"/>
      <c r="Y111" s="367" t="str">
        <f t="shared" ca="1" si="51"/>
        <v/>
      </c>
      <c r="Z111" s="368" t="str">
        <f t="shared" ca="1" si="52"/>
        <v/>
      </c>
      <c r="AA111" s="369" t="str">
        <f t="shared" ca="1" si="53"/>
        <v/>
      </c>
      <c r="AB111" s="344"/>
      <c r="AC111" s="363" t="e">
        <f t="shared" ca="1" si="54"/>
        <v>#N/A</v>
      </c>
      <c r="AD111" s="376" t="e">
        <f t="shared" ca="1" si="55"/>
        <v>#N/A</v>
      </c>
      <c r="AE111" s="377">
        <f t="shared" ca="1" si="34"/>
        <v>44.608893176147383</v>
      </c>
      <c r="AF111" s="344"/>
      <c r="AG111" s="359">
        <f t="shared" ca="1" si="56"/>
        <v>79.814711337895389</v>
      </c>
      <c r="AH111" s="357">
        <f t="shared" ca="1" si="57"/>
        <v>89.428667114973308</v>
      </c>
    </row>
    <row r="112" spans="1:34" x14ac:dyDescent="0.25">
      <c r="A112" s="402">
        <f t="shared" ca="1" si="35"/>
        <v>0.01</v>
      </c>
      <c r="B112" s="357">
        <f t="shared" ca="1" si="36"/>
        <v>1.0800000000000007</v>
      </c>
      <c r="C112" s="342"/>
      <c r="D112" s="359">
        <f t="shared" ca="1" si="37"/>
        <v>17.801368286298111</v>
      </c>
      <c r="E112" s="360">
        <f t="shared" ca="1" si="38"/>
        <v>77.789835314734489</v>
      </c>
      <c r="F112" s="357">
        <f t="shared" ca="1" si="39"/>
        <v>79.800671620970292</v>
      </c>
      <c r="G112" s="359">
        <f t="shared" ca="1" si="40"/>
        <v>17.266305820012676</v>
      </c>
      <c r="H112" s="360">
        <f t="shared" ca="1" si="41"/>
        <v>84.868713898859554</v>
      </c>
      <c r="I112" s="357">
        <f t="shared" ca="1" si="42"/>
        <v>86.607297126262296</v>
      </c>
      <c r="J112" s="359">
        <f t="shared" ca="1" si="43"/>
        <v>8.7608192078440297</v>
      </c>
      <c r="K112" s="360">
        <f t="shared" ca="1" si="44"/>
        <v>45.453690823370245</v>
      </c>
      <c r="L112" s="357">
        <f t="shared" ca="1" si="29"/>
        <v>46.290279353867177</v>
      </c>
      <c r="M112" s="359">
        <f t="shared" ca="1" si="45"/>
        <v>1.3700883187122783</v>
      </c>
      <c r="N112" s="357">
        <f t="shared" ca="1" si="46"/>
        <v>78.50027822238836</v>
      </c>
      <c r="O112" s="343"/>
      <c r="P112" s="363">
        <f t="shared" ca="1" si="47"/>
        <v>6</v>
      </c>
      <c r="Q112" s="357">
        <f t="shared" ca="1" si="48"/>
        <v>1008.6859649122806</v>
      </c>
      <c r="R112" s="359">
        <f t="shared" ca="1" si="49"/>
        <v>0.50528334092149918</v>
      </c>
      <c r="S112" s="360">
        <f t="shared" ca="1" si="50"/>
        <v>11.056685646667264</v>
      </c>
      <c r="T112" s="357">
        <f t="shared" ca="1" si="30"/>
        <v>108.46608619380586</v>
      </c>
      <c r="U112" s="364">
        <f t="shared" ca="1" si="31"/>
        <v>0</v>
      </c>
      <c r="V112" s="359">
        <f t="shared" ca="1" si="32"/>
        <v>1.2194445486625112</v>
      </c>
      <c r="W112" s="357">
        <f t="shared" ca="1" si="33"/>
        <v>20.703827703565544</v>
      </c>
      <c r="X112" s="343"/>
      <c r="Y112" s="367" t="str">
        <f t="shared" ca="1" si="51"/>
        <v/>
      </c>
      <c r="Z112" s="368" t="str">
        <f t="shared" ca="1" si="52"/>
        <v/>
      </c>
      <c r="AA112" s="369" t="str">
        <f t="shared" ca="1" si="53"/>
        <v/>
      </c>
      <c r="AB112" s="344"/>
      <c r="AC112" s="363" t="e">
        <f t="shared" ca="1" si="54"/>
        <v>#N/A</v>
      </c>
      <c r="AD112" s="376" t="e">
        <f t="shared" ca="1" si="55"/>
        <v>#N/A</v>
      </c>
      <c r="AE112" s="377">
        <f t="shared" ca="1" si="34"/>
        <v>45.453690823370245</v>
      </c>
      <c r="AF112" s="344"/>
      <c r="AG112" s="359">
        <f t="shared" ca="1" si="56"/>
        <v>79.776755383521376</v>
      </c>
      <c r="AH112" s="357">
        <f t="shared" ca="1" si="57"/>
        <v>89.390267143761378</v>
      </c>
    </row>
    <row r="113" spans="1:34" x14ac:dyDescent="0.25">
      <c r="A113" s="402">
        <f t="shared" ca="1" si="35"/>
        <v>0.01</v>
      </c>
      <c r="B113" s="357">
        <f t="shared" ca="1" si="36"/>
        <v>1.0900000000000007</v>
      </c>
      <c r="C113" s="342"/>
      <c r="D113" s="359">
        <f t="shared" ca="1" si="37"/>
        <v>17.813402228640559</v>
      </c>
      <c r="E113" s="360">
        <f t="shared" ca="1" si="38"/>
        <v>77.74784549787924</v>
      </c>
      <c r="F113" s="357">
        <f t="shared" ca="1" si="39"/>
        <v>79.762427110271901</v>
      </c>
      <c r="G113" s="359">
        <f t="shared" ca="1" si="40"/>
        <v>17.444439842299079</v>
      </c>
      <c r="H113" s="360">
        <f t="shared" ca="1" si="41"/>
        <v>85.646192353838345</v>
      </c>
      <c r="I113" s="357">
        <f t="shared" ca="1" si="42"/>
        <v>87.404683776799232</v>
      </c>
      <c r="J113" s="359">
        <f t="shared" ca="1" si="43"/>
        <v>8.9343729361555884</v>
      </c>
      <c r="K113" s="360">
        <f t="shared" ca="1" si="44"/>
        <v>46.306265354633737</v>
      </c>
      <c r="L113" s="357">
        <f t="shared" ca="1" si="29"/>
        <v>47.160292947097581</v>
      </c>
      <c r="M113" s="359">
        <f t="shared" ca="1" si="45"/>
        <v>1.3698645603633675</v>
      </c>
      <c r="N113" s="357">
        <f t="shared" ca="1" si="46"/>
        <v>78.487457813364955</v>
      </c>
      <c r="O113" s="343"/>
      <c r="P113" s="363">
        <f t="shared" ca="1" si="47"/>
        <v>6</v>
      </c>
      <c r="Q113" s="357">
        <f t="shared" ca="1" si="48"/>
        <v>1008.1842105263157</v>
      </c>
      <c r="R113" s="359">
        <f t="shared" ca="1" si="49"/>
        <v>0.50503199596253134</v>
      </c>
      <c r="S113" s="360">
        <f t="shared" ca="1" si="50"/>
        <v>11.051635326707638</v>
      </c>
      <c r="T113" s="357">
        <f t="shared" ca="1" si="30"/>
        <v>108.41654255500194</v>
      </c>
      <c r="U113" s="364">
        <f t="shared" ca="1" si="31"/>
        <v>0</v>
      </c>
      <c r="V113" s="359">
        <f t="shared" ca="1" si="32"/>
        <v>1.2193405858108175</v>
      </c>
      <c r="W113" s="357">
        <f t="shared" ca="1" si="33"/>
        <v>21.085022035896991</v>
      </c>
      <c r="X113" s="343"/>
      <c r="Y113" s="367" t="str">
        <f t="shared" ca="1" si="51"/>
        <v/>
      </c>
      <c r="Z113" s="368" t="str">
        <f t="shared" ca="1" si="52"/>
        <v/>
      </c>
      <c r="AA113" s="369" t="str">
        <f t="shared" ca="1" si="53"/>
        <v/>
      </c>
      <c r="AB113" s="344"/>
      <c r="AC113" s="363" t="e">
        <f t="shared" ca="1" si="54"/>
        <v>#N/A</v>
      </c>
      <c r="AD113" s="376" t="e">
        <f t="shared" ca="1" si="55"/>
        <v>#N/A</v>
      </c>
      <c r="AE113" s="377">
        <f t="shared" ca="1" si="34"/>
        <v>46.306265354633737</v>
      </c>
      <c r="AF113" s="344"/>
      <c r="AG113" s="359">
        <f t="shared" ca="1" si="56"/>
        <v>79.738446245688664</v>
      </c>
      <c r="AH113" s="357">
        <f t="shared" ca="1" si="57"/>
        <v>89.351517095065759</v>
      </c>
    </row>
    <row r="114" spans="1:34" x14ac:dyDescent="0.25">
      <c r="A114" s="402">
        <f t="shared" ca="1" si="35"/>
        <v>0.01</v>
      </c>
      <c r="B114" s="357">
        <f t="shared" ca="1" si="36"/>
        <v>1.1000000000000008</v>
      </c>
      <c r="C114" s="342"/>
      <c r="D114" s="359">
        <f t="shared" ca="1" si="37"/>
        <v>17.825189944730141</v>
      </c>
      <c r="E114" s="360">
        <f t="shared" ca="1" si="38"/>
        <v>77.705544239387677</v>
      </c>
      <c r="F114" s="357">
        <f t="shared" ca="1" si="39"/>
        <v>79.723829575009404</v>
      </c>
      <c r="G114" s="359">
        <f t="shared" ca="1" si="40"/>
        <v>17.62269174174638</v>
      </c>
      <c r="H114" s="360">
        <f t="shared" ca="1" si="41"/>
        <v>86.423247796232218</v>
      </c>
      <c r="I114" s="357">
        <f t="shared" ca="1" si="42"/>
        <v>88.201683792734769</v>
      </c>
      <c r="J114" s="359">
        <f t="shared" ca="1" si="43"/>
        <v>9.1097085940758156</v>
      </c>
      <c r="K114" s="360">
        <f t="shared" ca="1" si="44"/>
        <v>47.166612555384091</v>
      </c>
      <c r="L114" s="357">
        <f t="shared" ca="1" si="29"/>
        <v>48.038277764910504</v>
      </c>
      <c r="M114" s="359">
        <f t="shared" ca="1" si="45"/>
        <v>1.3696425800513885</v>
      </c>
      <c r="N114" s="357">
        <f t="shared" ca="1" si="46"/>
        <v>78.474739278353567</v>
      </c>
      <c r="O114" s="343"/>
      <c r="P114" s="363">
        <f t="shared" ca="1" si="47"/>
        <v>6</v>
      </c>
      <c r="Q114" s="357">
        <f t="shared" ca="1" si="48"/>
        <v>1007.6824561403508</v>
      </c>
      <c r="R114" s="359">
        <f t="shared" ca="1" si="49"/>
        <v>0.50478065100356351</v>
      </c>
      <c r="S114" s="360">
        <f t="shared" ca="1" si="50"/>
        <v>11.046587520197603</v>
      </c>
      <c r="T114" s="357">
        <f t="shared" ca="1" si="30"/>
        <v>108.3670235731385</v>
      </c>
      <c r="U114" s="364">
        <f t="shared" ca="1" si="31"/>
        <v>0</v>
      </c>
      <c r="V114" s="359">
        <f t="shared" ca="1" si="32"/>
        <v>1.2192356841246423</v>
      </c>
      <c r="W114" s="357">
        <f t="shared" ca="1" si="33"/>
        <v>21.469455729936428</v>
      </c>
      <c r="X114" s="343"/>
      <c r="Y114" s="367" t="str">
        <f t="shared" ca="1" si="51"/>
        <v/>
      </c>
      <c r="Z114" s="368" t="str">
        <f t="shared" ca="1" si="52"/>
        <v/>
      </c>
      <c r="AA114" s="369" t="str">
        <f t="shared" ca="1" si="53"/>
        <v/>
      </c>
      <c r="AB114" s="344"/>
      <c r="AC114" s="363" t="e">
        <f t="shared" ca="1" si="54"/>
        <v>#N/A</v>
      </c>
      <c r="AD114" s="376" t="e">
        <f t="shared" ca="1" si="55"/>
        <v>#N/A</v>
      </c>
      <c r="AE114" s="377">
        <f t="shared" ca="1" si="34"/>
        <v>47.166612555384091</v>
      </c>
      <c r="AF114" s="344"/>
      <c r="AG114" s="359">
        <f t="shared" ca="1" si="56"/>
        <v>79.699784285516614</v>
      </c>
      <c r="AH114" s="357">
        <f t="shared" ca="1" si="57"/>
        <v>89.312417278237021</v>
      </c>
    </row>
    <row r="115" spans="1:34" x14ac:dyDescent="0.25">
      <c r="A115" s="402">
        <f t="shared" ca="1" si="35"/>
        <v>0.01</v>
      </c>
      <c r="B115" s="357">
        <f t="shared" ca="1" si="36"/>
        <v>1.1100000000000008</v>
      </c>
      <c r="C115" s="342"/>
      <c r="D115" s="359">
        <f t="shared" ca="1" si="37"/>
        <v>17.836734271515969</v>
      </c>
      <c r="E115" s="360">
        <f t="shared" ca="1" si="38"/>
        <v>77.662931400774269</v>
      </c>
      <c r="F115" s="357">
        <f t="shared" ca="1" si="39"/>
        <v>79.684879388965896</v>
      </c>
      <c r="G115" s="359">
        <f t="shared" ca="1" si="40"/>
        <v>17.801059084461539</v>
      </c>
      <c r="H115" s="360">
        <f t="shared" ca="1" si="41"/>
        <v>87.199877110239967</v>
      </c>
      <c r="I115" s="357">
        <f t="shared" ca="1" si="42"/>
        <v>88.998293649762985</v>
      </c>
      <c r="J115" s="359">
        <f t="shared" ca="1" si="43"/>
        <v>9.286827348206856</v>
      </c>
      <c r="K115" s="360">
        <f t="shared" ca="1" si="44"/>
        <v>48.034728179916449</v>
      </c>
      <c r="L115" s="357">
        <f t="shared" ca="1" si="29"/>
        <v>48.924229922543105</v>
      </c>
      <c r="M115" s="359">
        <f t="shared" ca="1" si="45"/>
        <v>1.3694223468969156</v>
      </c>
      <c r="N115" s="357">
        <f t="shared" ca="1" si="46"/>
        <v>78.462120848093406</v>
      </c>
      <c r="O115" s="343"/>
      <c r="P115" s="363">
        <f t="shared" ca="1" si="47"/>
        <v>6</v>
      </c>
      <c r="Q115" s="357">
        <f t="shared" ca="1" si="48"/>
        <v>1007.180701754386</v>
      </c>
      <c r="R115" s="359">
        <f t="shared" ca="1" si="49"/>
        <v>0.50452930604459556</v>
      </c>
      <c r="S115" s="360">
        <f t="shared" ca="1" si="50"/>
        <v>11.041542227137157</v>
      </c>
      <c r="T115" s="357">
        <f t="shared" ca="1" si="30"/>
        <v>108.31752924821551</v>
      </c>
      <c r="U115" s="364">
        <f t="shared" ca="1" si="31"/>
        <v>0</v>
      </c>
      <c r="V115" s="359">
        <f t="shared" ca="1" si="32"/>
        <v>1.2191298443644769</v>
      </c>
      <c r="W115" s="357">
        <f t="shared" ca="1" si="33"/>
        <v>21.857120216744459</v>
      </c>
      <c r="X115" s="343"/>
      <c r="Y115" s="367" t="str">
        <f t="shared" ca="1" si="51"/>
        <v/>
      </c>
      <c r="Z115" s="368" t="str">
        <f t="shared" ca="1" si="52"/>
        <v/>
      </c>
      <c r="AA115" s="369" t="str">
        <f t="shared" ca="1" si="53"/>
        <v/>
      </c>
      <c r="AB115" s="344"/>
      <c r="AC115" s="363" t="e">
        <f t="shared" ca="1" si="54"/>
        <v>#N/A</v>
      </c>
      <c r="AD115" s="376" t="e">
        <f t="shared" ca="1" si="55"/>
        <v>#N/A</v>
      </c>
      <c r="AE115" s="377">
        <f t="shared" ca="1" si="34"/>
        <v>48.034728179916449</v>
      </c>
      <c r="AF115" s="344"/>
      <c r="AG115" s="359">
        <f t="shared" ca="1" si="56"/>
        <v>79.660769870200838</v>
      </c>
      <c r="AH115" s="357">
        <f t="shared" ca="1" si="57"/>
        <v>89.272968010015404</v>
      </c>
    </row>
    <row r="116" spans="1:34" x14ac:dyDescent="0.25">
      <c r="A116" s="402">
        <f t="shared" ca="1" si="35"/>
        <v>0.01</v>
      </c>
      <c r="B116" s="357">
        <f t="shared" ca="1" si="36"/>
        <v>1.1200000000000008</v>
      </c>
      <c r="C116" s="342"/>
      <c r="D116" s="359">
        <f t="shared" ca="1" si="37"/>
        <v>17.848037973097572</v>
      </c>
      <c r="E116" s="360">
        <f t="shared" ca="1" si="38"/>
        <v>77.620006862430557</v>
      </c>
      <c r="F116" s="357">
        <f t="shared" ca="1" si="39"/>
        <v>79.645576931885557</v>
      </c>
      <c r="G116" s="359">
        <f t="shared" ca="1" si="40"/>
        <v>17.979539464192513</v>
      </c>
      <c r="H116" s="360">
        <f t="shared" ca="1" si="41"/>
        <v>87.976077178864273</v>
      </c>
      <c r="I116" s="357">
        <f t="shared" ca="1" si="42"/>
        <v>89.794509827304807</v>
      </c>
      <c r="J116" s="359">
        <f t="shared" ca="1" si="43"/>
        <v>9.4657303409501257</v>
      </c>
      <c r="K116" s="360">
        <f t="shared" ca="1" si="44"/>
        <v>48.910607951361968</v>
      </c>
      <c r="L116" s="357">
        <f t="shared" ca="1" si="29"/>
        <v>49.818145500002473</v>
      </c>
      <c r="M116" s="359">
        <f t="shared" ca="1" si="45"/>
        <v>1.3692038308232681</v>
      </c>
      <c r="N116" s="357">
        <f t="shared" ca="1" si="46"/>
        <v>78.449600799317636</v>
      </c>
      <c r="O116" s="343"/>
      <c r="P116" s="363">
        <f t="shared" ca="1" si="47"/>
        <v>6</v>
      </c>
      <c r="Q116" s="357">
        <f t="shared" ca="1" si="48"/>
        <v>1006.6789473684209</v>
      </c>
      <c r="R116" s="359">
        <f t="shared" ca="1" si="49"/>
        <v>0.50427796108562761</v>
      </c>
      <c r="S116" s="360">
        <f t="shared" ca="1" si="50"/>
        <v>11.036499447526301</v>
      </c>
      <c r="T116" s="357">
        <f t="shared" ca="1" si="30"/>
        <v>108.26805958023303</v>
      </c>
      <c r="U116" s="364">
        <f t="shared" ca="1" si="31"/>
        <v>0</v>
      </c>
      <c r="V116" s="359">
        <f t="shared" ca="1" si="32"/>
        <v>1.2190230672965687</v>
      </c>
      <c r="W116" s="357">
        <f t="shared" ca="1" si="33"/>
        <v>22.248006857895664</v>
      </c>
      <c r="X116" s="343"/>
      <c r="Y116" s="367" t="str">
        <f t="shared" ca="1" si="51"/>
        <v/>
      </c>
      <c r="Z116" s="368" t="str">
        <f t="shared" ca="1" si="52"/>
        <v/>
      </c>
      <c r="AA116" s="369" t="str">
        <f t="shared" ca="1" si="53"/>
        <v/>
      </c>
      <c r="AB116" s="344"/>
      <c r="AC116" s="363" t="e">
        <f t="shared" ca="1" si="54"/>
        <v>#N/A</v>
      </c>
      <c r="AD116" s="376" t="e">
        <f t="shared" ca="1" si="55"/>
        <v>#N/A</v>
      </c>
      <c r="AE116" s="377">
        <f t="shared" ca="1" si="34"/>
        <v>48.910607951361968</v>
      </c>
      <c r="AF116" s="344"/>
      <c r="AG116" s="359">
        <f t="shared" ca="1" si="56"/>
        <v>79.621403373047954</v>
      </c>
      <c r="AH116" s="357">
        <f t="shared" ca="1" si="57"/>
        <v>89.23316961452052</v>
      </c>
    </row>
    <row r="117" spans="1:34" x14ac:dyDescent="0.25">
      <c r="A117" s="402">
        <f t="shared" ca="1" si="35"/>
        <v>0.01</v>
      </c>
      <c r="B117" s="357">
        <f t="shared" ca="1" si="36"/>
        <v>1.1300000000000008</v>
      </c>
      <c r="C117" s="342"/>
      <c r="D117" s="359">
        <f t="shared" ca="1" si="37"/>
        <v>17.859103743351923</v>
      </c>
      <c r="E117" s="360">
        <f t="shared" ca="1" si="38"/>
        <v>77.576770523214677</v>
      </c>
      <c r="F117" s="357">
        <f t="shared" ca="1" si="39"/>
        <v>79.605922589511621</v>
      </c>
      <c r="G117" s="359">
        <f t="shared" ca="1" si="40"/>
        <v>18.158130501626033</v>
      </c>
      <c r="H117" s="360">
        <f t="shared" ca="1" si="41"/>
        <v>88.751844884096414</v>
      </c>
      <c r="I117" s="357">
        <f t="shared" ca="1" si="42"/>
        <v>90.590328808569808</v>
      </c>
      <c r="J117" s="359">
        <f t="shared" ca="1" si="43"/>
        <v>9.6464186907792175</v>
      </c>
      <c r="K117" s="360">
        <f t="shared" ca="1" si="44"/>
        <v>49.794247561676769</v>
      </c>
      <c r="L117" s="357">
        <f t="shared" ca="1" si="29"/>
        <v>50.720020542103171</v>
      </c>
      <c r="M117" s="359">
        <f t="shared" ca="1" si="45"/>
        <v>1.3689870025286339</v>
      </c>
      <c r="N117" s="357">
        <f t="shared" ca="1" si="46"/>
        <v>78.437177453156082</v>
      </c>
      <c r="O117" s="343"/>
      <c r="P117" s="363">
        <f t="shared" ca="1" si="47"/>
        <v>6</v>
      </c>
      <c r="Q117" s="357">
        <f t="shared" ca="1" si="48"/>
        <v>1006.1771929824561</v>
      </c>
      <c r="R117" s="359">
        <f t="shared" ca="1" si="49"/>
        <v>0.50402661612665978</v>
      </c>
      <c r="S117" s="360">
        <f t="shared" ca="1" si="50"/>
        <v>11.031459181365035</v>
      </c>
      <c r="T117" s="357">
        <f t="shared" ca="1" si="30"/>
        <v>108.218614569191</v>
      </c>
      <c r="U117" s="364">
        <f t="shared" ca="1" si="31"/>
        <v>0</v>
      </c>
      <c r="V117" s="359">
        <f t="shared" ca="1" si="32"/>
        <v>1.2189153536929216</v>
      </c>
      <c r="W117" s="357">
        <f t="shared" ca="1" si="33"/>
        <v>22.642106945775517</v>
      </c>
      <c r="X117" s="343"/>
      <c r="Y117" s="367" t="str">
        <f t="shared" ca="1" si="51"/>
        <v/>
      </c>
      <c r="Z117" s="368" t="str">
        <f t="shared" ca="1" si="52"/>
        <v/>
      </c>
      <c r="AA117" s="369" t="str">
        <f t="shared" ca="1" si="53"/>
        <v/>
      </c>
      <c r="AB117" s="344"/>
      <c r="AC117" s="363" t="e">
        <f t="shared" ca="1" si="54"/>
        <v>#N/A</v>
      </c>
      <c r="AD117" s="376" t="e">
        <f t="shared" ca="1" si="55"/>
        <v>#N/A</v>
      </c>
      <c r="AE117" s="377">
        <f t="shared" ca="1" si="34"/>
        <v>49.794247561676769</v>
      </c>
      <c r="AF117" s="344"/>
      <c r="AG117" s="359">
        <f t="shared" ca="1" si="56"/>
        <v>79.581685173508447</v>
      </c>
      <c r="AH117" s="357">
        <f t="shared" ca="1" si="57"/>
        <v>89.193022423241089</v>
      </c>
    </row>
    <row r="118" spans="1:34" x14ac:dyDescent="0.25">
      <c r="A118" s="402">
        <f t="shared" ca="1" si="35"/>
        <v>0.01</v>
      </c>
      <c r="B118" s="357">
        <f t="shared" ca="1" si="36"/>
        <v>1.1400000000000008</v>
      </c>
      <c r="C118" s="342"/>
      <c r="D118" s="359">
        <f t="shared" ca="1" si="37"/>
        <v>17.86993420844556</v>
      </c>
      <c r="E118" s="360">
        <f t="shared" ca="1" si="38"/>
        <v>77.533222300057034</v>
      </c>
      <c r="F118" s="357">
        <f t="shared" ca="1" si="39"/>
        <v>79.565916753621551</v>
      </c>
      <c r="G118" s="359">
        <f t="shared" ca="1" si="40"/>
        <v>18.33682984371049</v>
      </c>
      <c r="H118" s="360">
        <f t="shared" ca="1" si="41"/>
        <v>89.527177107096989</v>
      </c>
      <c r="I118" s="357">
        <f t="shared" ca="1" si="42"/>
        <v>91.385747080618117</v>
      </c>
      <c r="J118" s="359">
        <f t="shared" ca="1" si="43"/>
        <v>9.8288934925058999</v>
      </c>
      <c r="K118" s="360">
        <f t="shared" ca="1" si="44"/>
        <v>50.685642671632735</v>
      </c>
      <c r="L118" s="357">
        <f t="shared" ca="1" si="29"/>
        <v>51.629851058505501</v>
      </c>
      <c r="M118" s="359">
        <f t="shared" ca="1" si="45"/>
        <v>1.3687718334594012</v>
      </c>
      <c r="N118" s="357">
        <f t="shared" ca="1" si="46"/>
        <v>78.424849173607285</v>
      </c>
      <c r="O118" s="343"/>
      <c r="P118" s="363">
        <f t="shared" ca="1" si="47"/>
        <v>6</v>
      </c>
      <c r="Q118" s="357">
        <f t="shared" ca="1" si="48"/>
        <v>1005.6754385964912</v>
      </c>
      <c r="R118" s="359">
        <f t="shared" ca="1" si="49"/>
        <v>0.50377527116769194</v>
      </c>
      <c r="S118" s="360">
        <f t="shared" ca="1" si="50"/>
        <v>11.026421428653357</v>
      </c>
      <c r="T118" s="357">
        <f t="shared" ca="1" si="30"/>
        <v>108.16919421508943</v>
      </c>
      <c r="U118" s="364">
        <f t="shared" ca="1" si="31"/>
        <v>0</v>
      </c>
      <c r="V118" s="359">
        <f t="shared" ca="1" si="32"/>
        <v>1.2188067043312862</v>
      </c>
      <c r="W118" s="357">
        <f t="shared" ca="1" si="33"/>
        <v>23.039411703880152</v>
      </c>
      <c r="X118" s="343"/>
      <c r="Y118" s="367" t="str">
        <f t="shared" ca="1" si="51"/>
        <v/>
      </c>
      <c r="Z118" s="368" t="str">
        <f t="shared" ca="1" si="52"/>
        <v/>
      </c>
      <c r="AA118" s="369" t="str">
        <f t="shared" ca="1" si="53"/>
        <v/>
      </c>
      <c r="AB118" s="344"/>
      <c r="AC118" s="363" t="e">
        <f t="shared" ca="1" si="54"/>
        <v>#N/A</v>
      </c>
      <c r="AD118" s="376" t="e">
        <f t="shared" ca="1" si="55"/>
        <v>#N/A</v>
      </c>
      <c r="AE118" s="377">
        <f t="shared" ca="1" si="34"/>
        <v>50.685642671632735</v>
      </c>
      <c r="AF118" s="344"/>
      <c r="AG118" s="359">
        <f t="shared" ca="1" si="56"/>
        <v>79.541615657206847</v>
      </c>
      <c r="AH118" s="357">
        <f t="shared" ca="1" si="57"/>
        <v>89.152526775023901</v>
      </c>
    </row>
    <row r="119" spans="1:34" x14ac:dyDescent="0.25">
      <c r="A119" s="402">
        <f t="shared" ca="1" si="35"/>
        <v>0.01</v>
      </c>
      <c r="B119" s="357">
        <f t="shared" ca="1" si="36"/>
        <v>1.1500000000000008</v>
      </c>
      <c r="C119" s="342"/>
      <c r="D119" s="359">
        <f t="shared" ca="1" si="37"/>
        <v>17.880531929237424</v>
      </c>
      <c r="E119" s="360">
        <f t="shared" ca="1" si="38"/>
        <v>77.489362127582339</v>
      </c>
      <c r="F119" s="357">
        <f t="shared" ca="1" si="39"/>
        <v>79.525559822060174</v>
      </c>
      <c r="G119" s="359">
        <f t="shared" ca="1" si="40"/>
        <v>18.515635163002862</v>
      </c>
      <c r="H119" s="360">
        <f t="shared" ca="1" si="41"/>
        <v>90.302070728372811</v>
      </c>
      <c r="I119" s="357">
        <f t="shared" ca="1" si="42"/>
        <v>92.180761134422582</v>
      </c>
      <c r="J119" s="359">
        <f t="shared" ca="1" si="43"/>
        <v>10.013155817539467</v>
      </c>
      <c r="K119" s="360">
        <f t="shared" ca="1" si="44"/>
        <v>51.584788910810083</v>
      </c>
      <c r="L119" s="357">
        <f t="shared" ca="1" si="29"/>
        <v>52.547633023754351</v>
      </c>
      <c r="M119" s="359">
        <f t="shared" ca="1" si="45"/>
        <v>1.3685582957846334</v>
      </c>
      <c r="N119" s="357">
        <f t="shared" ca="1" si="46"/>
        <v>78.412614366076056</v>
      </c>
      <c r="O119" s="343"/>
      <c r="P119" s="363">
        <f t="shared" ca="1" si="47"/>
        <v>6</v>
      </c>
      <c r="Q119" s="357">
        <f t="shared" ca="1" si="48"/>
        <v>1005.1736842105263</v>
      </c>
      <c r="R119" s="359">
        <f t="shared" ca="1" si="49"/>
        <v>0.50352392620872399</v>
      </c>
      <c r="S119" s="360">
        <f t="shared" ca="1" si="50"/>
        <v>11.02138618939127</v>
      </c>
      <c r="T119" s="357">
        <f t="shared" ca="1" si="30"/>
        <v>108.11979851792837</v>
      </c>
      <c r="U119" s="364">
        <f t="shared" ca="1" si="31"/>
        <v>0</v>
      </c>
      <c r="V119" s="359">
        <f t="shared" ca="1" si="32"/>
        <v>1.2186971199951546</v>
      </c>
      <c r="W119" s="357">
        <f t="shared" ca="1" si="33"/>
        <v>23.439912287119135</v>
      </c>
      <c r="X119" s="343"/>
      <c r="Y119" s="367" t="str">
        <f t="shared" ca="1" si="51"/>
        <v/>
      </c>
      <c r="Z119" s="368" t="str">
        <f t="shared" ca="1" si="52"/>
        <v/>
      </c>
      <c r="AA119" s="369" t="str">
        <f t="shared" ca="1" si="53"/>
        <v/>
      </c>
      <c r="AB119" s="344"/>
      <c r="AC119" s="363" t="e">
        <f t="shared" ca="1" si="54"/>
        <v>#N/A</v>
      </c>
      <c r="AD119" s="376" t="e">
        <f t="shared" ca="1" si="55"/>
        <v>#N/A</v>
      </c>
      <c r="AE119" s="377">
        <f t="shared" ca="1" si="34"/>
        <v>51.584788910810083</v>
      </c>
      <c r="AF119" s="344"/>
      <c r="AG119" s="359">
        <f t="shared" ca="1" si="56"/>
        <v>79.501195215970171</v>
      </c>
      <c r="AH119" s="357">
        <f t="shared" ca="1" si="57"/>
        <v>89.111683016062699</v>
      </c>
    </row>
    <row r="120" spans="1:34" x14ac:dyDescent="0.25">
      <c r="A120" s="402">
        <f t="shared" ca="1" si="35"/>
        <v>0.01</v>
      </c>
      <c r="B120" s="357">
        <f t="shared" ca="1" si="36"/>
        <v>1.1600000000000008</v>
      </c>
      <c r="C120" s="342"/>
      <c r="D120" s="359">
        <f t="shared" ca="1" si="37"/>
        <v>17.890899403578491</v>
      </c>
      <c r="E120" s="360">
        <f t="shared" ca="1" si="38"/>
        <v>77.445189957746649</v>
      </c>
      <c r="F120" s="357">
        <f t="shared" ca="1" si="39"/>
        <v>79.484852198770724</v>
      </c>
      <c r="G120" s="359">
        <f t="shared" ca="1" si="40"/>
        <v>18.694544157038646</v>
      </c>
      <c r="H120" s="360">
        <f t="shared" ca="1" si="41"/>
        <v>91.076522627950283</v>
      </c>
      <c r="I120" s="357">
        <f t="shared" ca="1" si="42"/>
        <v>92.97536746493131</v>
      </c>
      <c r="J120" s="359">
        <f t="shared" ca="1" si="43"/>
        <v>10.199206714139674</v>
      </c>
      <c r="K120" s="360">
        <f t="shared" ca="1" si="44"/>
        <v>52.491681877591695</v>
      </c>
      <c r="L120" s="357">
        <f t="shared" ca="1" si="29"/>
        <v>53.473362377318679</v>
      </c>
      <c r="M120" s="359">
        <f t="shared" ca="1" si="45"/>
        <v>1.3683463623716294</v>
      </c>
      <c r="N120" s="357">
        <f t="shared" ca="1" si="46"/>
        <v>78.40047147597312</v>
      </c>
      <c r="O120" s="343"/>
      <c r="P120" s="363">
        <f t="shared" ca="1" si="47"/>
        <v>6</v>
      </c>
      <c r="Q120" s="357">
        <f t="shared" ca="1" si="48"/>
        <v>1004.6719298245613</v>
      </c>
      <c r="R120" s="359">
        <f t="shared" ca="1" si="49"/>
        <v>0.50327258124975605</v>
      </c>
      <c r="S120" s="360">
        <f t="shared" ca="1" si="50"/>
        <v>11.016353463578772</v>
      </c>
      <c r="T120" s="357">
        <f t="shared" ca="1" si="30"/>
        <v>108.07042747770777</v>
      </c>
      <c r="U120" s="364">
        <f t="shared" ca="1" si="31"/>
        <v>0</v>
      </c>
      <c r="V120" s="359">
        <f t="shared" ca="1" si="32"/>
        <v>1.2185866014737547</v>
      </c>
      <c r="W120" s="357">
        <f t="shared" ca="1" si="33"/>
        <v>23.843599782121384</v>
      </c>
      <c r="X120" s="343"/>
      <c r="Y120" s="367" t="str">
        <f t="shared" ca="1" si="51"/>
        <v/>
      </c>
      <c r="Z120" s="368" t="str">
        <f t="shared" ca="1" si="52"/>
        <v/>
      </c>
      <c r="AA120" s="369" t="str">
        <f t="shared" ca="1" si="53"/>
        <v/>
      </c>
      <c r="AB120" s="344"/>
      <c r="AC120" s="363" t="e">
        <f t="shared" ca="1" si="54"/>
        <v>#N/A</v>
      </c>
      <c r="AD120" s="376" t="e">
        <f t="shared" ca="1" si="55"/>
        <v>#N/A</v>
      </c>
      <c r="AE120" s="377">
        <f t="shared" ca="1" si="34"/>
        <v>52.491681877591695</v>
      </c>
      <c r="AF120" s="344"/>
      <c r="AG120" s="359">
        <f t="shared" ca="1" si="56"/>
        <v>79.460424247854434</v>
      </c>
      <c r="AH120" s="357">
        <f t="shared" ca="1" si="57"/>
        <v>89.070491499886856</v>
      </c>
    </row>
    <row r="121" spans="1:34" x14ac:dyDescent="0.25">
      <c r="A121" s="402">
        <f t="shared" ca="1" si="35"/>
        <v>0.01</v>
      </c>
      <c r="B121" s="357">
        <f t="shared" ca="1" si="36"/>
        <v>1.1700000000000008</v>
      </c>
      <c r="C121" s="342"/>
      <c r="D121" s="359">
        <f t="shared" ca="1" si="37"/>
        <v>17.901039068513157</v>
      </c>
      <c r="E121" s="360">
        <f t="shared" ca="1" si="38"/>
        <v>77.400705759488432</v>
      </c>
      <c r="F121" s="357">
        <f t="shared" ca="1" si="39"/>
        <v>79.443794293823473</v>
      </c>
      <c r="G121" s="359">
        <f t="shared" ca="1" si="40"/>
        <v>18.873554547723778</v>
      </c>
      <c r="H121" s="360">
        <f t="shared" ca="1" si="41"/>
        <v>91.850529685545169</v>
      </c>
      <c r="I121" s="357">
        <f t="shared" ca="1" si="42"/>
        <v>93.769562571130294</v>
      </c>
      <c r="J121" s="359">
        <f t="shared" ca="1" si="43"/>
        <v>10.387047207663485</v>
      </c>
      <c r="K121" s="360">
        <f t="shared" ca="1" si="44"/>
        <v>53.406317139159171</v>
      </c>
      <c r="L121" s="357">
        <f t="shared" ca="1" si="29"/>
        <v>54.407035023631607</v>
      </c>
      <c r="M121" s="359">
        <f t="shared" ca="1" si="45"/>
        <v>1.3681360067625159</v>
      </c>
      <c r="N121" s="357">
        <f t="shared" ca="1" si="46"/>
        <v>78.38841898737401</v>
      </c>
      <c r="O121" s="343"/>
      <c r="P121" s="363">
        <f t="shared" ca="1" si="47"/>
        <v>6</v>
      </c>
      <c r="Q121" s="357">
        <f t="shared" ca="1" si="48"/>
        <v>1004.1701754385964</v>
      </c>
      <c r="R121" s="359">
        <f t="shared" ca="1" si="49"/>
        <v>0.50302123629078821</v>
      </c>
      <c r="S121" s="360">
        <f t="shared" ca="1" si="50"/>
        <v>11.011323251215865</v>
      </c>
      <c r="T121" s="357">
        <f t="shared" ca="1" si="30"/>
        <v>108.02108109442764</v>
      </c>
      <c r="U121" s="364">
        <f t="shared" ca="1" si="31"/>
        <v>0</v>
      </c>
      <c r="V121" s="359">
        <f t="shared" ca="1" si="32"/>
        <v>1.2184751495620416</v>
      </c>
      <c r="W121" s="357">
        <f t="shared" ca="1" si="33"/>
        <v>24.250465207543858</v>
      </c>
      <c r="X121" s="343"/>
      <c r="Y121" s="367" t="str">
        <f t="shared" ca="1" si="51"/>
        <v/>
      </c>
      <c r="Z121" s="368" t="str">
        <f t="shared" ca="1" si="52"/>
        <v/>
      </c>
      <c r="AA121" s="369" t="str">
        <f t="shared" ca="1" si="53"/>
        <v/>
      </c>
      <c r="AB121" s="344"/>
      <c r="AC121" s="363" t="e">
        <f t="shared" ca="1" si="54"/>
        <v>#N/A</v>
      </c>
      <c r="AD121" s="376" t="e">
        <f t="shared" ca="1" si="55"/>
        <v>#N/A</v>
      </c>
      <c r="AE121" s="377">
        <f t="shared" ca="1" si="34"/>
        <v>53.406317139159171</v>
      </c>
      <c r="AF121" s="344"/>
      <c r="AG121" s="359">
        <f t="shared" ca="1" si="56"/>
        <v>79.419303157168954</v>
      </c>
      <c r="AH121" s="357">
        <f t="shared" ca="1" si="57"/>
        <v>89.02895258734938</v>
      </c>
    </row>
    <row r="122" spans="1:34" x14ac:dyDescent="0.25">
      <c r="A122" s="402">
        <f t="shared" ca="1" si="35"/>
        <v>0.01</v>
      </c>
      <c r="B122" s="357">
        <f t="shared" ca="1" si="36"/>
        <v>1.1800000000000008</v>
      </c>
      <c r="C122" s="342"/>
      <c r="D122" s="359">
        <f t="shared" ca="1" si="37"/>
        <v>17.910953302387504</v>
      </c>
      <c r="E122" s="360">
        <f t="shared" ca="1" si="38"/>
        <v>77.355909518393574</v>
      </c>
      <c r="F122" s="357">
        <f t="shared" ca="1" si="39"/>
        <v>79.402386523442729</v>
      </c>
      <c r="G122" s="359">
        <f t="shared" ca="1" si="40"/>
        <v>19.052664080747654</v>
      </c>
      <c r="H122" s="360">
        <f t="shared" ca="1" si="41"/>
        <v>92.62408878072911</v>
      </c>
      <c r="I122" s="357">
        <f t="shared" ca="1" si="42"/>
        <v>94.56334295610641</v>
      </c>
      <c r="J122" s="359">
        <f t="shared" ca="1" si="43"/>
        <v>10.576678300805842</v>
      </c>
      <c r="K122" s="360">
        <f t="shared" ca="1" si="44"/>
        <v>54.32869023149054</v>
      </c>
      <c r="L122" s="357">
        <f t="shared" ca="1" si="29"/>
        <v>55.348646832131251</v>
      </c>
      <c r="M122" s="359">
        <f t="shared" ca="1" si="45"/>
        <v>1.367927203151817</v>
      </c>
      <c r="N122" s="357">
        <f t="shared" ca="1" si="46"/>
        <v>78.37645542173388</v>
      </c>
      <c r="O122" s="343"/>
      <c r="P122" s="363">
        <f t="shared" ca="1" si="47"/>
        <v>6</v>
      </c>
      <c r="Q122" s="357">
        <f t="shared" ca="1" si="48"/>
        <v>1003.6684210526315</v>
      </c>
      <c r="R122" s="359">
        <f t="shared" ca="1" si="49"/>
        <v>0.50276989133182026</v>
      </c>
      <c r="S122" s="360">
        <f t="shared" ca="1" si="50"/>
        <v>11.006295552302547</v>
      </c>
      <c r="T122" s="357">
        <f t="shared" ca="1" si="30"/>
        <v>107.97175936808799</v>
      </c>
      <c r="U122" s="364">
        <f t="shared" ca="1" si="31"/>
        <v>0</v>
      </c>
      <c r="V122" s="359">
        <f t="shared" ca="1" si="32"/>
        <v>1.218362765060693</v>
      </c>
      <c r="W122" s="357">
        <f t="shared" ca="1" si="33"/>
        <v>24.660499514383442</v>
      </c>
      <c r="X122" s="343"/>
      <c r="Y122" s="367" t="str">
        <f t="shared" ca="1" si="51"/>
        <v/>
      </c>
      <c r="Z122" s="368" t="str">
        <f t="shared" ca="1" si="52"/>
        <v/>
      </c>
      <c r="AA122" s="369" t="str">
        <f t="shared" ca="1" si="53"/>
        <v/>
      </c>
      <c r="AB122" s="344"/>
      <c r="AC122" s="363" t="e">
        <f t="shared" ca="1" si="54"/>
        <v>#N/A</v>
      </c>
      <c r="AD122" s="376" t="e">
        <f t="shared" ca="1" si="55"/>
        <v>#N/A</v>
      </c>
      <c r="AE122" s="377">
        <f t="shared" ca="1" si="34"/>
        <v>54.32869023149054</v>
      </c>
      <c r="AF122" s="344"/>
      <c r="AG122" s="359">
        <f t="shared" ca="1" si="56"/>
        <v>79.377832354499148</v>
      </c>
      <c r="AH122" s="357">
        <f t="shared" ca="1" si="57"/>
        <v>88.987066646614892</v>
      </c>
    </row>
    <row r="123" spans="1:34" x14ac:dyDescent="0.25">
      <c r="A123" s="402">
        <f t="shared" ca="1" si="35"/>
        <v>0.01</v>
      </c>
      <c r="B123" s="357">
        <f t="shared" ca="1" si="36"/>
        <v>1.1900000000000008</v>
      </c>
      <c r="C123" s="342"/>
      <c r="D123" s="359">
        <f t="shared" ca="1" si="37"/>
        <v>17.920644426869067</v>
      </c>
      <c r="E123" s="360">
        <f t="shared" ca="1" si="38"/>
        <v>77.310801236372924</v>
      </c>
      <c r="F123" s="357">
        <f t="shared" ca="1" si="39"/>
        <v>79.360629310031527</v>
      </c>
      <c r="G123" s="359">
        <f t="shared" ca="1" si="40"/>
        <v>19.231870525016344</v>
      </c>
      <c r="H123" s="360">
        <f t="shared" ca="1" si="41"/>
        <v>93.397196793092846</v>
      </c>
      <c r="I123" s="357">
        <f t="shared" ca="1" si="42"/>
        <v>95.356705127110516</v>
      </c>
      <c r="J123" s="359">
        <f t="shared" ca="1" si="43"/>
        <v>10.768100973834661</v>
      </c>
      <c r="K123" s="360">
        <f t="shared" ca="1" si="44"/>
        <v>55.258796659359653</v>
      </c>
      <c r="L123" s="357">
        <f t="shared" ca="1" si="29"/>
        <v>56.298193637302049</v>
      </c>
      <c r="M123" s="359">
        <f t="shared" ca="1" si="45"/>
        <v>1.3677199263649538</v>
      </c>
      <c r="N123" s="357">
        <f t="shared" ca="1" si="46"/>
        <v>78.364579336655581</v>
      </c>
      <c r="O123" s="343"/>
      <c r="P123" s="363">
        <f t="shared" ca="1" si="47"/>
        <v>6</v>
      </c>
      <c r="Q123" s="357">
        <f t="shared" ca="1" si="48"/>
        <v>1003.1666666666666</v>
      </c>
      <c r="R123" s="359">
        <f t="shared" ca="1" si="49"/>
        <v>0.50251854637285243</v>
      </c>
      <c r="S123" s="360">
        <f t="shared" ca="1" si="50"/>
        <v>11.001270366838819</v>
      </c>
      <c r="T123" s="357">
        <f t="shared" ca="1" si="30"/>
        <v>107.92246229868881</v>
      </c>
      <c r="U123" s="364">
        <f t="shared" ca="1" si="31"/>
        <v>0</v>
      </c>
      <c r="V123" s="359">
        <f t="shared" ca="1" si="32"/>
        <v>1.2182494487760993</v>
      </c>
      <c r="W123" s="357">
        <f t="shared" ca="1" si="33"/>
        <v>25.073693586291572</v>
      </c>
      <c r="X123" s="343"/>
      <c r="Y123" s="367" t="str">
        <f t="shared" ca="1" si="51"/>
        <v/>
      </c>
      <c r="Z123" s="368" t="str">
        <f t="shared" ca="1" si="52"/>
        <v/>
      </c>
      <c r="AA123" s="369" t="str">
        <f t="shared" ca="1" si="53"/>
        <v/>
      </c>
      <c r="AB123" s="344"/>
      <c r="AC123" s="363" t="e">
        <f t="shared" ca="1" si="54"/>
        <v>#N/A</v>
      </c>
      <c r="AD123" s="376" t="e">
        <f t="shared" ca="1" si="55"/>
        <v>#N/A</v>
      </c>
      <c r="AE123" s="377">
        <f t="shared" ca="1" si="34"/>
        <v>55.258796659359653</v>
      </c>
      <c r="AF123" s="344"/>
      <c r="AG123" s="359">
        <f t="shared" ca="1" si="56"/>
        <v>79.336012256727315</v>
      </c>
      <c r="AH123" s="357">
        <f t="shared" ca="1" si="57"/>
        <v>88.944834053147076</v>
      </c>
    </row>
    <row r="124" spans="1:34" x14ac:dyDescent="0.25">
      <c r="A124" s="402">
        <f t="shared" ca="1" si="35"/>
        <v>0.01</v>
      </c>
      <c r="B124" s="357">
        <f t="shared" ca="1" si="36"/>
        <v>1.2000000000000008</v>
      </c>
      <c r="C124" s="342"/>
      <c r="D124" s="359">
        <f t="shared" ca="1" si="37"/>
        <v>17.930114708882712</v>
      </c>
      <c r="E124" s="360">
        <f t="shared" ca="1" si="38"/>
        <v>77.265380931352453</v>
      </c>
      <c r="F124" s="357">
        <f t="shared" ca="1" si="39"/>
        <v>79.318523082194972</v>
      </c>
      <c r="G124" s="359">
        <f t="shared" ca="1" si="40"/>
        <v>19.411171672105173</v>
      </c>
      <c r="H124" s="360">
        <f t="shared" ca="1" si="41"/>
        <v>94.16985060240637</v>
      </c>
      <c r="I124" s="357">
        <f t="shared" ca="1" si="42"/>
        <v>96.149645595620754</v>
      </c>
      <c r="J124" s="359">
        <f t="shared" ca="1" si="43"/>
        <v>10.961316184820269</v>
      </c>
      <c r="K124" s="360">
        <f t="shared" ca="1" si="44"/>
        <v>56.196631896337152</v>
      </c>
      <c r="L124" s="357">
        <f t="shared" ca="1" si="29"/>
        <v>57.255671238716793</v>
      </c>
      <c r="M124" s="359">
        <f t="shared" ca="1" si="45"/>
        <v>1.367514151837627</v>
      </c>
      <c r="N124" s="357">
        <f t="shared" ca="1" si="46"/>
        <v>78.352789324708453</v>
      </c>
      <c r="O124" s="343"/>
      <c r="P124" s="363">
        <f t="shared" ca="1" si="47"/>
        <v>6</v>
      </c>
      <c r="Q124" s="357">
        <f t="shared" ca="1" si="48"/>
        <v>1002.6649122807017</v>
      </c>
      <c r="R124" s="359">
        <f t="shared" ca="1" si="49"/>
        <v>0.50226720141388459</v>
      </c>
      <c r="S124" s="360">
        <f t="shared" ca="1" si="50"/>
        <v>10.99624769482468</v>
      </c>
      <c r="T124" s="357">
        <f t="shared" ca="1" si="30"/>
        <v>107.87318988623012</v>
      </c>
      <c r="U124" s="364">
        <f t="shared" ca="1" si="31"/>
        <v>0</v>
      </c>
      <c r="V124" s="359">
        <f t="shared" ca="1" si="32"/>
        <v>1.2181352015203588</v>
      </c>
      <c r="W124" s="357">
        <f t="shared" ca="1" si="33"/>
        <v>25.49003823989197</v>
      </c>
      <c r="X124" s="343"/>
      <c r="Y124" s="367" t="str">
        <f t="shared" ca="1" si="51"/>
        <v/>
      </c>
      <c r="Z124" s="368" t="str">
        <f t="shared" ca="1" si="52"/>
        <v/>
      </c>
      <c r="AA124" s="369" t="str">
        <f t="shared" ca="1" si="53"/>
        <v/>
      </c>
      <c r="AB124" s="344"/>
      <c r="AC124" s="363" t="e">
        <f t="shared" ca="1" si="54"/>
        <v>#N/A</v>
      </c>
      <c r="AD124" s="376" t="e">
        <f t="shared" ca="1" si="55"/>
        <v>#N/A</v>
      </c>
      <c r="AE124" s="377">
        <f t="shared" ca="1" si="34"/>
        <v>56.196631896337152</v>
      </c>
      <c r="AF124" s="344"/>
      <c r="AG124" s="359">
        <f t="shared" ca="1" si="56"/>
        <v>79.293843287052027</v>
      </c>
      <c r="AH124" s="357">
        <f t="shared" ca="1" si="57"/>
        <v>88.902255189696007</v>
      </c>
    </row>
    <row r="125" spans="1:34" x14ac:dyDescent="0.25">
      <c r="A125" s="402">
        <f t="shared" ca="1" si="35"/>
        <v>0.01</v>
      </c>
      <c r="B125" s="357">
        <f t="shared" ca="1" si="36"/>
        <v>1.2100000000000009</v>
      </c>
      <c r="C125" s="342"/>
      <c r="D125" s="359">
        <f t="shared" ca="1" si="37"/>
        <v>17.939366362466547</v>
      </c>
      <c r="E125" s="360">
        <f t="shared" ca="1" si="38"/>
        <v>77.219648636974625</v>
      </c>
      <c r="F125" s="357">
        <f t="shared" ca="1" si="39"/>
        <v>79.276068274761286</v>
      </c>
      <c r="G125" s="359">
        <f t="shared" ca="1" si="40"/>
        <v>19.590565335729838</v>
      </c>
      <c r="H125" s="360">
        <f t="shared" ca="1" si="41"/>
        <v>94.942047088776121</v>
      </c>
      <c r="I125" s="357">
        <f t="shared" ca="1" si="42"/>
        <v>96.942160877406081</v>
      </c>
      <c r="J125" s="359">
        <f t="shared" ca="1" si="43"/>
        <v>11.156324869859445</v>
      </c>
      <c r="K125" s="360">
        <f t="shared" ca="1" si="44"/>
        <v>57.142191384793065</v>
      </c>
      <c r="L125" s="357">
        <f t="shared" ca="1" si="29"/>
        <v>58.221075401079318</v>
      </c>
      <c r="M125" s="359">
        <f t="shared" ca="1" si="45"/>
        <v>1.3673098555960423</v>
      </c>
      <c r="N125" s="357">
        <f t="shared" ca="1" si="46"/>
        <v>78.341084012295269</v>
      </c>
      <c r="O125" s="343"/>
      <c r="P125" s="363">
        <f t="shared" ca="1" si="47"/>
        <v>6</v>
      </c>
      <c r="Q125" s="357">
        <f t="shared" ca="1" si="48"/>
        <v>1002.1631578947367</v>
      </c>
      <c r="R125" s="359">
        <f t="shared" ca="1" si="49"/>
        <v>0.50201585645491664</v>
      </c>
      <c r="S125" s="360">
        <f t="shared" ca="1" si="50"/>
        <v>10.99122753626013</v>
      </c>
      <c r="T125" s="357">
        <f t="shared" ca="1" si="30"/>
        <v>107.82394213071188</v>
      </c>
      <c r="U125" s="364">
        <f t="shared" ca="1" si="31"/>
        <v>0</v>
      </c>
      <c r="V125" s="359">
        <f t="shared" ca="1" si="32"/>
        <v>1.2180200241112678</v>
      </c>
      <c r="W125" s="357">
        <f t="shared" ca="1" si="33"/>
        <v>25.909524225101212</v>
      </c>
      <c r="X125" s="343"/>
      <c r="Y125" s="367" t="str">
        <f t="shared" ca="1" si="51"/>
        <v/>
      </c>
      <c r="Z125" s="368" t="str">
        <f t="shared" ca="1" si="52"/>
        <v/>
      </c>
      <c r="AA125" s="369" t="str">
        <f t="shared" ca="1" si="53"/>
        <v/>
      </c>
      <c r="AB125" s="344"/>
      <c r="AC125" s="363" t="e">
        <f t="shared" ca="1" si="54"/>
        <v>#N/A</v>
      </c>
      <c r="AD125" s="376" t="e">
        <f t="shared" ca="1" si="55"/>
        <v>#N/A</v>
      </c>
      <c r="AE125" s="377">
        <f t="shared" ca="1" si="34"/>
        <v>57.142191384793065</v>
      </c>
      <c r="AF125" s="344"/>
      <c r="AG125" s="359">
        <f t="shared" ca="1" si="56"/>
        <v>79.25132587500562</v>
      </c>
      <c r="AH125" s="357">
        <f t="shared" ca="1" si="57"/>
        <v>88.859330446284901</v>
      </c>
    </row>
    <row r="126" spans="1:34" x14ac:dyDescent="0.25">
      <c r="A126" s="402">
        <f t="shared" ca="1" si="35"/>
        <v>0.01</v>
      </c>
      <c r="B126" s="357">
        <f t="shared" ca="1" si="36"/>
        <v>1.2200000000000009</v>
      </c>
      <c r="C126" s="342"/>
      <c r="D126" s="359">
        <f t="shared" ca="1" si="37"/>
        <v>17.948401550551832</v>
      </c>
      <c r="E126" s="360">
        <f t="shared" ca="1" si="38"/>
        <v>77.173604402311142</v>
      </c>
      <c r="F126" s="357">
        <f t="shared" ca="1" si="39"/>
        <v>79.233265328801579</v>
      </c>
      <c r="G126" s="359">
        <f t="shared" ca="1" si="40"/>
        <v>19.770049351235357</v>
      </c>
      <c r="H126" s="360">
        <f t="shared" ca="1" si="41"/>
        <v>95.713783132799236</v>
      </c>
      <c r="I126" s="357">
        <f t="shared" ca="1" si="42"/>
        <v>97.734247492589844</v>
      </c>
      <c r="J126" s="359">
        <f t="shared" ca="1" si="43"/>
        <v>11.35312794329427</v>
      </c>
      <c r="K126" s="360">
        <f t="shared" ca="1" si="44"/>
        <v>58.095470535900944</v>
      </c>
      <c r="L126" s="357">
        <f t="shared" ca="1" si="29"/>
        <v>59.194401854267809</v>
      </c>
      <c r="M126" s="359">
        <f t="shared" ca="1" si="45"/>
        <v>1.3671070142379316</v>
      </c>
      <c r="N126" s="357">
        <f t="shared" ca="1" si="46"/>
        <v>78.329462058564829</v>
      </c>
      <c r="O126" s="343"/>
      <c r="P126" s="363">
        <f t="shared" ca="1" si="47"/>
        <v>6</v>
      </c>
      <c r="Q126" s="357">
        <f t="shared" ca="1" si="48"/>
        <v>1001.6614035087719</v>
      </c>
      <c r="R126" s="359">
        <f t="shared" ca="1" si="49"/>
        <v>0.5017645114959487</v>
      </c>
      <c r="S126" s="360">
        <f t="shared" ca="1" si="50"/>
        <v>10.986209891145171</v>
      </c>
      <c r="T126" s="357">
        <f t="shared" ca="1" si="30"/>
        <v>107.77471903213413</v>
      </c>
      <c r="U126" s="364">
        <f t="shared" ca="1" si="31"/>
        <v>0</v>
      </c>
      <c r="V126" s="359">
        <f t="shared" ca="1" si="32"/>
        <v>1.2179039173723132</v>
      </c>
      <c r="W126" s="357">
        <f t="shared" ca="1" si="33"/>
        <v>26.332142225452134</v>
      </c>
      <c r="X126" s="343"/>
      <c r="Y126" s="367" t="str">
        <f t="shared" ca="1" si="51"/>
        <v/>
      </c>
      <c r="Z126" s="368" t="str">
        <f t="shared" ca="1" si="52"/>
        <v/>
      </c>
      <c r="AA126" s="369" t="str">
        <f t="shared" ca="1" si="53"/>
        <v/>
      </c>
      <c r="AB126" s="344"/>
      <c r="AC126" s="363" t="e">
        <f t="shared" ca="1" si="54"/>
        <v>#N/A</v>
      </c>
      <c r="AD126" s="376" t="e">
        <f t="shared" ca="1" si="55"/>
        <v>#N/A</v>
      </c>
      <c r="AE126" s="377">
        <f t="shared" ca="1" si="34"/>
        <v>58.095470535900944</v>
      </c>
      <c r="AF126" s="344"/>
      <c r="AG126" s="359">
        <f t="shared" ca="1" si="56"/>
        <v>79.208460456470348</v>
      </c>
      <c r="AH126" s="357">
        <f t="shared" ca="1" si="57"/>
        <v>88.816060220196746</v>
      </c>
    </row>
    <row r="127" spans="1:34" x14ac:dyDescent="0.25">
      <c r="A127" s="402">
        <f t="shared" ca="1" si="35"/>
        <v>0.01</v>
      </c>
      <c r="B127" s="357">
        <f t="shared" ca="1" si="36"/>
        <v>1.2300000000000009</v>
      </c>
      <c r="C127" s="342"/>
      <c r="D127" s="359">
        <f t="shared" ca="1" si="37"/>
        <v>17.957222386670836</v>
      </c>
      <c r="E127" s="360">
        <f t="shared" ca="1" si="38"/>
        <v>77.127248291586113</v>
      </c>
      <c r="F127" s="357">
        <f t="shared" ca="1" si="39"/>
        <v>79.19011469164775</v>
      </c>
      <c r="G127" s="359">
        <f t="shared" ca="1" si="40"/>
        <v>19.949621575102064</v>
      </c>
      <c r="H127" s="360">
        <f t="shared" ca="1" si="41"/>
        <v>96.485055615715098</v>
      </c>
      <c r="I127" s="357">
        <f t="shared" ca="1" si="42"/>
        <v>98.525901965713629</v>
      </c>
      <c r="J127" s="359">
        <f t="shared" ca="1" si="43"/>
        <v>11.551726297925956</v>
      </c>
      <c r="K127" s="360">
        <f t="shared" ca="1" si="44"/>
        <v>59.056464729643515</v>
      </c>
      <c r="L127" s="357">
        <f t="shared" ca="1" si="29"/>
        <v>60.175646293378712</v>
      </c>
      <c r="M127" s="359">
        <f t="shared" ca="1" si="45"/>
        <v>1.3669056049143375</v>
      </c>
      <c r="N127" s="357">
        <f t="shared" ca="1" si="46"/>
        <v>78.317922154368304</v>
      </c>
      <c r="O127" s="343"/>
      <c r="P127" s="363">
        <f t="shared" ca="1" si="47"/>
        <v>6</v>
      </c>
      <c r="Q127" s="357">
        <f t="shared" ca="1" si="48"/>
        <v>1001.159649122807</v>
      </c>
      <c r="R127" s="359">
        <f t="shared" ca="1" si="49"/>
        <v>0.50151316653698086</v>
      </c>
      <c r="S127" s="360">
        <f t="shared" ca="1" si="50"/>
        <v>10.9811947594798</v>
      </c>
      <c r="T127" s="357">
        <f t="shared" ca="1" si="30"/>
        <v>107.72552059049684</v>
      </c>
      <c r="U127" s="364">
        <f t="shared" ca="1" si="31"/>
        <v>0</v>
      </c>
      <c r="V127" s="359">
        <f t="shared" ca="1" si="32"/>
        <v>1.2177868821326647</v>
      </c>
      <c r="W127" s="357">
        <f t="shared" ca="1" si="33"/>
        <v>26.757882858420313</v>
      </c>
      <c r="X127" s="343"/>
      <c r="Y127" s="367" t="str">
        <f t="shared" ca="1" si="51"/>
        <v/>
      </c>
      <c r="Z127" s="368" t="str">
        <f t="shared" ca="1" si="52"/>
        <v/>
      </c>
      <c r="AA127" s="369" t="str">
        <f t="shared" ca="1" si="53"/>
        <v/>
      </c>
      <c r="AB127" s="344"/>
      <c r="AC127" s="363" t="e">
        <f t="shared" ca="1" si="54"/>
        <v>#N/A</v>
      </c>
      <c r="AD127" s="376" t="e">
        <f t="shared" ca="1" si="55"/>
        <v>#N/A</v>
      </c>
      <c r="AE127" s="377">
        <f t="shared" ca="1" si="34"/>
        <v>59.056464729643515</v>
      </c>
      <c r="AF127" s="344"/>
      <c r="AG127" s="359">
        <f t="shared" ca="1" si="56"/>
        <v>79.165247473692887</v>
      </c>
      <c r="AH127" s="357">
        <f t="shared" ca="1" si="57"/>
        <v>88.77244491596052</v>
      </c>
    </row>
    <row r="128" spans="1:34" x14ac:dyDescent="0.25">
      <c r="A128" s="402">
        <f t="shared" ca="1" si="35"/>
        <v>0.01</v>
      </c>
      <c r="B128" s="357">
        <f t="shared" ca="1" si="36"/>
        <v>1.2400000000000009</v>
      </c>
      <c r="C128" s="342"/>
      <c r="D128" s="359">
        <f t="shared" ca="1" si="37"/>
        <v>17.965830936595708</v>
      </c>
      <c r="E128" s="360">
        <f t="shared" ca="1" si="38"/>
        <v>77.080580383909052</v>
      </c>
      <c r="F128" s="357">
        <f t="shared" ca="1" si="39"/>
        <v>79.146616816908875</v>
      </c>
      <c r="G128" s="359">
        <f t="shared" ca="1" si="40"/>
        <v>20.129279884468023</v>
      </c>
      <c r="H128" s="360">
        <f t="shared" ca="1" si="41"/>
        <v>97.255861419554194</v>
      </c>
      <c r="I128" s="357">
        <f t="shared" ca="1" si="42"/>
        <v>99.317120825801126</v>
      </c>
      <c r="J128" s="359">
        <f t="shared" ca="1" si="43"/>
        <v>11.752120805223807</v>
      </c>
      <c r="K128" s="360">
        <f t="shared" ca="1" si="44"/>
        <v>60.025169314819863</v>
      </c>
      <c r="L128" s="357">
        <f t="shared" ca="1" si="29"/>
        <v>61.164804378771343</v>
      </c>
      <c r="M128" s="359">
        <f t="shared" ca="1" si="45"/>
        <v>1.3667056053121212</v>
      </c>
      <c r="N128" s="357">
        <f t="shared" ca="1" si="46"/>
        <v>78.306463021257002</v>
      </c>
      <c r="O128" s="343"/>
      <c r="P128" s="363">
        <f t="shared" ca="1" si="47"/>
        <v>6</v>
      </c>
      <c r="Q128" s="357">
        <f t="shared" ca="1" si="48"/>
        <v>1000.6578947368421</v>
      </c>
      <c r="R128" s="359">
        <f t="shared" ca="1" si="49"/>
        <v>0.50126182157801302</v>
      </c>
      <c r="S128" s="360">
        <f t="shared" ca="1" si="50"/>
        <v>10.976182141264021</v>
      </c>
      <c r="T128" s="357">
        <f t="shared" ca="1" si="30"/>
        <v>107.67634680580005</v>
      </c>
      <c r="U128" s="364">
        <f t="shared" ca="1" si="31"/>
        <v>0</v>
      </c>
      <c r="V128" s="359">
        <f t="shared" ca="1" si="32"/>
        <v>1.2176689192271672</v>
      </c>
      <c r="W128" s="357">
        <f t="shared" ca="1" si="33"/>
        <v>27.186736675753231</v>
      </c>
      <c r="X128" s="343"/>
      <c r="Y128" s="367" t="str">
        <f t="shared" ca="1" si="51"/>
        <v/>
      </c>
      <c r="Z128" s="368" t="str">
        <f t="shared" ca="1" si="52"/>
        <v/>
      </c>
      <c r="AA128" s="369" t="str">
        <f t="shared" ca="1" si="53"/>
        <v/>
      </c>
      <c r="AB128" s="344"/>
      <c r="AC128" s="363" t="e">
        <f t="shared" ca="1" si="54"/>
        <v>#N/A</v>
      </c>
      <c r="AD128" s="376" t="e">
        <f t="shared" ca="1" si="55"/>
        <v>#N/A</v>
      </c>
      <c r="AE128" s="377">
        <f t="shared" ca="1" si="34"/>
        <v>60.025169314819863</v>
      </c>
      <c r="AF128" s="344"/>
      <c r="AG128" s="359">
        <f t="shared" ca="1" si="56"/>
        <v>79.121687375297554</v>
      </c>
      <c r="AH128" s="357">
        <f t="shared" ca="1" si="57"/>
        <v>88.72848494533703</v>
      </c>
    </row>
    <row r="129" spans="1:34" x14ac:dyDescent="0.25">
      <c r="A129" s="402">
        <f t="shared" ca="1" si="35"/>
        <v>0.01</v>
      </c>
      <c r="B129" s="357">
        <f t="shared" ca="1" si="36"/>
        <v>1.2500000000000009</v>
      </c>
      <c r="C129" s="342"/>
      <c r="D129" s="359">
        <f t="shared" ca="1" si="37"/>
        <v>17.974229219912136</v>
      </c>
      <c r="E129" s="360">
        <f t="shared" ca="1" si="38"/>
        <v>77.033600773017696</v>
      </c>
      <c r="F129" s="357">
        <f t="shared" ca="1" si="39"/>
        <v>79.102772164486225</v>
      </c>
      <c r="G129" s="359">
        <f t="shared" ca="1" si="40"/>
        <v>20.309022176667145</v>
      </c>
      <c r="H129" s="360">
        <f t="shared" ca="1" si="41"/>
        <v>98.026197427284373</v>
      </c>
      <c r="I129" s="357">
        <f t="shared" ca="1" si="42"/>
        <v>100.10790060642212</v>
      </c>
      <c r="J129" s="359">
        <f t="shared" ca="1" si="43"/>
        <v>11.954312315529483</v>
      </c>
      <c r="K129" s="360">
        <f t="shared" ca="1" si="44"/>
        <v>61.001579609054055</v>
      </c>
      <c r="L129" s="357">
        <f t="shared" ca="1" si="29"/>
        <v>62.16187173611312</v>
      </c>
      <c r="M129" s="359">
        <f t="shared" ca="1" si="45"/>
        <v>1.3665069936371601</v>
      </c>
      <c r="N129" s="357">
        <f t="shared" ca="1" si="46"/>
        <v>78.295083410519709</v>
      </c>
      <c r="O129" s="343"/>
      <c r="P129" s="363">
        <f t="shared" ca="1" si="47"/>
        <v>6</v>
      </c>
      <c r="Q129" s="357">
        <f t="shared" ca="1" si="48"/>
        <v>1000.1561403508771</v>
      </c>
      <c r="R129" s="359">
        <f t="shared" ca="1" si="49"/>
        <v>0.50101047661904508</v>
      </c>
      <c r="S129" s="360">
        <f t="shared" ca="1" si="50"/>
        <v>10.97117203649783</v>
      </c>
      <c r="T129" s="357">
        <f t="shared" ca="1" si="30"/>
        <v>107.62719767804371</v>
      </c>
      <c r="U129" s="364">
        <f t="shared" ca="1" si="31"/>
        <v>0</v>
      </c>
      <c r="V129" s="359">
        <f t="shared" ca="1" si="32"/>
        <v>1.2175500294963291</v>
      </c>
      <c r="W129" s="357">
        <f t="shared" ca="1" si="33"/>
        <v>27.618694163802303</v>
      </c>
      <c r="X129" s="343"/>
      <c r="Y129" s="367" t="str">
        <f t="shared" ca="1" si="51"/>
        <v/>
      </c>
      <c r="Z129" s="368" t="str">
        <f t="shared" ca="1" si="52"/>
        <v/>
      </c>
      <c r="AA129" s="369" t="str">
        <f t="shared" ca="1" si="53"/>
        <v/>
      </c>
      <c r="AB129" s="344"/>
      <c r="AC129" s="363" t="e">
        <f t="shared" ca="1" si="54"/>
        <v>#N/A</v>
      </c>
      <c r="AD129" s="376" t="e">
        <f t="shared" ca="1" si="55"/>
        <v>#N/A</v>
      </c>
      <c r="AE129" s="377">
        <f t="shared" ca="1" si="34"/>
        <v>61.001579609054055</v>
      </c>
      <c r="AF129" s="344"/>
      <c r="AG129" s="359">
        <f t="shared" ca="1" si="56"/>
        <v>79.077780616298043</v>
      </c>
      <c r="AH129" s="357">
        <f t="shared" ca="1" si="57"/>
        <v>88.684180727304593</v>
      </c>
    </row>
    <row r="130" spans="1:34" x14ac:dyDescent="0.25">
      <c r="A130" s="402">
        <f t="shared" ca="1" si="35"/>
        <v>0.01</v>
      </c>
      <c r="B130" s="357">
        <f t="shared" ca="1" si="36"/>
        <v>1.2600000000000009</v>
      </c>
      <c r="C130" s="342"/>
      <c r="D130" s="359">
        <f t="shared" ca="1" si="37"/>
        <v>17.98241921153042</v>
      </c>
      <c r="E130" s="360">
        <f t="shared" ca="1" si="38"/>
        <v>76.986309567029636</v>
      </c>
      <c r="F130" s="357">
        <f t="shared" ca="1" si="39"/>
        <v>79.058581200586559</v>
      </c>
      <c r="G130" s="359">
        <f t="shared" ca="1" si="40"/>
        <v>20.48884636878245</v>
      </c>
      <c r="H130" s="360">
        <f t="shared" ca="1" si="41"/>
        <v>98.796060522954676</v>
      </c>
      <c r="I130" s="357">
        <f t="shared" ca="1" si="42"/>
        <v>100.89823784575671</v>
      </c>
      <c r="J130" s="359">
        <f t="shared" ca="1" si="43"/>
        <v>12.158301658256731</v>
      </c>
      <c r="K130" s="360">
        <f t="shared" ca="1" si="44"/>
        <v>61.985690898805252</v>
      </c>
      <c r="L130" s="357">
        <f t="shared" ca="1" si="29"/>
        <v>63.166843956425403</v>
      </c>
      <c r="M130" s="359">
        <f t="shared" ca="1" si="45"/>
        <v>1.3663097485982041</v>
      </c>
      <c r="N130" s="357">
        <f t="shared" ca="1" si="46"/>
        <v>78.283782102257646</v>
      </c>
      <c r="O130" s="343"/>
      <c r="P130" s="363">
        <f t="shared" ca="1" si="47"/>
        <v>6</v>
      </c>
      <c r="Q130" s="357">
        <f t="shared" ca="1" si="48"/>
        <v>999.65438596491219</v>
      </c>
      <c r="R130" s="359">
        <f t="shared" ca="1" si="49"/>
        <v>0.50075913166007713</v>
      </c>
      <c r="S130" s="360">
        <f t="shared" ca="1" si="50"/>
        <v>10.96616444518123</v>
      </c>
      <c r="T130" s="357">
        <f t="shared" ca="1" si="30"/>
        <v>107.57807320722787</v>
      </c>
      <c r="U130" s="364">
        <f t="shared" ca="1" si="31"/>
        <v>0</v>
      </c>
      <c r="V130" s="359">
        <f t="shared" ca="1" si="32"/>
        <v>1.2174302137863171</v>
      </c>
      <c r="W130" s="357">
        <f t="shared" ca="1" si="33"/>
        <v>28.05374574385792</v>
      </c>
      <c r="X130" s="343"/>
      <c r="Y130" s="367" t="str">
        <f t="shared" ca="1" si="51"/>
        <v/>
      </c>
      <c r="Z130" s="368" t="str">
        <f t="shared" ca="1" si="52"/>
        <v/>
      </c>
      <c r="AA130" s="369" t="str">
        <f t="shared" ca="1" si="53"/>
        <v/>
      </c>
      <c r="AB130" s="344"/>
      <c r="AC130" s="363" t="e">
        <f t="shared" ca="1" si="54"/>
        <v>#N/A</v>
      </c>
      <c r="AD130" s="376" t="e">
        <f t="shared" ca="1" si="55"/>
        <v>#N/A</v>
      </c>
      <c r="AE130" s="377">
        <f t="shared" ca="1" si="34"/>
        <v>61.985690898805252</v>
      </c>
      <c r="AF130" s="344"/>
      <c r="AG130" s="359">
        <f t="shared" ca="1" si="56"/>
        <v>79.033527658107872</v>
      </c>
      <c r="AH130" s="357">
        <f t="shared" ca="1" si="57"/>
        <v>88.639532688044227</v>
      </c>
    </row>
    <row r="131" spans="1:34" x14ac:dyDescent="0.25">
      <c r="A131" s="402">
        <f t="shared" ca="1" si="35"/>
        <v>0.01</v>
      </c>
      <c r="B131" s="357">
        <f t="shared" ca="1" si="36"/>
        <v>1.2700000000000009</v>
      </c>
      <c r="C131" s="342"/>
      <c r="D131" s="359">
        <f t="shared" ca="1" si="37"/>
        <v>17.990402843137264</v>
      </c>
      <c r="E131" s="360">
        <f t="shared" ca="1" si="38"/>
        <v>76.938706888202688</v>
      </c>
      <c r="F131" s="357">
        <f t="shared" ca="1" si="39"/>
        <v>79.01404439773431</v>
      </c>
      <c r="G131" s="359">
        <f t="shared" ca="1" si="40"/>
        <v>20.668750397213824</v>
      </c>
      <c r="H131" s="360">
        <f t="shared" ca="1" si="41"/>
        <v>99.565447591836701</v>
      </c>
      <c r="I131" s="357">
        <f t="shared" ca="1" si="42"/>
        <v>101.68812908665942</v>
      </c>
      <c r="J131" s="359">
        <f t="shared" ca="1" si="43"/>
        <v>12.364089642086713</v>
      </c>
      <c r="K131" s="360">
        <f t="shared" ca="1" si="44"/>
        <v>62.977498439379211</v>
      </c>
      <c r="L131" s="357">
        <f t="shared" ca="1" si="29"/>
        <v>64.179716596130021</v>
      </c>
      <c r="M131" s="359">
        <f t="shared" ca="1" si="45"/>
        <v>1.366113849391356</v>
      </c>
      <c r="N131" s="357">
        <f t="shared" ca="1" si="46"/>
        <v>78.272557904495287</v>
      </c>
      <c r="O131" s="343"/>
      <c r="P131" s="363">
        <f t="shared" ca="1" si="47"/>
        <v>6</v>
      </c>
      <c r="Q131" s="357">
        <f t="shared" ca="1" si="48"/>
        <v>999.15263157894731</v>
      </c>
      <c r="R131" s="359">
        <f t="shared" ca="1" si="49"/>
        <v>0.50050778670110929</v>
      </c>
      <c r="S131" s="360">
        <f t="shared" ca="1" si="50"/>
        <v>10.961159367314218</v>
      </c>
      <c r="T131" s="357">
        <f t="shared" ca="1" si="30"/>
        <v>107.52897339335249</v>
      </c>
      <c r="U131" s="364">
        <f t="shared" ca="1" si="31"/>
        <v>0</v>
      </c>
      <c r="V131" s="359">
        <f t="shared" ca="1" si="32"/>
        <v>1.2173094729489438</v>
      </c>
      <c r="W131" s="357">
        <f t="shared" ca="1" si="33"/>
        <v>28.49188177248703</v>
      </c>
      <c r="X131" s="343"/>
      <c r="Y131" s="367" t="str">
        <f t="shared" ca="1" si="51"/>
        <v/>
      </c>
      <c r="Z131" s="368" t="str">
        <f t="shared" ca="1" si="52"/>
        <v/>
      </c>
      <c r="AA131" s="369" t="str">
        <f t="shared" ca="1" si="53"/>
        <v/>
      </c>
      <c r="AB131" s="344"/>
      <c r="AC131" s="363" t="e">
        <f t="shared" ca="1" si="54"/>
        <v>#N/A</v>
      </c>
      <c r="AD131" s="376" t="e">
        <f t="shared" ca="1" si="55"/>
        <v>#N/A</v>
      </c>
      <c r="AE131" s="377">
        <f t="shared" ca="1" si="34"/>
        <v>62.977498439379211</v>
      </c>
      <c r="AF131" s="344"/>
      <c r="AG131" s="359">
        <f t="shared" ca="1" si="56"/>
        <v>78.988928968549487</v>
      </c>
      <c r="AH131" s="357">
        <f t="shared" ca="1" si="57"/>
        <v>88.594541260924572</v>
      </c>
    </row>
    <row r="132" spans="1:34" x14ac:dyDescent="0.25">
      <c r="A132" s="402">
        <f t="shared" ca="1" si="35"/>
        <v>0.01</v>
      </c>
      <c r="B132" s="357">
        <f t="shared" ca="1" si="36"/>
        <v>1.2800000000000009</v>
      </c>
      <c r="C132" s="342"/>
      <c r="D132" s="359">
        <f t="shared" ca="1" si="37"/>
        <v>17.998182004590969</v>
      </c>
      <c r="E132" s="360">
        <f t="shared" ca="1" si="38"/>
        <v>76.890792872703372</v>
      </c>
      <c r="F132" s="357">
        <f t="shared" ca="1" si="39"/>
        <v>78.969162234782218</v>
      </c>
      <c r="G132" s="359">
        <f t="shared" ca="1" si="40"/>
        <v>20.848732217259734</v>
      </c>
      <c r="H132" s="360">
        <f t="shared" ca="1" si="41"/>
        <v>100.33435552056373</v>
      </c>
      <c r="I132" s="357">
        <f t="shared" ca="1" si="42"/>
        <v>102.47757087672348</v>
      </c>
      <c r="J132" s="359">
        <f t="shared" ca="1" si="43"/>
        <v>12.57167705515908</v>
      </c>
      <c r="K132" s="360">
        <f t="shared" ca="1" si="44"/>
        <v>63.976997454941213</v>
      </c>
      <c r="L132" s="357">
        <f t="shared" ref="L132:L195" ca="1" si="58">SQRT(pos_x^2+pos_z^2)</f>
        <v>65.200485177096397</v>
      </c>
      <c r="M132" s="359">
        <f t="shared" ca="1" si="45"/>
        <v>1.3659192756851519</v>
      </c>
      <c r="N132" s="357">
        <f t="shared" ca="1" si="46"/>
        <v>78.261409652325568</v>
      </c>
      <c r="O132" s="343"/>
      <c r="P132" s="363">
        <f t="shared" ca="1" si="47"/>
        <v>6</v>
      </c>
      <c r="Q132" s="357">
        <f t="shared" ca="1" si="48"/>
        <v>998.65087719298242</v>
      </c>
      <c r="R132" s="359">
        <f t="shared" ca="1" si="49"/>
        <v>0.50025644174214146</v>
      </c>
      <c r="S132" s="360">
        <f t="shared" ca="1" si="50"/>
        <v>10.956156802896798</v>
      </c>
      <c r="T132" s="357">
        <f t="shared" ref="T132:T195" ca="1" si="59">m*g</f>
        <v>107.4798982364176</v>
      </c>
      <c r="U132" s="364">
        <f t="shared" ref="U132:U195" ca="1" si="60">IF(pos_xz&lt;L_rampe,Poids*COS(Beta),0)</f>
        <v>0</v>
      </c>
      <c r="V132" s="359">
        <f t="shared" ref="V132:V195" ca="1" si="61">Rho_moyen*(20000-Alt_rampe-pos_z)/(20000+Alt_rampe+pos_z)</f>
        <v>1.2171878078416614</v>
      </c>
      <c r="W132" s="357">
        <f t="shared" ref="W132:W195" ca="1" si="62">1/2*Rho*Sref*Cx*vit_xz^2</f>
        <v>28.933092541873734</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63.976997454941213</v>
      </c>
      <c r="AF132" s="344"/>
      <c r="AG132" s="359">
        <f t="shared" ca="1" si="56"/>
        <v>78.943985021862247</v>
      </c>
      <c r="AH132" s="357">
        <f t="shared" ca="1" si="57"/>
        <v>88.54920688648653</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17.998714625939535</v>
      </c>
      <c r="E133" s="360">
        <f t="shared" ref="E133:E196" ca="1" si="67">IF(AND(L132&lt;L_rampe,Poussee&lt;Poids*SIN(M132)),0,(-W132+Poussee)/m*SIN(M132)+U132/m*COS(M132)-Poids/m)</f>
        <v>76.808668865494511</v>
      </c>
      <c r="F133" s="357">
        <f t="shared" ref="F133:F196" ca="1" si="68">SQRT(acc_x^2+acc_z^2)</f>
        <v>78.889323365555583</v>
      </c>
      <c r="G133" s="359">
        <f t="shared" ref="G133:G196" ca="1" si="69">G132+acc_x*pas</f>
        <v>21.02871936351913</v>
      </c>
      <c r="H133" s="360">
        <f t="shared" ref="H133:H196" ca="1" si="70">H132+acc_z*pas</f>
        <v>101.10244220921868</v>
      </c>
      <c r="I133" s="357">
        <f t="shared" ref="I133:I196" ca="1" si="71">SQRT(vit_x^2+vit_z^2)</f>
        <v>103.26621353926969</v>
      </c>
      <c r="J133" s="359">
        <f t="shared" ref="J133:J196" ca="1" si="72">J132+0.5*(vit_x+G132)*pas*(K132&gt;=0)</f>
        <v>12.781064313062975</v>
      </c>
      <c r="K133" s="360">
        <f t="shared" ref="K133:K196" ca="1" si="73">K132+0.5*(vit_z+H132)*pas</f>
        <v>64.984181443590131</v>
      </c>
      <c r="L133" s="357">
        <f t="shared" ca="1" si="58"/>
        <v>66.229143455642671</v>
      </c>
      <c r="M133" s="359">
        <f t="shared" ref="M133:M196" ca="1" si="74">IF(AND(L132&gt;L_rampe,G133&gt;0),ATAN2(G133,H133),$M$4)</f>
        <v>1.3657260069582247</v>
      </c>
      <c r="N133" s="357">
        <f t="shared" ref="N133:N196" ca="1" si="75">DEGREES(Beta)</f>
        <v>78.250336169960775</v>
      </c>
      <c r="O133" s="343"/>
      <c r="P133" s="363">
        <f t="shared" ref="P133:P196" ca="1" si="76">MATCH(t-pas/2-T_ini,CdP_t)</f>
        <v>7</v>
      </c>
      <c r="Q133" s="357">
        <f t="shared" ref="Q133:Q196" ca="1" si="77">(INDEX(CdP,2,i_P+1)-INDEX(CdP,2,i_P+0))/(INDEX(CdP,1,i_P+1)-INDEX(CdP,1,i_P+0))*(t-pas/2-T_ini-INDEX(CdP,1,i_P+0))+INDEX(CdP,2,i_P+0)</f>
        <v>997.77012987012972</v>
      </c>
      <c r="R133" s="359">
        <f t="shared" ref="R133:R196" ca="1" si="78">Poussee/(g*ISP)</f>
        <v>0.49981524699444074</v>
      </c>
      <c r="S133" s="360">
        <f t="shared" ref="S133:S196" ca="1" si="79">S132-Débit*pas</f>
        <v>10.951158650426853</v>
      </c>
      <c r="T133" s="357">
        <f t="shared" ca="1" si="59"/>
        <v>107.43086636068743</v>
      </c>
      <c r="U133" s="364">
        <f t="shared" ca="1" si="60"/>
        <v>0</v>
      </c>
      <c r="V133" s="359">
        <f t="shared" ca="1" si="61"/>
        <v>1.2170652195338367</v>
      </c>
      <c r="W133" s="357">
        <f t="shared" ca="1" si="62"/>
        <v>29.377171294324409</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64.984181443590131</v>
      </c>
      <c r="AF133" s="344"/>
      <c r="AG133" s="359">
        <f t="shared" ref="AG133:AG196" ca="1" si="85">IF(AND(L132&lt;L_rampe,Poussee&lt;Poids*SIN(M132)),0,(-W132+Poussee)/m-Poids*SIN(M132)/m)</f>
        <v>78.86407339050767</v>
      </c>
      <c r="AH133" s="357">
        <f t="shared" ref="AH133:AH196" ca="1" si="86">IF(AND(L132&lt;L_rampe,Poussee&lt;Poids*SIN(M132)), g*SIN(M132), (-W132+Poussee)/m)</f>
        <v>88.468907104226162</v>
      </c>
    </row>
    <row r="134" spans="1:34" x14ac:dyDescent="0.25">
      <c r="A134" s="402">
        <f t="shared" ca="1" si="64"/>
        <v>0.01</v>
      </c>
      <c r="B134" s="357">
        <f t="shared" ca="1" si="65"/>
        <v>1.3000000000000009</v>
      </c>
      <c r="C134" s="342"/>
      <c r="D134" s="359">
        <f t="shared" ca="1" si="66"/>
        <v>17.991973818629646</v>
      </c>
      <c r="E134" s="360">
        <f t="shared" ca="1" si="67"/>
        <v>76.692295350588864</v>
      </c>
      <c r="F134" s="357">
        <f t="shared" ca="1" si="68"/>
        <v>78.774483737008453</v>
      </c>
      <c r="G134" s="359">
        <f t="shared" ca="1" si="69"/>
        <v>21.208639101705426</v>
      </c>
      <c r="H134" s="360">
        <f t="shared" ca="1" si="70"/>
        <v>101.86936516272456</v>
      </c>
      <c r="I134" s="357">
        <f t="shared" ca="1" si="71"/>
        <v>104.05370695560495</v>
      </c>
      <c r="J134" s="359">
        <f t="shared" ca="1" si="72"/>
        <v>12.992251105389098</v>
      </c>
      <c r="K134" s="360">
        <f t="shared" ca="1" si="73"/>
        <v>65.99904048044985</v>
      </c>
      <c r="L134" s="357">
        <f t="shared" ca="1" si="58"/>
        <v>67.265681689294894</v>
      </c>
      <c r="M134" s="359">
        <f t="shared" ca="1" si="74"/>
        <v>1.3655340225208101</v>
      </c>
      <c r="N134" s="357">
        <f t="shared" ca="1" si="75"/>
        <v>78.239336271964731</v>
      </c>
      <c r="O134" s="343"/>
      <c r="P134" s="363">
        <f t="shared" ca="1" si="76"/>
        <v>7</v>
      </c>
      <c r="Q134" s="357">
        <f t="shared" ca="1" si="77"/>
        <v>996.51038961038944</v>
      </c>
      <c r="R134" s="359">
        <f t="shared" ca="1" si="78"/>
        <v>0.49918420245800738</v>
      </c>
      <c r="S134" s="360">
        <f t="shared" ca="1" si="79"/>
        <v>10.946166808402273</v>
      </c>
      <c r="T134" s="357">
        <f t="shared" ca="1" si="59"/>
        <v>107.38189639042631</v>
      </c>
      <c r="U134" s="364">
        <f t="shared" ca="1" si="60"/>
        <v>0</v>
      </c>
      <c r="V134" s="359">
        <f t="shared" ca="1" si="61"/>
        <v>1.2169417095131474</v>
      </c>
      <c r="W134" s="357">
        <f t="shared" ca="1" si="62"/>
        <v>29.823905030423369</v>
      </c>
      <c r="X134" s="343"/>
      <c r="Y134" s="367" t="str">
        <f t="shared" ca="1" si="80"/>
        <v/>
      </c>
      <c r="Z134" s="368" t="str">
        <f t="shared" ca="1" si="81"/>
        <v/>
      </c>
      <c r="AA134" s="369" t="str">
        <f t="shared" ca="1" si="82"/>
        <v/>
      </c>
      <c r="AB134" s="344"/>
      <c r="AC134" s="363" t="e">
        <f t="shared" ca="1" si="83"/>
        <v>#N/A</v>
      </c>
      <c r="AD134" s="376" t="e">
        <f t="shared" ca="1" si="84"/>
        <v>#N/A</v>
      </c>
      <c r="AE134" s="377">
        <f t="shared" ca="1" si="63"/>
        <v>65.99904048044985</v>
      </c>
      <c r="AF134" s="344"/>
      <c r="AG134" s="359">
        <f t="shared" ca="1" si="85"/>
        <v>78.749149872823921</v>
      </c>
      <c r="AH134" s="357">
        <f t="shared" ca="1" si="86"/>
        <v>88.353597678933042</v>
      </c>
    </row>
    <row r="135" spans="1:34" x14ac:dyDescent="0.25">
      <c r="A135" s="402">
        <f t="shared" ca="1" si="64"/>
        <v>0.01</v>
      </c>
      <c r="B135" s="357">
        <f t="shared" ca="1" si="65"/>
        <v>1.3100000000000009</v>
      </c>
      <c r="C135" s="342"/>
      <c r="D135" s="359">
        <f t="shared" ca="1" si="66"/>
        <v>17.984996478254235</v>
      </c>
      <c r="E135" s="360">
        <f t="shared" ca="1" si="67"/>
        <v>76.575560379792208</v>
      </c>
      <c r="F135" s="357">
        <f t="shared" ca="1" si="68"/>
        <v>78.659243231816177</v>
      </c>
      <c r="G135" s="359">
        <f t="shared" ca="1" si="69"/>
        <v>21.388489066487967</v>
      </c>
      <c r="H135" s="360">
        <f t="shared" ca="1" si="70"/>
        <v>102.63512076652249</v>
      </c>
      <c r="I135" s="357">
        <f t="shared" ca="1" si="71"/>
        <v>104.84004711609936</v>
      </c>
      <c r="J135" s="359">
        <f t="shared" ca="1" si="72"/>
        <v>13.205236746230065</v>
      </c>
      <c r="K135" s="360">
        <f t="shared" ca="1" si="73"/>
        <v>67.02156291009608</v>
      </c>
      <c r="L135" s="357">
        <f t="shared" ca="1" si="58"/>
        <v>68.310088365013499</v>
      </c>
      <c r="M135" s="359">
        <f t="shared" ca="1" si="74"/>
        <v>1.3653433021652197</v>
      </c>
      <c r="N135" s="357">
        <f t="shared" ca="1" si="75"/>
        <v>78.228408800522161</v>
      </c>
      <c r="O135" s="343"/>
      <c r="P135" s="363">
        <f t="shared" ca="1" si="76"/>
        <v>7</v>
      </c>
      <c r="Q135" s="357">
        <f t="shared" ca="1" si="77"/>
        <v>995.25064935064916</v>
      </c>
      <c r="R135" s="359">
        <f t="shared" ca="1" si="78"/>
        <v>0.49855315792157406</v>
      </c>
      <c r="S135" s="360">
        <f t="shared" ca="1" si="79"/>
        <v>10.941181276823057</v>
      </c>
      <c r="T135" s="357">
        <f t="shared" ca="1" si="59"/>
        <v>107.33298832563419</v>
      </c>
      <c r="U135" s="364">
        <f t="shared" ca="1" si="60"/>
        <v>0</v>
      </c>
      <c r="V135" s="359">
        <f t="shared" ca="1" si="61"/>
        <v>1.2168172794794205</v>
      </c>
      <c r="W135" s="357">
        <f t="shared" ca="1" si="62"/>
        <v>30.273274656300071</v>
      </c>
      <c r="X135" s="343"/>
      <c r="Y135" s="367" t="str">
        <f t="shared" ca="1" si="80"/>
        <v/>
      </c>
      <c r="Z135" s="368" t="str">
        <f t="shared" ca="1" si="81"/>
        <v/>
      </c>
      <c r="AA135" s="369" t="str">
        <f t="shared" ca="1" si="82"/>
        <v/>
      </c>
      <c r="AB135" s="344"/>
      <c r="AC135" s="363" t="e">
        <f t="shared" ca="1" si="83"/>
        <v>#N/A</v>
      </c>
      <c r="AD135" s="376" t="e">
        <f t="shared" ca="1" si="84"/>
        <v>#N/A</v>
      </c>
      <c r="AE135" s="377">
        <f t="shared" ca="1" si="63"/>
        <v>67.02156291009608</v>
      </c>
      <c r="AF135" s="344"/>
      <c r="AG135" s="359">
        <f t="shared" ca="1" si="85"/>
        <v>78.63382537551503</v>
      </c>
      <c r="AH135" s="357">
        <f t="shared" ca="1" si="86"/>
        <v>88.237889483223384</v>
      </c>
    </row>
    <row r="136" spans="1:34" x14ac:dyDescent="0.25">
      <c r="A136" s="402">
        <f t="shared" ca="1" si="64"/>
        <v>0.01</v>
      </c>
      <c r="B136" s="357">
        <f t="shared" ca="1" si="65"/>
        <v>1.320000000000001</v>
      </c>
      <c r="C136" s="342"/>
      <c r="D136" s="359">
        <f t="shared" ca="1" si="66"/>
        <v>17.977784860793918</v>
      </c>
      <c r="E136" s="360">
        <f t="shared" ca="1" si="67"/>
        <v>76.458464993779046</v>
      </c>
      <c r="F136" s="357">
        <f t="shared" ca="1" si="68"/>
        <v>78.543603289548201</v>
      </c>
      <c r="G136" s="359">
        <f t="shared" ca="1" si="69"/>
        <v>21.568266915095908</v>
      </c>
      <c r="H136" s="360">
        <f t="shared" ca="1" si="70"/>
        <v>103.39970541646028</v>
      </c>
      <c r="I136" s="357">
        <f t="shared" ca="1" si="71"/>
        <v>105.62523002546119</v>
      </c>
      <c r="J136" s="359">
        <f t="shared" ca="1" si="72"/>
        <v>13.420020526137986</v>
      </c>
      <c r="K136" s="360">
        <f t="shared" ca="1" si="73"/>
        <v>68.051737041010995</v>
      </c>
      <c r="L136" s="357">
        <f t="shared" ca="1" si="58"/>
        <v>69.362351929709476</v>
      </c>
      <c r="M136" s="359">
        <f t="shared" ca="1" si="74"/>
        <v>1.3651538261508125</v>
      </c>
      <c r="N136" s="357">
        <f t="shared" ca="1" si="75"/>
        <v>78.217552624577664</v>
      </c>
      <c r="O136" s="343"/>
      <c r="P136" s="363">
        <f t="shared" ca="1" si="76"/>
        <v>7</v>
      </c>
      <c r="Q136" s="357">
        <f t="shared" ca="1" si="77"/>
        <v>993.99090909090899</v>
      </c>
      <c r="R136" s="359">
        <f t="shared" ca="1" si="78"/>
        <v>0.49792211338514075</v>
      </c>
      <c r="S136" s="360">
        <f t="shared" ca="1" si="79"/>
        <v>10.936202055689206</v>
      </c>
      <c r="T136" s="357">
        <f t="shared" ca="1" si="59"/>
        <v>107.28414216631111</v>
      </c>
      <c r="U136" s="364">
        <f t="shared" ca="1" si="60"/>
        <v>0</v>
      </c>
      <c r="V136" s="359">
        <f t="shared" ca="1" si="61"/>
        <v>1.2166919311383506</v>
      </c>
      <c r="W136" s="357">
        <f t="shared" ca="1" si="62"/>
        <v>30.725261036118034</v>
      </c>
      <c r="X136" s="343"/>
      <c r="Y136" s="367" t="str">
        <f t="shared" ca="1" si="80"/>
        <v/>
      </c>
      <c r="Z136" s="368" t="str">
        <f t="shared" ca="1" si="81"/>
        <v/>
      </c>
      <c r="AA136" s="369" t="str">
        <f t="shared" ca="1" si="82"/>
        <v/>
      </c>
      <c r="AB136" s="344"/>
      <c r="AC136" s="363" t="e">
        <f t="shared" ca="1" si="83"/>
        <v>#N/A</v>
      </c>
      <c r="AD136" s="376" t="e">
        <f t="shared" ca="1" si="84"/>
        <v>#N/A</v>
      </c>
      <c r="AE136" s="377">
        <f t="shared" ca="1" si="63"/>
        <v>68.051737041010995</v>
      </c>
      <c r="AF136" s="344"/>
      <c r="AG136" s="359">
        <f t="shared" ca="1" si="85"/>
        <v>78.518101332769419</v>
      </c>
      <c r="AH136" s="357">
        <f t="shared" ca="1" si="86"/>
        <v>88.121783917961352</v>
      </c>
    </row>
    <row r="137" spans="1:34" x14ac:dyDescent="0.25">
      <c r="A137" s="402">
        <f t="shared" ca="1" si="64"/>
        <v>0.01</v>
      </c>
      <c r="B137" s="357">
        <f t="shared" ca="1" si="65"/>
        <v>1.330000000000001</v>
      </c>
      <c r="C137" s="342"/>
      <c r="D137" s="359">
        <f t="shared" ca="1" si="66"/>
        <v>17.970341178019371</v>
      </c>
      <c r="E137" s="360">
        <f t="shared" ca="1" si="67"/>
        <v>76.341010248299639</v>
      </c>
      <c r="F137" s="357">
        <f t="shared" ca="1" si="68"/>
        <v>78.427565356738</v>
      </c>
      <c r="G137" s="359">
        <f t="shared" ca="1" si="69"/>
        <v>21.7479703268761</v>
      </c>
      <c r="H137" s="360">
        <f t="shared" ca="1" si="70"/>
        <v>104.16311551894327</v>
      </c>
      <c r="I137" s="357">
        <f t="shared" ca="1" si="71"/>
        <v>106.40925170280732</v>
      </c>
      <c r="J137" s="359">
        <f t="shared" ca="1" si="72"/>
        <v>13.636601712347845</v>
      </c>
      <c r="K137" s="360">
        <f t="shared" ca="1" si="73"/>
        <v>69.089551145688006</v>
      </c>
      <c r="L137" s="357">
        <f t="shared" ca="1" si="58"/>
        <v>70.422460790388797</v>
      </c>
      <c r="M137" s="359">
        <f t="shared" ca="1" si="74"/>
        <v>1.3649655751895498</v>
      </c>
      <c r="N137" s="357">
        <f t="shared" ca="1" si="75"/>
        <v>78.206766639008038</v>
      </c>
      <c r="O137" s="343"/>
      <c r="P137" s="363">
        <f t="shared" ca="1" si="76"/>
        <v>7</v>
      </c>
      <c r="Q137" s="357">
        <f t="shared" ca="1" si="77"/>
        <v>992.7311688311687</v>
      </c>
      <c r="R137" s="359">
        <f t="shared" ca="1" si="78"/>
        <v>0.49729106884870744</v>
      </c>
      <c r="S137" s="360">
        <f t="shared" ca="1" si="79"/>
        <v>10.931229145000719</v>
      </c>
      <c r="T137" s="357">
        <f t="shared" ca="1" si="59"/>
        <v>107.23535791245706</v>
      </c>
      <c r="U137" s="364">
        <f t="shared" ca="1" si="60"/>
        <v>0</v>
      </c>
      <c r="V137" s="359">
        <f t="shared" ca="1" si="61"/>
        <v>1.216565666201471</v>
      </c>
      <c r="W137" s="357">
        <f t="shared" ca="1" si="62"/>
        <v>31.179844992880241</v>
      </c>
      <c r="X137" s="343"/>
      <c r="Y137" s="367" t="str">
        <f t="shared" ca="1" si="80"/>
        <v/>
      </c>
      <c r="Z137" s="368" t="str">
        <f t="shared" ca="1" si="81"/>
        <v/>
      </c>
      <c r="AA137" s="369" t="str">
        <f t="shared" ca="1" si="82"/>
        <v/>
      </c>
      <c r="AB137" s="344"/>
      <c r="AC137" s="363" t="e">
        <f t="shared" ca="1" si="83"/>
        <v>#N/A</v>
      </c>
      <c r="AD137" s="376" t="e">
        <f t="shared" ca="1" si="84"/>
        <v>#N/A</v>
      </c>
      <c r="AE137" s="377">
        <f t="shared" ca="1" si="63"/>
        <v>69.089551145688006</v>
      </c>
      <c r="AF137" s="344"/>
      <c r="AG137" s="359">
        <f t="shared" ca="1" si="85"/>
        <v>78.401979185804493</v>
      </c>
      <c r="AH137" s="357">
        <f t="shared" ca="1" si="86"/>
        <v>88.005282391780597</v>
      </c>
    </row>
    <row r="138" spans="1:34" x14ac:dyDescent="0.25">
      <c r="A138" s="402">
        <f t="shared" ca="1" si="64"/>
        <v>0.01</v>
      </c>
      <c r="B138" s="357">
        <f t="shared" ca="1" si="65"/>
        <v>1.340000000000001</v>
      </c>
      <c r="C138" s="342"/>
      <c r="D138" s="359">
        <f t="shared" ca="1" si="66"/>
        <v>17.962667598912766</v>
      </c>
      <c r="E138" s="360">
        <f t="shared" ca="1" si="67"/>
        <v>76.223197213888596</v>
      </c>
      <c r="F138" s="357">
        <f t="shared" ca="1" si="68"/>
        <v>78.311130886843827</v>
      </c>
      <c r="G138" s="359">
        <f t="shared" ca="1" si="69"/>
        <v>21.927597002865227</v>
      </c>
      <c r="H138" s="360">
        <f t="shared" ca="1" si="70"/>
        <v>104.92534749108216</v>
      </c>
      <c r="I138" s="357">
        <f t="shared" ca="1" si="71"/>
        <v>107.19210818173325</v>
      </c>
      <c r="J138" s="359">
        <f t="shared" ca="1" si="72"/>
        <v>13.854979548996551</v>
      </c>
      <c r="K138" s="360">
        <f t="shared" ca="1" si="73"/>
        <v>70.13499346073813</v>
      </c>
      <c r="L138" s="357">
        <f t="shared" ca="1" si="58"/>
        <v>71.490403314297311</v>
      </c>
      <c r="M138" s="359">
        <f t="shared" ca="1" si="74"/>
        <v>1.3647785304321089</v>
      </c>
      <c r="N138" s="357">
        <f t="shared" ca="1" si="75"/>
        <v>78.196049763826622</v>
      </c>
      <c r="O138" s="343"/>
      <c r="P138" s="363">
        <f t="shared" ca="1" si="76"/>
        <v>7</v>
      </c>
      <c r="Q138" s="357">
        <f t="shared" ca="1" si="77"/>
        <v>991.47142857142842</v>
      </c>
      <c r="R138" s="359">
        <f t="shared" ca="1" si="78"/>
        <v>0.49666002431227407</v>
      </c>
      <c r="S138" s="360">
        <f t="shared" ca="1" si="79"/>
        <v>10.926262544757597</v>
      </c>
      <c r="T138" s="357">
        <f t="shared" ca="1" si="59"/>
        <v>107.18663556407203</v>
      </c>
      <c r="U138" s="364">
        <f t="shared" ca="1" si="60"/>
        <v>0</v>
      </c>
      <c r="V138" s="359">
        <f t="shared" ca="1" si="61"/>
        <v>1.2164384863861257</v>
      </c>
      <c r="W138" s="357">
        <f t="shared" ca="1" si="62"/>
        <v>31.637007309235269</v>
      </c>
      <c r="X138" s="343"/>
      <c r="Y138" s="367" t="str">
        <f t="shared" ca="1" si="80"/>
        <v/>
      </c>
      <c r="Z138" s="368" t="str">
        <f t="shared" ca="1" si="81"/>
        <v/>
      </c>
      <c r="AA138" s="369" t="str">
        <f t="shared" ca="1" si="82"/>
        <v/>
      </c>
      <c r="AB138" s="344"/>
      <c r="AC138" s="363" t="e">
        <f t="shared" ca="1" si="83"/>
        <v>#N/A</v>
      </c>
      <c r="AD138" s="376" t="e">
        <f t="shared" ca="1" si="84"/>
        <v>#N/A</v>
      </c>
      <c r="AE138" s="377">
        <f t="shared" ca="1" si="63"/>
        <v>70.13499346073813</v>
      </c>
      <c r="AF138" s="344"/>
      <c r="AG138" s="359">
        <f t="shared" ca="1" si="85"/>
        <v>78.285460382824908</v>
      </c>
      <c r="AH138" s="357">
        <f t="shared" ca="1" si="86"/>
        <v>87.888386321020135</v>
      </c>
    </row>
    <row r="139" spans="1:34" x14ac:dyDescent="0.25">
      <c r="A139" s="402">
        <f t="shared" ca="1" si="64"/>
        <v>0.01</v>
      </c>
      <c r="B139" s="357">
        <f t="shared" ca="1" si="65"/>
        <v>1.350000000000001</v>
      </c>
      <c r="C139" s="342"/>
      <c r="D139" s="359">
        <f t="shared" ca="1" si="66"/>
        <v>17.954766251033558</v>
      </c>
      <c r="E139" s="360">
        <f t="shared" ca="1" si="67"/>
        <v>76.105026975581666</v>
      </c>
      <c r="F139" s="357">
        <f t="shared" ca="1" si="68"/>
        <v>78.194301340208071</v>
      </c>
      <c r="G139" s="359">
        <f t="shared" ca="1" si="69"/>
        <v>22.107144665375561</v>
      </c>
      <c r="H139" s="360">
        <f t="shared" ca="1" si="70"/>
        <v>105.68639776083798</v>
      </c>
      <c r="I139" s="357">
        <f t="shared" ca="1" si="71"/>
        <v>107.97379551038253</v>
      </c>
      <c r="J139" s="359">
        <f t="shared" ca="1" si="72"/>
        <v>14.075153257337755</v>
      </c>
      <c r="K139" s="360">
        <f t="shared" ca="1" si="73"/>
        <v>71.188052186997737</v>
      </c>
      <c r="L139" s="357">
        <f t="shared" ca="1" si="58"/>
        <v>72.566167829066586</v>
      </c>
      <c r="M139" s="359">
        <f t="shared" ca="1" si="74"/>
        <v>1.364592673454526</v>
      </c>
      <c r="N139" s="357">
        <f t="shared" ca="1" si="75"/>
        <v>78.18540094341806</v>
      </c>
      <c r="O139" s="343"/>
      <c r="P139" s="363">
        <f t="shared" ca="1" si="76"/>
        <v>7</v>
      </c>
      <c r="Q139" s="357">
        <f t="shared" ca="1" si="77"/>
        <v>990.21168831168814</v>
      </c>
      <c r="R139" s="359">
        <f t="shared" ca="1" si="78"/>
        <v>0.49602897977584076</v>
      </c>
      <c r="S139" s="360">
        <f t="shared" ca="1" si="79"/>
        <v>10.921302254959839</v>
      </c>
      <c r="T139" s="357">
        <f t="shared" ca="1" si="59"/>
        <v>107.13797512115602</v>
      </c>
      <c r="U139" s="364">
        <f t="shared" ca="1" si="60"/>
        <v>0</v>
      </c>
      <c r="V139" s="359">
        <f t="shared" ca="1" si="61"/>
        <v>1.2163103934154442</v>
      </c>
      <c r="W139" s="357">
        <f t="shared" ca="1" si="62"/>
        <v>32.096728728284162</v>
      </c>
      <c r="X139" s="343"/>
      <c r="Y139" s="367" t="str">
        <f t="shared" ca="1" si="80"/>
        <v/>
      </c>
      <c r="Z139" s="368" t="str">
        <f t="shared" ca="1" si="81"/>
        <v/>
      </c>
      <c r="AA139" s="369" t="str">
        <f t="shared" ca="1" si="82"/>
        <v/>
      </c>
      <c r="AB139" s="344"/>
      <c r="AC139" s="363" t="e">
        <f t="shared" ca="1" si="83"/>
        <v>#N/A</v>
      </c>
      <c r="AD139" s="376" t="e">
        <f t="shared" ca="1" si="84"/>
        <v>#N/A</v>
      </c>
      <c r="AE139" s="377">
        <f t="shared" ca="1" si="63"/>
        <v>71.188052186997737</v>
      </c>
      <c r="AF139" s="344"/>
      <c r="AG139" s="359">
        <f t="shared" ca="1" si="85"/>
        <v>78.168546378979443</v>
      </c>
      <c r="AH139" s="357">
        <f t="shared" ca="1" si="86"/>
        <v>87.771097129659822</v>
      </c>
    </row>
    <row r="140" spans="1:34" x14ac:dyDescent="0.25">
      <c r="A140" s="402">
        <f t="shared" ca="1" si="64"/>
        <v>0.01</v>
      </c>
      <c r="B140" s="357">
        <f t="shared" ca="1" si="65"/>
        <v>1.360000000000001</v>
      </c>
      <c r="C140" s="342"/>
      <c r="D140" s="359">
        <f t="shared" ca="1" si="66"/>
        <v>17.946639221831781</v>
      </c>
      <c r="E140" s="360">
        <f t="shared" ca="1" si="67"/>
        <v>75.986500632640528</v>
      </c>
      <c r="F140" s="357">
        <f t="shared" ca="1" si="68"/>
        <v>78.077078184015505</v>
      </c>
      <c r="G140" s="359">
        <f t="shared" ca="1" si="69"/>
        <v>22.286611057593877</v>
      </c>
      <c r="H140" s="360">
        <f t="shared" ca="1" si="70"/>
        <v>106.44626276716438</v>
      </c>
      <c r="I140" s="357">
        <f t="shared" ca="1" si="71"/>
        <v>108.75430975151592</v>
      </c>
      <c r="J140" s="359">
        <f t="shared" ca="1" si="72"/>
        <v>14.297122035952603</v>
      </c>
      <c r="K140" s="360">
        <f t="shared" ca="1" si="73"/>
        <v>72.248715489637746</v>
      </c>
      <c r="L140" s="357">
        <f t="shared" ca="1" si="58"/>
        <v>73.649742622860146</v>
      </c>
      <c r="M140" s="359">
        <f t="shared" ca="1" si="74"/>
        <v>1.364407986245346</v>
      </c>
      <c r="N140" s="357">
        <f t="shared" ca="1" si="75"/>
        <v>78.174819145802005</v>
      </c>
      <c r="O140" s="343"/>
      <c r="P140" s="363">
        <f t="shared" ca="1" si="76"/>
        <v>7</v>
      </c>
      <c r="Q140" s="357">
        <f t="shared" ca="1" si="77"/>
        <v>988.95194805194785</v>
      </c>
      <c r="R140" s="359">
        <f t="shared" ca="1" si="78"/>
        <v>0.49539793523940739</v>
      </c>
      <c r="S140" s="360">
        <f t="shared" ca="1" si="79"/>
        <v>10.916348275607445</v>
      </c>
      <c r="T140" s="357">
        <f t="shared" ca="1" si="59"/>
        <v>107.08937658370904</v>
      </c>
      <c r="U140" s="364">
        <f t="shared" ca="1" si="60"/>
        <v>0</v>
      </c>
      <c r="V140" s="359">
        <f t="shared" ca="1" si="61"/>
        <v>1.2161813890183111</v>
      </c>
      <c r="W140" s="357">
        <f t="shared" ca="1" si="62"/>
        <v>32.55898995438794</v>
      </c>
      <c r="X140" s="343"/>
      <c r="Y140" s="367" t="str">
        <f t="shared" ca="1" si="80"/>
        <v/>
      </c>
      <c r="Z140" s="368" t="str">
        <f t="shared" ca="1" si="81"/>
        <v/>
      </c>
      <c r="AA140" s="369" t="str">
        <f t="shared" ca="1" si="82"/>
        <v/>
      </c>
      <c r="AB140" s="344"/>
      <c r="AC140" s="363" t="e">
        <f t="shared" ca="1" si="83"/>
        <v>#N/A</v>
      </c>
      <c r="AD140" s="376" t="e">
        <f t="shared" ca="1" si="84"/>
        <v>#N/A</v>
      </c>
      <c r="AE140" s="377">
        <f t="shared" ca="1" si="63"/>
        <v>72.248715489637746</v>
      </c>
      <c r="AF140" s="344"/>
      <c r="AG140" s="359">
        <f t="shared" ca="1" si="85"/>
        <v>78.051238636316924</v>
      </c>
      <c r="AH140" s="357">
        <f t="shared" ca="1" si="86"/>
        <v>87.65341624925567</v>
      </c>
    </row>
    <row r="141" spans="1:34" x14ac:dyDescent="0.25">
      <c r="A141" s="402">
        <f t="shared" ca="1" si="64"/>
        <v>0.01</v>
      </c>
      <c r="B141" s="357">
        <f t="shared" ca="1" si="65"/>
        <v>1.370000000000001</v>
      </c>
      <c r="C141" s="342"/>
      <c r="D141" s="359">
        <f t="shared" ca="1" si="66"/>
        <v>17.938288559910763</v>
      </c>
      <c r="E141" s="360">
        <f t="shared" ca="1" si="67"/>
        <v>75.867619298285106</v>
      </c>
      <c r="F141" s="357">
        <f t="shared" ca="1" si="68"/>
        <v>77.959462892250286</v>
      </c>
      <c r="G141" s="359">
        <f t="shared" ca="1" si="69"/>
        <v>22.465993943192984</v>
      </c>
      <c r="H141" s="360">
        <f t="shared" ca="1" si="70"/>
        <v>107.20493896014723</v>
      </c>
      <c r="I141" s="357">
        <f t="shared" ca="1" si="71"/>
        <v>109.53364698258009</v>
      </c>
      <c r="J141" s="359">
        <f t="shared" ca="1" si="72"/>
        <v>14.520885060956537</v>
      </c>
      <c r="K141" s="360">
        <f t="shared" ca="1" si="73"/>
        <v>73.316971498274299</v>
      </c>
      <c r="L141" s="357">
        <f t="shared" ca="1" si="58"/>
        <v>74.741115944520629</v>
      </c>
      <c r="M141" s="359">
        <f t="shared" ca="1" si="74"/>
        <v>1.3642244511932595</v>
      </c>
      <c r="N141" s="357">
        <f t="shared" ca="1" si="75"/>
        <v>78.164303361924738</v>
      </c>
      <c r="O141" s="343"/>
      <c r="P141" s="363">
        <f t="shared" ca="1" si="76"/>
        <v>7</v>
      </c>
      <c r="Q141" s="357">
        <f t="shared" ca="1" si="77"/>
        <v>987.69220779220768</v>
      </c>
      <c r="R141" s="359">
        <f t="shared" ca="1" si="78"/>
        <v>0.49476689070297414</v>
      </c>
      <c r="S141" s="360">
        <f t="shared" ca="1" si="79"/>
        <v>10.911400606700417</v>
      </c>
      <c r="T141" s="357">
        <f t="shared" ca="1" si="59"/>
        <v>107.04083995173109</v>
      </c>
      <c r="U141" s="364">
        <f t="shared" ca="1" si="60"/>
        <v>0</v>
      </c>
      <c r="V141" s="359">
        <f t="shared" ca="1" si="61"/>
        <v>1.2160514749293392</v>
      </c>
      <c r="W141" s="357">
        <f t="shared" ca="1" si="62"/>
        <v>33.023771653975828</v>
      </c>
      <c r="X141" s="343"/>
      <c r="Y141" s="367" t="str">
        <f t="shared" ca="1" si="80"/>
        <v/>
      </c>
      <c r="Z141" s="368" t="str">
        <f t="shared" ca="1" si="81"/>
        <v/>
      </c>
      <c r="AA141" s="369" t="str">
        <f t="shared" ca="1" si="82"/>
        <v/>
      </c>
      <c r="AB141" s="344"/>
      <c r="AC141" s="363" t="e">
        <f t="shared" ca="1" si="83"/>
        <v>#N/A</v>
      </c>
      <c r="AD141" s="376" t="e">
        <f t="shared" ca="1" si="84"/>
        <v>#N/A</v>
      </c>
      <c r="AE141" s="377">
        <f t="shared" ca="1" si="63"/>
        <v>73.316971498274299</v>
      </c>
      <c r="AF141" s="344"/>
      <c r="AG141" s="359">
        <f t="shared" ca="1" si="85"/>
        <v>77.933538623741043</v>
      </c>
      <c r="AH141" s="357">
        <f t="shared" ca="1" si="86"/>
        <v>87.535345118874702</v>
      </c>
    </row>
    <row r="142" spans="1:34" x14ac:dyDescent="0.25">
      <c r="A142" s="402">
        <f t="shared" ca="1" si="64"/>
        <v>0.01</v>
      </c>
      <c r="B142" s="357">
        <f t="shared" ca="1" si="65"/>
        <v>1.380000000000001</v>
      </c>
      <c r="C142" s="342"/>
      <c r="D142" s="359">
        <f t="shared" ca="1" si="66"/>
        <v>17.929716276241642</v>
      </c>
      <c r="E142" s="360">
        <f t="shared" ca="1" si="67"/>
        <v>75.74838409943311</v>
      </c>
      <c r="F142" s="357">
        <f t="shared" ca="1" si="68"/>
        <v>77.841456945651871</v>
      </c>
      <c r="G142" s="359">
        <f t="shared" ca="1" si="69"/>
        <v>22.645291105955401</v>
      </c>
      <c r="H142" s="360">
        <f t="shared" ca="1" si="70"/>
        <v>107.96242280114156</v>
      </c>
      <c r="I142" s="357">
        <f t="shared" ca="1" si="71"/>
        <v>110.3118032957757</v>
      </c>
      <c r="J142" s="359">
        <f t="shared" ca="1" si="72"/>
        <v>14.746441486202279</v>
      </c>
      <c r="K142" s="360">
        <f t="shared" ca="1" si="73"/>
        <v>74.392808307080742</v>
      </c>
      <c r="L142" s="357">
        <f t="shared" ca="1" si="58"/>
        <v>75.840276003717506</v>
      </c>
      <c r="M142" s="359">
        <f t="shared" ca="1" si="74"/>
        <v>1.3640420510751978</v>
      </c>
      <c r="N142" s="357">
        <f t="shared" ca="1" si="75"/>
        <v>78.153852604977118</v>
      </c>
      <c r="O142" s="343"/>
      <c r="P142" s="363">
        <f t="shared" ca="1" si="76"/>
        <v>7</v>
      </c>
      <c r="Q142" s="357">
        <f t="shared" ca="1" si="77"/>
        <v>986.4324675324674</v>
      </c>
      <c r="R142" s="359">
        <f t="shared" ca="1" si="78"/>
        <v>0.49413584616654077</v>
      </c>
      <c r="S142" s="360">
        <f t="shared" ca="1" si="79"/>
        <v>10.90645924823875</v>
      </c>
      <c r="T142" s="357">
        <f t="shared" ca="1" si="59"/>
        <v>106.99236522522214</v>
      </c>
      <c r="U142" s="364">
        <f t="shared" ca="1" si="60"/>
        <v>0</v>
      </c>
      <c r="V142" s="359">
        <f t="shared" ca="1" si="61"/>
        <v>1.2159206528888422</v>
      </c>
      <c r="W142" s="357">
        <f t="shared" ca="1" si="62"/>
        <v>33.491054456353957</v>
      </c>
      <c r="X142" s="343"/>
      <c r="Y142" s="367" t="str">
        <f t="shared" ca="1" si="80"/>
        <v/>
      </c>
      <c r="Z142" s="368" t="str">
        <f t="shared" ca="1" si="81"/>
        <v/>
      </c>
      <c r="AA142" s="369" t="str">
        <f t="shared" ca="1" si="82"/>
        <v/>
      </c>
      <c r="AB142" s="344"/>
      <c r="AC142" s="363" t="e">
        <f t="shared" ca="1" si="83"/>
        <v>#N/A</v>
      </c>
      <c r="AD142" s="376" t="e">
        <f t="shared" ca="1" si="84"/>
        <v>#N/A</v>
      </c>
      <c r="AE142" s="377">
        <f t="shared" ca="1" si="63"/>
        <v>74.392808307080742</v>
      </c>
      <c r="AF142" s="344"/>
      <c r="AG142" s="359">
        <f t="shared" ca="1" si="85"/>
        <v>77.815447816964095</v>
      </c>
      <c r="AH142" s="357">
        <f t="shared" ca="1" si="86"/>
        <v>87.416885185029642</v>
      </c>
    </row>
    <row r="143" spans="1:34" x14ac:dyDescent="0.25">
      <c r="A143" s="402">
        <f t="shared" ca="1" si="64"/>
        <v>0.01</v>
      </c>
      <c r="B143" s="357">
        <f t="shared" ca="1" si="65"/>
        <v>1.390000000000001</v>
      </c>
      <c r="C143" s="342"/>
      <c r="D143" s="359">
        <f t="shared" ca="1" si="66"/>
        <v>17.920924345332168</v>
      </c>
      <c r="E143" s="360">
        <f t="shared" ca="1" si="67"/>
        <v>75.628796176446571</v>
      </c>
      <c r="F143" s="357">
        <f t="shared" ca="1" si="68"/>
        <v>77.723061831670137</v>
      </c>
      <c r="G143" s="359">
        <f t="shared" ca="1" si="69"/>
        <v>22.824500349408723</v>
      </c>
      <c r="H143" s="360">
        <f t="shared" ca="1" si="70"/>
        <v>108.71871076290603</v>
      </c>
      <c r="I143" s="357">
        <f t="shared" ca="1" si="71"/>
        <v>111.0887747981252</v>
      </c>
      <c r="J143" s="359">
        <f t="shared" ca="1" si="72"/>
        <v>14.9737904434791</v>
      </c>
      <c r="K143" s="360">
        <f t="shared" ca="1" si="73"/>
        <v>75.476213974900986</v>
      </c>
      <c r="L143" s="357">
        <f t="shared" ca="1" si="58"/>
        <v>76.947210971095402</v>
      </c>
      <c r="M143" s="359">
        <f t="shared" ca="1" si="74"/>
        <v>1.3638607690448725</v>
      </c>
      <c r="N143" s="357">
        <f t="shared" ca="1" si="75"/>
        <v>78.143465909737913</v>
      </c>
      <c r="O143" s="343"/>
      <c r="P143" s="363">
        <f t="shared" ca="1" si="76"/>
        <v>7</v>
      </c>
      <c r="Q143" s="357">
        <f t="shared" ca="1" si="77"/>
        <v>985.17272727272712</v>
      </c>
      <c r="R143" s="359">
        <f t="shared" ca="1" si="78"/>
        <v>0.49350480163010746</v>
      </c>
      <c r="S143" s="360">
        <f t="shared" ca="1" si="79"/>
        <v>10.901524200222449</v>
      </c>
      <c r="T143" s="357">
        <f t="shared" ca="1" si="59"/>
        <v>106.94395240418223</v>
      </c>
      <c r="U143" s="364">
        <f t="shared" ca="1" si="60"/>
        <v>0</v>
      </c>
      <c r="V143" s="359">
        <f t="shared" ca="1" si="61"/>
        <v>1.2157889246428049</v>
      </c>
      <c r="W143" s="357">
        <f t="shared" ca="1" si="62"/>
        <v>33.960818954514565</v>
      </c>
      <c r="X143" s="343"/>
      <c r="Y143" s="367" t="str">
        <f t="shared" ca="1" si="80"/>
        <v/>
      </c>
      <c r="Z143" s="368" t="str">
        <f t="shared" ca="1" si="81"/>
        <v/>
      </c>
      <c r="AA143" s="369" t="str">
        <f t="shared" ca="1" si="82"/>
        <v/>
      </c>
      <c r="AB143" s="344"/>
      <c r="AC143" s="363" t="e">
        <f t="shared" ca="1" si="83"/>
        <v>#N/A</v>
      </c>
      <c r="AD143" s="376" t="e">
        <f t="shared" ca="1" si="84"/>
        <v>#N/A</v>
      </c>
      <c r="AE143" s="377">
        <f t="shared" ca="1" si="63"/>
        <v>75.476213974900986</v>
      </c>
      <c r="AF143" s="344"/>
      <c r="AG143" s="359">
        <f t="shared" ca="1" si="85"/>
        <v>77.696967698459758</v>
      </c>
      <c r="AH143" s="357">
        <f t="shared" ca="1" si="86"/>
        <v>87.298037901613228</v>
      </c>
    </row>
    <row r="144" spans="1:34" x14ac:dyDescent="0.25">
      <c r="A144" s="402">
        <f t="shared" ca="1" si="64"/>
        <v>0.01</v>
      </c>
      <c r="B144" s="357">
        <f t="shared" ca="1" si="65"/>
        <v>1.400000000000001</v>
      </c>
      <c r="C144" s="342"/>
      <c r="D144" s="359">
        <f t="shared" ca="1" si="66"/>
        <v>17.911914706351343</v>
      </c>
      <c r="E144" s="360">
        <f t="shared" ca="1" si="67"/>
        <v>75.508856682884684</v>
      </c>
      <c r="F144" s="357">
        <f t="shared" ca="1" si="68"/>
        <v>77.604279044418831</v>
      </c>
      <c r="G144" s="359">
        <f t="shared" ca="1" si="69"/>
        <v>23.003619496472236</v>
      </c>
      <c r="H144" s="360">
        <f t="shared" ca="1" si="70"/>
        <v>109.47379932973487</v>
      </c>
      <c r="I144" s="357">
        <f t="shared" ca="1" si="71"/>
        <v>111.86455761153994</v>
      </c>
      <c r="J144" s="359">
        <f t="shared" ca="1" si="72"/>
        <v>15.202931042708505</v>
      </c>
      <c r="K144" s="360">
        <f t="shared" ca="1" si="73"/>
        <v>76.567176525364189</v>
      </c>
      <c r="L144" s="357">
        <f t="shared" ca="1" si="58"/>
        <v>78.061908978423219</v>
      </c>
      <c r="M144" s="359">
        <f t="shared" ca="1" si="74"/>
        <v>1.3636805886217354</v>
      </c>
      <c r="N144" s="357">
        <f t="shared" ca="1" si="75"/>
        <v>78.133142331941272</v>
      </c>
      <c r="O144" s="343"/>
      <c r="P144" s="363">
        <f t="shared" ca="1" si="76"/>
        <v>7</v>
      </c>
      <c r="Q144" s="357">
        <f t="shared" ca="1" si="77"/>
        <v>983.91298701298683</v>
      </c>
      <c r="R144" s="359">
        <f t="shared" ca="1" si="78"/>
        <v>0.49287375709367409</v>
      </c>
      <c r="S144" s="360">
        <f t="shared" ca="1" si="79"/>
        <v>10.896595462651511</v>
      </c>
      <c r="T144" s="357">
        <f t="shared" ca="1" si="59"/>
        <v>106.89560148861133</v>
      </c>
      <c r="U144" s="364">
        <f t="shared" ca="1" si="60"/>
        <v>0</v>
      </c>
      <c r="V144" s="359">
        <f t="shared" ca="1" si="61"/>
        <v>1.2156562919428535</v>
      </c>
      <c r="W144" s="357">
        <f t="shared" ca="1" si="62"/>
        <v>34.433045705945595</v>
      </c>
      <c r="X144" s="343"/>
      <c r="Y144" s="367" t="str">
        <f t="shared" ca="1" si="80"/>
        <v/>
      </c>
      <c r="Z144" s="368" t="str">
        <f t="shared" ca="1" si="81"/>
        <v/>
      </c>
      <c r="AA144" s="369" t="str">
        <f t="shared" ca="1" si="82"/>
        <v/>
      </c>
      <c r="AB144" s="344"/>
      <c r="AC144" s="363" t="e">
        <f t="shared" ca="1" si="83"/>
        <v>#N/A</v>
      </c>
      <c r="AD144" s="376" t="e">
        <f t="shared" ca="1" si="84"/>
        <v>#N/A</v>
      </c>
      <c r="AE144" s="377">
        <f t="shared" ca="1" si="63"/>
        <v>76.567176525364189</v>
      </c>
      <c r="AF144" s="344"/>
      <c r="AG144" s="359">
        <f t="shared" ca="1" si="85"/>
        <v>77.578099757414932</v>
      </c>
      <c r="AH144" s="357">
        <f t="shared" ca="1" si="86"/>
        <v>87.178804729832251</v>
      </c>
    </row>
    <row r="145" spans="1:34" x14ac:dyDescent="0.25">
      <c r="A145" s="402">
        <f t="shared" ca="1" si="64"/>
        <v>0.01</v>
      </c>
      <c r="B145" s="357">
        <f t="shared" ca="1" si="65"/>
        <v>1.410000000000001</v>
      </c>
      <c r="C145" s="342"/>
      <c r="D145" s="359">
        <f t="shared" ca="1" si="66"/>
        <v>17.902689264212285</v>
      </c>
      <c r="E145" s="360">
        <f t="shared" ca="1" si="67"/>
        <v>75.388566785263336</v>
      </c>
      <c r="F145" s="357">
        <f t="shared" ca="1" si="68"/>
        <v>77.485110084628857</v>
      </c>
      <c r="G145" s="359">
        <f t="shared" ca="1" si="69"/>
        <v>23.18264638911436</v>
      </c>
      <c r="H145" s="360">
        <f t="shared" ca="1" si="70"/>
        <v>110.2276849975875</v>
      </c>
      <c r="I145" s="357">
        <f t="shared" ca="1" si="71"/>
        <v>112.63914787288695</v>
      </c>
      <c r="J145" s="359">
        <f t="shared" ca="1" si="72"/>
        <v>15.433862372136439</v>
      </c>
      <c r="K145" s="360">
        <f t="shared" ca="1" si="73"/>
        <v>77.665683947000801</v>
      </c>
      <c r="L145" s="357">
        <f t="shared" ca="1" si="58"/>
        <v>79.184358118743802</v>
      </c>
      <c r="M145" s="359">
        <f t="shared" ca="1" si="74"/>
        <v>1.363501493680342</v>
      </c>
      <c r="N145" s="357">
        <f t="shared" ca="1" si="75"/>
        <v>78.122880947667284</v>
      </c>
      <c r="O145" s="343"/>
      <c r="P145" s="363">
        <f t="shared" ca="1" si="76"/>
        <v>7</v>
      </c>
      <c r="Q145" s="357">
        <f t="shared" ca="1" si="77"/>
        <v>982.65324675324655</v>
      </c>
      <c r="R145" s="359">
        <f t="shared" ca="1" si="78"/>
        <v>0.49224271255724078</v>
      </c>
      <c r="S145" s="360">
        <f t="shared" ca="1" si="79"/>
        <v>10.891673035525939</v>
      </c>
      <c r="T145" s="357">
        <f t="shared" ca="1" si="59"/>
        <v>106.84731247850947</v>
      </c>
      <c r="U145" s="364">
        <f t="shared" ca="1" si="60"/>
        <v>0</v>
      </c>
      <c r="V145" s="359">
        <f t="shared" ca="1" si="61"/>
        <v>1.2155227565462308</v>
      </c>
      <c r="W145" s="357">
        <f t="shared" ca="1" si="62"/>
        <v>34.90771523344084</v>
      </c>
      <c r="X145" s="343"/>
      <c r="Y145" s="367" t="str">
        <f t="shared" ca="1" si="80"/>
        <v/>
      </c>
      <c r="Z145" s="368" t="str">
        <f t="shared" ca="1" si="81"/>
        <v/>
      </c>
      <c r="AA145" s="369" t="str">
        <f t="shared" ca="1" si="82"/>
        <v/>
      </c>
      <c r="AB145" s="344"/>
      <c r="AC145" s="363" t="e">
        <f t="shared" ca="1" si="83"/>
        <v>#N/A</v>
      </c>
      <c r="AD145" s="376" t="e">
        <f t="shared" ca="1" si="84"/>
        <v>#N/A</v>
      </c>
      <c r="AE145" s="377">
        <f t="shared" ca="1" si="63"/>
        <v>77.665683947000801</v>
      </c>
      <c r="AF145" s="344"/>
      <c r="AG145" s="359">
        <f t="shared" ca="1" si="85"/>
        <v>77.458845489680655</v>
      </c>
      <c r="AH145" s="357">
        <f t="shared" ca="1" si="86"/>
        <v>87.059187138141368</v>
      </c>
    </row>
    <row r="146" spans="1:34" x14ac:dyDescent="0.25">
      <c r="A146" s="402">
        <f t="shared" ca="1" si="64"/>
        <v>0.01</v>
      </c>
      <c r="B146" s="357">
        <f t="shared" ca="1" si="65"/>
        <v>1.420000000000001</v>
      </c>
      <c r="C146" s="342"/>
      <c r="D146" s="359">
        <f t="shared" ca="1" si="66"/>
        <v>17.893249890614886</v>
      </c>
      <c r="E146" s="360">
        <f t="shared" ca="1" si="67"/>
        <v>75.267927662820298</v>
      </c>
      <c r="F146" s="357">
        <f t="shared" ca="1" si="68"/>
        <v>77.365556459599887</v>
      </c>
      <c r="G146" s="359">
        <f t="shared" ca="1" si="69"/>
        <v>23.36157888802051</v>
      </c>
      <c r="H146" s="360">
        <f t="shared" ca="1" si="70"/>
        <v>110.9803642742157</v>
      </c>
      <c r="I146" s="357">
        <f t="shared" ca="1" si="71"/>
        <v>113.41254173405522</v>
      </c>
      <c r="J146" s="359">
        <f t="shared" ca="1" si="72"/>
        <v>15.666583498522114</v>
      </c>
      <c r="K146" s="360">
        <f t="shared" ca="1" si="73"/>
        <v>78.771724193359816</v>
      </c>
      <c r="L146" s="357">
        <f t="shared" ca="1" si="58"/>
        <v>80.314546446524332</v>
      </c>
      <c r="M146" s="359">
        <f t="shared" ca="1" si="74"/>
        <v>1.3633234684401032</v>
      </c>
      <c r="N146" s="357">
        <f t="shared" ca="1" si="75"/>
        <v>78.112680852754806</v>
      </c>
      <c r="O146" s="343"/>
      <c r="P146" s="363">
        <f t="shared" ca="1" si="76"/>
        <v>7</v>
      </c>
      <c r="Q146" s="357">
        <f t="shared" ca="1" si="77"/>
        <v>981.39350649350638</v>
      </c>
      <c r="R146" s="359">
        <f t="shared" ca="1" si="78"/>
        <v>0.49161166802080747</v>
      </c>
      <c r="S146" s="360">
        <f t="shared" ca="1" si="79"/>
        <v>10.88675691884573</v>
      </c>
      <c r="T146" s="357">
        <f t="shared" ca="1" si="59"/>
        <v>106.79908537387662</v>
      </c>
      <c r="U146" s="364">
        <f t="shared" ca="1" si="60"/>
        <v>0</v>
      </c>
      <c r="V146" s="359">
        <f t="shared" ca="1" si="61"/>
        <v>1.2153883202157634</v>
      </c>
      <c r="W146" s="357">
        <f t="shared" ca="1" si="62"/>
        <v>35.384808025910296</v>
      </c>
      <c r="X146" s="343"/>
      <c r="Y146" s="367" t="str">
        <f t="shared" ca="1" si="80"/>
        <v/>
      </c>
      <c r="Z146" s="368" t="str">
        <f t="shared" ca="1" si="81"/>
        <v/>
      </c>
      <c r="AA146" s="369" t="str">
        <f t="shared" ca="1" si="82"/>
        <v/>
      </c>
      <c r="AB146" s="344"/>
      <c r="AC146" s="363" t="e">
        <f t="shared" ca="1" si="83"/>
        <v>#N/A</v>
      </c>
      <c r="AD146" s="376" t="e">
        <f t="shared" ca="1" si="84"/>
        <v>#N/A</v>
      </c>
      <c r="AE146" s="377">
        <f t="shared" ca="1" si="63"/>
        <v>78.771724193359816</v>
      </c>
      <c r="AF146" s="344"/>
      <c r="AG146" s="359">
        <f t="shared" ca="1" si="85"/>
        <v>77.339206397722094</v>
      </c>
      <c r="AH146" s="357">
        <f t="shared" ca="1" si="86"/>
        <v>86.939186602176548</v>
      </c>
    </row>
    <row r="147" spans="1:34" x14ac:dyDescent="0.25">
      <c r="A147" s="402">
        <f t="shared" ca="1" si="64"/>
        <v>0.01</v>
      </c>
      <c r="B147" s="357">
        <f t="shared" ca="1" si="65"/>
        <v>1.430000000000001</v>
      </c>
      <c r="C147" s="342"/>
      <c r="D147" s="359">
        <f t="shared" ca="1" si="66"/>
        <v>17.883598425049964</v>
      </c>
      <c r="E147" s="360">
        <f t="shared" ca="1" si="67"/>
        <v>75.146940507286345</v>
      </c>
      <c r="F147" s="357">
        <f t="shared" ca="1" si="68"/>
        <v>77.245619683151503</v>
      </c>
      <c r="G147" s="359">
        <f t="shared" ca="1" si="69"/>
        <v>23.540414872271011</v>
      </c>
      <c r="H147" s="360">
        <f t="shared" ca="1" si="70"/>
        <v>111.73183367928857</v>
      </c>
      <c r="I147" s="357">
        <f t="shared" ca="1" si="71"/>
        <v>114.18473536202131</v>
      </c>
      <c r="J147" s="359">
        <f t="shared" ca="1" si="72"/>
        <v>15.901093467323571</v>
      </c>
      <c r="K147" s="360">
        <f t="shared" ca="1" si="73"/>
        <v>79.885285183127337</v>
      </c>
      <c r="L147" s="357">
        <f t="shared" ca="1" si="58"/>
        <v>81.452461977807303</v>
      </c>
      <c r="M147" s="359">
        <f t="shared" ca="1" si="74"/>
        <v>1.3631464974554015</v>
      </c>
      <c r="N147" s="357">
        <f t="shared" ca="1" si="75"/>
        <v>78.102541162235113</v>
      </c>
      <c r="O147" s="343"/>
      <c r="P147" s="363">
        <f t="shared" ca="1" si="76"/>
        <v>7</v>
      </c>
      <c r="Q147" s="357">
        <f t="shared" ca="1" si="77"/>
        <v>980.1337662337661</v>
      </c>
      <c r="R147" s="359">
        <f t="shared" ca="1" si="78"/>
        <v>0.4909806234843741</v>
      </c>
      <c r="S147" s="360">
        <f t="shared" ca="1" si="79"/>
        <v>10.881847112610886</v>
      </c>
      <c r="T147" s="357">
        <f t="shared" ca="1" si="59"/>
        <v>106.7509201747128</v>
      </c>
      <c r="U147" s="364">
        <f t="shared" ca="1" si="60"/>
        <v>0</v>
      </c>
      <c r="V147" s="359">
        <f t="shared" ca="1" si="61"/>
        <v>1.2152529847198339</v>
      </c>
      <c r="W147" s="357">
        <f t="shared" ca="1" si="62"/>
        <v>35.864304539190726</v>
      </c>
      <c r="X147" s="343"/>
      <c r="Y147" s="367" t="str">
        <f t="shared" ca="1" si="80"/>
        <v/>
      </c>
      <c r="Z147" s="368" t="str">
        <f t="shared" ca="1" si="81"/>
        <v/>
      </c>
      <c r="AA147" s="369" t="str">
        <f t="shared" ca="1" si="82"/>
        <v/>
      </c>
      <c r="AB147" s="344"/>
      <c r="AC147" s="363" t="e">
        <f t="shared" ca="1" si="83"/>
        <v>#N/A</v>
      </c>
      <c r="AD147" s="376" t="e">
        <f t="shared" ca="1" si="84"/>
        <v>#N/A</v>
      </c>
      <c r="AE147" s="377">
        <f t="shared" ca="1" si="63"/>
        <v>79.885285183127337</v>
      </c>
      <c r="AF147" s="344"/>
      <c r="AG147" s="359">
        <f t="shared" ca="1" si="85"/>
        <v>77.219183990567615</v>
      </c>
      <c r="AH147" s="357">
        <f t="shared" ca="1" si="86"/>
        <v>86.818804604688268</v>
      </c>
    </row>
    <row r="148" spans="1:34" x14ac:dyDescent="0.25">
      <c r="A148" s="402">
        <f t="shared" ca="1" si="64"/>
        <v>0.01</v>
      </c>
      <c r="B148" s="357">
        <f t="shared" ca="1" si="65"/>
        <v>1.4400000000000011</v>
      </c>
      <c r="C148" s="342"/>
      <c r="D148" s="359">
        <f t="shared" ca="1" si="66"/>
        <v>17.873736675767017</v>
      </c>
      <c r="E148" s="360">
        <f t="shared" ca="1" si="67"/>
        <v>75.025606522661832</v>
      </c>
      <c r="F148" s="357">
        <f t="shared" ca="1" si="68"/>
        <v>77.125301275573221</v>
      </c>
      <c r="G148" s="359">
        <f t="shared" ca="1" si="69"/>
        <v>23.719152239028681</v>
      </c>
      <c r="H148" s="360">
        <f t="shared" ca="1" si="70"/>
        <v>112.48208974451519</v>
      </c>
      <c r="I148" s="357">
        <f t="shared" ca="1" si="71"/>
        <v>114.95572493891459</v>
      </c>
      <c r="J148" s="359">
        <f t="shared" ca="1" si="72"/>
        <v>16.137391302880069</v>
      </c>
      <c r="K148" s="360">
        <f t="shared" ca="1" si="73"/>
        <v>81.006354800246356</v>
      </c>
      <c r="L148" s="357">
        <f t="shared" ca="1" si="58"/>
        <v>82.598092690362208</v>
      </c>
      <c r="M148" s="359">
        <f t="shared" ca="1" si="74"/>
        <v>1.3629705656060644</v>
      </c>
      <c r="N148" s="357">
        <f t="shared" ca="1" si="75"/>
        <v>78.092461009786177</v>
      </c>
      <c r="O148" s="343"/>
      <c r="P148" s="363">
        <f t="shared" ca="1" si="76"/>
        <v>7</v>
      </c>
      <c r="Q148" s="357">
        <f t="shared" ca="1" si="77"/>
        <v>978.87402597402581</v>
      </c>
      <c r="R148" s="359">
        <f t="shared" ca="1" si="78"/>
        <v>0.49034957894794079</v>
      </c>
      <c r="S148" s="360">
        <f t="shared" ca="1" si="79"/>
        <v>10.876943616821407</v>
      </c>
      <c r="T148" s="357">
        <f t="shared" ca="1" si="59"/>
        <v>106.70281688101801</v>
      </c>
      <c r="U148" s="364">
        <f t="shared" ca="1" si="60"/>
        <v>0</v>
      </c>
      <c r="V148" s="359">
        <f t="shared" ca="1" si="61"/>
        <v>1.2151167518323522</v>
      </c>
      <c r="W148" s="357">
        <f t="shared" ca="1" si="62"/>
        <v>36.346185196856624</v>
      </c>
      <c r="X148" s="343"/>
      <c r="Y148" s="367" t="str">
        <f t="shared" ca="1" si="80"/>
        <v/>
      </c>
      <c r="Z148" s="368" t="str">
        <f t="shared" ca="1" si="81"/>
        <v/>
      </c>
      <c r="AA148" s="369" t="str">
        <f t="shared" ca="1" si="82"/>
        <v/>
      </c>
      <c r="AB148" s="344"/>
      <c r="AC148" s="363" t="e">
        <f t="shared" ca="1" si="83"/>
        <v>#N/A</v>
      </c>
      <c r="AD148" s="376" t="e">
        <f t="shared" ca="1" si="84"/>
        <v>#N/A</v>
      </c>
      <c r="AE148" s="377">
        <f t="shared" ca="1" si="63"/>
        <v>81.006354800246356</v>
      </c>
      <c r="AF148" s="344"/>
      <c r="AG148" s="359">
        <f t="shared" ca="1" si="85"/>
        <v>77.098779783757266</v>
      </c>
      <c r="AH148" s="357">
        <f t="shared" ca="1" si="86"/>
        <v>86.69804263547455</v>
      </c>
    </row>
    <row r="149" spans="1:34" x14ac:dyDescent="0.25">
      <c r="A149" s="402">
        <f t="shared" ca="1" si="64"/>
        <v>0.01</v>
      </c>
      <c r="B149" s="357">
        <f t="shared" ca="1" si="65"/>
        <v>1.4500000000000011</v>
      </c>
      <c r="C149" s="342"/>
      <c r="D149" s="359">
        <f t="shared" ca="1" si="66"/>
        <v>17.863666420706508</v>
      </c>
      <c r="E149" s="360">
        <f t="shared" ca="1" si="67"/>
        <v>74.903926924998544</v>
      </c>
      <c r="F149" s="357">
        <f t="shared" ca="1" si="68"/>
        <v>77.004602763573814</v>
      </c>
      <c r="G149" s="359">
        <f t="shared" ca="1" si="69"/>
        <v>23.897788903235746</v>
      </c>
      <c r="H149" s="360">
        <f t="shared" ca="1" si="70"/>
        <v>113.23112901376518</v>
      </c>
      <c r="I149" s="357">
        <f t="shared" ca="1" si="71"/>
        <v>115.72550666208186</v>
      </c>
      <c r="J149" s="359">
        <f t="shared" ca="1" si="72"/>
        <v>16.375476008591392</v>
      </c>
      <c r="K149" s="360">
        <f t="shared" ca="1" si="73"/>
        <v>82.134920894037762</v>
      </c>
      <c r="L149" s="357">
        <f t="shared" ca="1" si="58"/>
        <v>83.75142652383775</v>
      </c>
      <c r="M149" s="359">
        <f t="shared" ca="1" si="74"/>
        <v>1.3627956580881746</v>
      </c>
      <c r="N149" s="357">
        <f t="shared" ca="1" si="75"/>
        <v>78.082439547205979</v>
      </c>
      <c r="O149" s="343"/>
      <c r="P149" s="363">
        <f t="shared" ca="1" si="76"/>
        <v>7</v>
      </c>
      <c r="Q149" s="357">
        <f t="shared" ca="1" si="77"/>
        <v>977.61428571428553</v>
      </c>
      <c r="R149" s="359">
        <f t="shared" ca="1" si="78"/>
        <v>0.48971853441150742</v>
      </c>
      <c r="S149" s="360">
        <f t="shared" ca="1" si="79"/>
        <v>10.872046431477292</v>
      </c>
      <c r="T149" s="357">
        <f t="shared" ca="1" si="59"/>
        <v>106.65477549279224</v>
      </c>
      <c r="U149" s="364">
        <f t="shared" ca="1" si="60"/>
        <v>0</v>
      </c>
      <c r="V149" s="359">
        <f t="shared" ca="1" si="61"/>
        <v>1.2149796233327252</v>
      </c>
      <c r="W149" s="357">
        <f t="shared" ca="1" si="62"/>
        <v>36.830430391031115</v>
      </c>
      <c r="X149" s="343"/>
      <c r="Y149" s="367" t="str">
        <f t="shared" ca="1" si="80"/>
        <v/>
      </c>
      <c r="Z149" s="368" t="str">
        <f t="shared" ca="1" si="81"/>
        <v/>
      </c>
      <c r="AA149" s="369" t="str">
        <f t="shared" ca="1" si="82"/>
        <v/>
      </c>
      <c r="AB149" s="344"/>
      <c r="AC149" s="363" t="e">
        <f t="shared" ca="1" si="83"/>
        <v>#N/A</v>
      </c>
      <c r="AD149" s="376" t="e">
        <f t="shared" ca="1" si="84"/>
        <v>#N/A</v>
      </c>
      <c r="AE149" s="377">
        <f t="shared" ca="1" si="63"/>
        <v>82.134920894037762</v>
      </c>
      <c r="AF149" s="344"/>
      <c r="AG149" s="359">
        <f t="shared" ca="1" si="85"/>
        <v>76.977995299290129</v>
      </c>
      <c r="AH149" s="357">
        <f t="shared" ca="1" si="86"/>
        <v>86.576902191313536</v>
      </c>
    </row>
    <row r="150" spans="1:34" x14ac:dyDescent="0.25">
      <c r="A150" s="402">
        <f t="shared" ca="1" si="64"/>
        <v>0.01</v>
      </c>
      <c r="B150" s="357">
        <f t="shared" ca="1" si="65"/>
        <v>1.4600000000000011</v>
      </c>
      <c r="C150" s="342"/>
      <c r="D150" s="359">
        <f t="shared" ca="1" si="66"/>
        <v>17.85338940839868</v>
      </c>
      <c r="E150" s="360">
        <f t="shared" ca="1" si="67"/>
        <v>74.781902942186548</v>
      </c>
      <c r="F150" s="357">
        <f t="shared" ca="1" si="68"/>
        <v>76.883525680229639</v>
      </c>
      <c r="G150" s="359">
        <f t="shared" ca="1" si="69"/>
        <v>24.076322797319733</v>
      </c>
      <c r="H150" s="360">
        <f t="shared" ca="1" si="70"/>
        <v>113.97894804318705</v>
      </c>
      <c r="I150" s="357">
        <f t="shared" ca="1" si="71"/>
        <v>116.49407674415154</v>
      </c>
      <c r="J150" s="359">
        <f t="shared" ca="1" si="72"/>
        <v>16.615346567094168</v>
      </c>
      <c r="K150" s="360">
        <f t="shared" ca="1" si="73"/>
        <v>83.270971279322524</v>
      </c>
      <c r="L150" s="357">
        <f t="shared" ca="1" si="58"/>
        <v>84.912451379914856</v>
      </c>
      <c r="M150" s="359">
        <f t="shared" ca="1" si="74"/>
        <v>1.362621760405202</v>
      </c>
      <c r="N150" s="357">
        <f t="shared" ca="1" si="75"/>
        <v>78.072475943904536</v>
      </c>
      <c r="O150" s="343"/>
      <c r="P150" s="363">
        <f t="shared" ca="1" si="76"/>
        <v>7</v>
      </c>
      <c r="Q150" s="357">
        <f t="shared" ca="1" si="77"/>
        <v>976.35454545454525</v>
      </c>
      <c r="R150" s="359">
        <f t="shared" ca="1" si="78"/>
        <v>0.48908748987507411</v>
      </c>
      <c r="S150" s="360">
        <f t="shared" ca="1" si="79"/>
        <v>10.867155556578542</v>
      </c>
      <c r="T150" s="357">
        <f t="shared" ca="1" si="59"/>
        <v>106.6067960100355</v>
      </c>
      <c r="U150" s="364">
        <f t="shared" ca="1" si="60"/>
        <v>0</v>
      </c>
      <c r="V150" s="359">
        <f t="shared" ca="1" si="61"/>
        <v>1.2148416010058274</v>
      </c>
      <c r="W150" s="357">
        <f t="shared" ca="1" si="62"/>
        <v>37.317020483197183</v>
      </c>
      <c r="X150" s="343"/>
      <c r="Y150" s="367" t="str">
        <f t="shared" ca="1" si="80"/>
        <v/>
      </c>
      <c r="Z150" s="368" t="str">
        <f t="shared" ca="1" si="81"/>
        <v/>
      </c>
      <c r="AA150" s="369" t="str">
        <f t="shared" ca="1" si="82"/>
        <v/>
      </c>
      <c r="AB150" s="344"/>
      <c r="AC150" s="363" t="e">
        <f t="shared" ca="1" si="83"/>
        <v>#N/A</v>
      </c>
      <c r="AD150" s="376" t="e">
        <f t="shared" ca="1" si="84"/>
        <v>#N/A</v>
      </c>
      <c r="AE150" s="377">
        <f t="shared" ca="1" si="63"/>
        <v>83.270971279322524</v>
      </c>
      <c r="AF150" s="344"/>
      <c r="AG150" s="359">
        <f t="shared" ca="1" si="85"/>
        <v>76.856832065571211</v>
      </c>
      <c r="AH150" s="357">
        <f t="shared" ca="1" si="86"/>
        <v>86.455384775896007</v>
      </c>
    </row>
    <row r="151" spans="1:34" x14ac:dyDescent="0.25">
      <c r="A151" s="402">
        <f t="shared" ca="1" si="64"/>
        <v>0.01</v>
      </c>
      <c r="B151" s="357">
        <f t="shared" ca="1" si="65"/>
        <v>1.4700000000000011</v>
      </c>
      <c r="C151" s="342"/>
      <c r="D151" s="359">
        <f t="shared" ca="1" si="66"/>
        <v>17.842907358830193</v>
      </c>
      <c r="E151" s="360">
        <f t="shared" ca="1" si="67"/>
        <v>74.659535813745862</v>
      </c>
      <c r="F151" s="357">
        <f t="shared" ca="1" si="68"/>
        <v>76.76207156493237</v>
      </c>
      <c r="G151" s="359">
        <f t="shared" ca="1" si="69"/>
        <v>24.254751870908034</v>
      </c>
      <c r="H151" s="360">
        <f t="shared" ca="1" si="70"/>
        <v>114.7255434013245</v>
      </c>
      <c r="I151" s="357">
        <f t="shared" ca="1" si="71"/>
        <v>117.26143141309724</v>
      </c>
      <c r="J151" s="359">
        <f t="shared" ca="1" si="72"/>
        <v>16.857001940435307</v>
      </c>
      <c r="K151" s="360">
        <f t="shared" ca="1" si="73"/>
        <v>84.414493736545083</v>
      </c>
      <c r="L151" s="357">
        <f t="shared" ca="1" si="58"/>
        <v>86.08115512246016</v>
      </c>
      <c r="M151" s="359">
        <f t="shared" ca="1" si="74"/>
        <v>1.3624488583594503</v>
      </c>
      <c r="N151" s="357">
        <f t="shared" ca="1" si="75"/>
        <v>78.062569386413784</v>
      </c>
      <c r="O151" s="343"/>
      <c r="P151" s="363">
        <f t="shared" ca="1" si="76"/>
        <v>7</v>
      </c>
      <c r="Q151" s="357">
        <f t="shared" ca="1" si="77"/>
        <v>975.09480519480508</v>
      </c>
      <c r="R151" s="359">
        <f t="shared" ca="1" si="78"/>
        <v>0.4884564453386408</v>
      </c>
      <c r="S151" s="360">
        <f t="shared" ca="1" si="79"/>
        <v>10.862270992125156</v>
      </c>
      <c r="T151" s="357">
        <f t="shared" ca="1" si="59"/>
        <v>106.55887843274779</v>
      </c>
      <c r="U151" s="364">
        <f t="shared" ca="1" si="60"/>
        <v>0</v>
      </c>
      <c r="V151" s="359">
        <f t="shared" ca="1" si="61"/>
        <v>1.2147026866419715</v>
      </c>
      <c r="W151" s="357">
        <f t="shared" ca="1" si="62"/>
        <v>37.805935805008737</v>
      </c>
      <c r="X151" s="343"/>
      <c r="Y151" s="367" t="str">
        <f t="shared" ca="1" si="80"/>
        <v/>
      </c>
      <c r="Z151" s="368" t="str">
        <f t="shared" ca="1" si="81"/>
        <v/>
      </c>
      <c r="AA151" s="369" t="str">
        <f t="shared" ca="1" si="82"/>
        <v/>
      </c>
      <c r="AB151" s="344"/>
      <c r="AC151" s="363" t="e">
        <f t="shared" ca="1" si="83"/>
        <v>#N/A</v>
      </c>
      <c r="AD151" s="376" t="e">
        <f t="shared" ca="1" si="84"/>
        <v>#N/A</v>
      </c>
      <c r="AE151" s="377">
        <f t="shared" ca="1" si="63"/>
        <v>84.414493736545083</v>
      </c>
      <c r="AF151" s="344"/>
      <c r="AG151" s="359">
        <f t="shared" ca="1" si="85"/>
        <v>76.735291617357305</v>
      </c>
      <c r="AH151" s="357">
        <f t="shared" ca="1" si="86"/>
        <v>86.33349189975749</v>
      </c>
    </row>
    <row r="152" spans="1:34" x14ac:dyDescent="0.25">
      <c r="A152" s="402">
        <f t="shared" ca="1" si="64"/>
        <v>0.01</v>
      </c>
      <c r="B152" s="357">
        <f t="shared" ca="1" si="65"/>
        <v>1.4800000000000011</v>
      </c>
      <c r="C152" s="342"/>
      <c r="D152" s="359">
        <f t="shared" ca="1" si="66"/>
        <v>17.832221964279633</v>
      </c>
      <c r="E152" s="360">
        <f t="shared" ca="1" si="67"/>
        <v>74.536826790622811</v>
      </c>
      <c r="F152" s="357">
        <f t="shared" ca="1" si="68"/>
        <v>76.640241963335711</v>
      </c>
      <c r="G152" s="359">
        <f t="shared" ca="1" si="69"/>
        <v>24.433074090550832</v>
      </c>
      <c r="H152" s="360">
        <f t="shared" ca="1" si="70"/>
        <v>115.47091166923073</v>
      </c>
      <c r="I152" s="357">
        <f t="shared" ca="1" si="71"/>
        <v>118.02756691230076</v>
      </c>
      <c r="J152" s="359">
        <f t="shared" ca="1" si="72"/>
        <v>17.100441070242603</v>
      </c>
      <c r="K152" s="360">
        <f t="shared" ca="1" si="73"/>
        <v>85.565476011897857</v>
      </c>
      <c r="L152" s="357">
        <f t="shared" ca="1" si="58"/>
        <v>87.257525577680155</v>
      </c>
      <c r="M152" s="359">
        <f t="shared" ca="1" si="74"/>
        <v>1.3622769380437953</v>
      </c>
      <c r="N152" s="357">
        <f t="shared" ca="1" si="75"/>
        <v>78.052719077914205</v>
      </c>
      <c r="O152" s="343"/>
      <c r="P152" s="363">
        <f t="shared" ca="1" si="76"/>
        <v>7</v>
      </c>
      <c r="Q152" s="357">
        <f t="shared" ca="1" si="77"/>
        <v>973.83506493506479</v>
      </c>
      <c r="R152" s="359">
        <f t="shared" ca="1" si="78"/>
        <v>0.48782540080220749</v>
      </c>
      <c r="S152" s="360">
        <f t="shared" ca="1" si="79"/>
        <v>10.857392738117134</v>
      </c>
      <c r="T152" s="357">
        <f t="shared" ca="1" si="59"/>
        <v>106.51102276092909</v>
      </c>
      <c r="U152" s="364">
        <f t="shared" ca="1" si="60"/>
        <v>0</v>
      </c>
      <c r="V152" s="359">
        <f t="shared" ca="1" si="61"/>
        <v>1.2145628820368777</v>
      </c>
      <c r="W152" s="357">
        <f t="shared" ca="1" si="62"/>
        <v>38.297156659101837</v>
      </c>
      <c r="X152" s="343"/>
      <c r="Y152" s="367" t="str">
        <f t="shared" ca="1" si="80"/>
        <v/>
      </c>
      <c r="Z152" s="368" t="str">
        <f t="shared" ca="1" si="81"/>
        <v/>
      </c>
      <c r="AA152" s="369" t="str">
        <f t="shared" ca="1" si="82"/>
        <v/>
      </c>
      <c r="AB152" s="344"/>
      <c r="AC152" s="363" t="e">
        <f t="shared" ca="1" si="83"/>
        <v>#N/A</v>
      </c>
      <c r="AD152" s="376" t="e">
        <f t="shared" ca="1" si="84"/>
        <v>#N/A</v>
      </c>
      <c r="AE152" s="377">
        <f t="shared" ca="1" si="63"/>
        <v>85.565476011897857</v>
      </c>
      <c r="AF152" s="344"/>
      <c r="AG152" s="359">
        <f t="shared" ca="1" si="85"/>
        <v>76.613375495702329</v>
      </c>
      <c r="AH152" s="357">
        <f t="shared" ca="1" si="86"/>
        <v>86.211225080210198</v>
      </c>
    </row>
    <row r="153" spans="1:34" x14ac:dyDescent="0.25">
      <c r="A153" s="402">
        <f t="shared" ca="1" si="64"/>
        <v>0.01</v>
      </c>
      <c r="B153" s="357">
        <f t="shared" ca="1" si="65"/>
        <v>1.4900000000000011</v>
      </c>
      <c r="C153" s="342"/>
      <c r="D153" s="359">
        <f t="shared" ca="1" si="66"/>
        <v>17.82133489012385</v>
      </c>
      <c r="E153" s="360">
        <f t="shared" ca="1" si="67"/>
        <v>74.413777134990738</v>
      </c>
      <c r="F153" s="357">
        <f t="shared" ca="1" si="68"/>
        <v>76.518038427301676</v>
      </c>
      <c r="G153" s="359">
        <f t="shared" ca="1" si="69"/>
        <v>24.61128743945207</v>
      </c>
      <c r="H153" s="360">
        <f t="shared" ca="1" si="70"/>
        <v>116.21504944058064</v>
      </c>
      <c r="I153" s="357">
        <f t="shared" ca="1" si="71"/>
        <v>118.79247950061458</v>
      </c>
      <c r="J153" s="359">
        <f t="shared" ca="1" si="72"/>
        <v>17.345662877892618</v>
      </c>
      <c r="K153" s="360">
        <f t="shared" ca="1" si="73"/>
        <v>86.723905817446919</v>
      </c>
      <c r="L153" s="357">
        <f t="shared" ca="1" si="58"/>
        <v>88.441550534276061</v>
      </c>
      <c r="M153" s="359">
        <f t="shared" ca="1" si="74"/>
        <v>1.3621059858337126</v>
      </c>
      <c r="N153" s="357">
        <f t="shared" ca="1" si="75"/>
        <v>78.042924237778024</v>
      </c>
      <c r="O153" s="343"/>
      <c r="P153" s="363">
        <f t="shared" ca="1" si="76"/>
        <v>7</v>
      </c>
      <c r="Q153" s="357">
        <f t="shared" ca="1" si="77"/>
        <v>972.57532467532451</v>
      </c>
      <c r="R153" s="359">
        <f t="shared" ca="1" si="78"/>
        <v>0.48719435626577412</v>
      </c>
      <c r="S153" s="360">
        <f t="shared" ca="1" si="79"/>
        <v>10.852520794554477</v>
      </c>
      <c r="T153" s="357">
        <f t="shared" ca="1" si="59"/>
        <v>106.46322899457942</v>
      </c>
      <c r="U153" s="364">
        <f t="shared" ca="1" si="60"/>
        <v>0</v>
      </c>
      <c r="V153" s="359">
        <f t="shared" ca="1" si="61"/>
        <v>1.2144221889916451</v>
      </c>
      <c r="W153" s="357">
        <f t="shared" ca="1" si="62"/>
        <v>38.790663319905725</v>
      </c>
      <c r="X153" s="343"/>
      <c r="Y153" s="367" t="str">
        <f t="shared" ca="1" si="80"/>
        <v/>
      </c>
      <c r="Z153" s="368" t="str">
        <f t="shared" ca="1" si="81"/>
        <v/>
      </c>
      <c r="AA153" s="369" t="str">
        <f t="shared" ca="1" si="82"/>
        <v/>
      </c>
      <c r="AB153" s="344"/>
      <c r="AC153" s="363" t="e">
        <f t="shared" ca="1" si="83"/>
        <v>#N/A</v>
      </c>
      <c r="AD153" s="376" t="e">
        <f t="shared" ca="1" si="84"/>
        <v>#N/A</v>
      </c>
      <c r="AE153" s="377">
        <f t="shared" ca="1" si="63"/>
        <v>86.723905817446919</v>
      </c>
      <c r="AF153" s="344"/>
      <c r="AG153" s="359">
        <f t="shared" ca="1" si="85"/>
        <v>76.491085247901992</v>
      </c>
      <c r="AH153" s="357">
        <f t="shared" ca="1" si="86"/>
        <v>86.088585841274778</v>
      </c>
    </row>
    <row r="154" spans="1:34" x14ac:dyDescent="0.25">
      <c r="A154" s="402">
        <f t="shared" ca="1" si="64"/>
        <v>0.01</v>
      </c>
      <c r="B154" s="357">
        <f t="shared" ca="1" si="65"/>
        <v>1.5000000000000011</v>
      </c>
      <c r="C154" s="342"/>
      <c r="D154" s="359">
        <f t="shared" ca="1" si="66"/>
        <v>17.810247775615551</v>
      </c>
      <c r="E154" s="360">
        <f t="shared" ca="1" si="67"/>
        <v>74.290388120054942</v>
      </c>
      <c r="F154" s="357">
        <f t="shared" ca="1" si="68"/>
        <v>76.39546251484586</v>
      </c>
      <c r="G154" s="359">
        <f t="shared" ca="1" si="69"/>
        <v>24.789389917208226</v>
      </c>
      <c r="H154" s="360">
        <f t="shared" ca="1" si="70"/>
        <v>116.95795332178119</v>
      </c>
      <c r="I154" s="357">
        <f t="shared" ca="1" si="71"/>
        <v>119.5561654524238</v>
      </c>
      <c r="J154" s="359">
        <f t="shared" ca="1" si="72"/>
        <v>17.59266626467592</v>
      </c>
      <c r="K154" s="360">
        <f t="shared" ca="1" si="73"/>
        <v>87.88977083125873</v>
      </c>
      <c r="L154" s="357">
        <f t="shared" ca="1" si="58"/>
        <v>89.633217743599076</v>
      </c>
      <c r="M154" s="359">
        <f t="shared" ca="1" si="74"/>
        <v>1.3619359883795747</v>
      </c>
      <c r="N154" s="357">
        <f t="shared" ca="1" si="75"/>
        <v>78.033184101127958</v>
      </c>
      <c r="O154" s="343"/>
      <c r="P154" s="363">
        <f t="shared" ca="1" si="76"/>
        <v>7</v>
      </c>
      <c r="Q154" s="357">
        <f t="shared" ca="1" si="77"/>
        <v>971.31558441558423</v>
      </c>
      <c r="R154" s="359">
        <f t="shared" ca="1" si="78"/>
        <v>0.48656331172934081</v>
      </c>
      <c r="S154" s="360">
        <f t="shared" ca="1" si="79"/>
        <v>10.847655161437183</v>
      </c>
      <c r="T154" s="357">
        <f t="shared" ca="1" si="59"/>
        <v>106.41549713369878</v>
      </c>
      <c r="U154" s="364">
        <f t="shared" ca="1" si="60"/>
        <v>0</v>
      </c>
      <c r="V154" s="359">
        <f t="shared" ca="1" si="61"/>
        <v>1.2142806093127188</v>
      </c>
      <c r="W154" s="357">
        <f t="shared" ca="1" si="62"/>
        <v>39.286436034453743</v>
      </c>
      <c r="X154" s="343"/>
      <c r="Y154" s="367" t="str">
        <f t="shared" ca="1" si="80"/>
        <v/>
      </c>
      <c r="Z154" s="368" t="str">
        <f t="shared" ca="1" si="81"/>
        <v/>
      </c>
      <c r="AA154" s="369" t="str">
        <f t="shared" ca="1" si="82"/>
        <v/>
      </c>
      <c r="AB154" s="344"/>
      <c r="AC154" s="363" t="e">
        <f t="shared" ca="1" si="83"/>
        <v>#N/A</v>
      </c>
      <c r="AD154" s="376" t="e">
        <f t="shared" ca="1" si="84"/>
        <v>#N/A</v>
      </c>
      <c r="AE154" s="377">
        <f t="shared" ca="1" si="63"/>
        <v>87.88977083125873</v>
      </c>
      <c r="AF154" s="344"/>
      <c r="AG154" s="359">
        <f t="shared" ca="1" si="85"/>
        <v>76.368422427437523</v>
      </c>
      <c r="AH154" s="357">
        <f t="shared" ca="1" si="86"/>
        <v>85.965575713611656</v>
      </c>
    </row>
    <row r="155" spans="1:34" x14ac:dyDescent="0.25">
      <c r="A155" s="402">
        <f t="shared" ca="1" si="64"/>
        <v>0.01</v>
      </c>
      <c r="B155" s="357">
        <f t="shared" ca="1" si="65"/>
        <v>1.5100000000000011</v>
      </c>
      <c r="C155" s="342"/>
      <c r="D155" s="359">
        <f t="shared" ca="1" si="66"/>
        <v>17.798962234633986</v>
      </c>
      <c r="E155" s="360">
        <f t="shared" ca="1" si="67"/>
        <v>74.166661029861729</v>
      </c>
      <c r="F155" s="357">
        <f t="shared" ca="1" si="68"/>
        <v>76.272515790082181</v>
      </c>
      <c r="G155" s="359">
        <f t="shared" ca="1" si="69"/>
        <v>24.967379539554564</v>
      </c>
      <c r="H155" s="360">
        <f t="shared" ca="1" si="70"/>
        <v>117.69961993207981</v>
      </c>
      <c r="I155" s="357">
        <f t="shared" ca="1" si="71"/>
        <v>120.31862105770747</v>
      </c>
      <c r="J155" s="359">
        <f t="shared" ca="1" si="72"/>
        <v>17.841450111959734</v>
      </c>
      <c r="K155" s="360">
        <f t="shared" ca="1" si="73"/>
        <v>89.063058697528035</v>
      </c>
      <c r="L155" s="357">
        <f t="shared" ca="1" si="58"/>
        <v>90.832514919806513</v>
      </c>
      <c r="M155" s="359">
        <f t="shared" ca="1" si="74"/>
        <v>1.3617669325992137</v>
      </c>
      <c r="N155" s="357">
        <f t="shared" ca="1" si="75"/>
        <v>78.023497918410982</v>
      </c>
      <c r="O155" s="343"/>
      <c r="P155" s="363">
        <f t="shared" ca="1" si="76"/>
        <v>7</v>
      </c>
      <c r="Q155" s="357">
        <f t="shared" ca="1" si="77"/>
        <v>970.05584415584394</v>
      </c>
      <c r="R155" s="359">
        <f t="shared" ca="1" si="78"/>
        <v>0.48593226719290744</v>
      </c>
      <c r="S155" s="360">
        <f t="shared" ca="1" si="79"/>
        <v>10.842795838765253</v>
      </c>
      <c r="T155" s="357">
        <f t="shared" ca="1" si="59"/>
        <v>106.36782717828714</v>
      </c>
      <c r="U155" s="364">
        <f t="shared" ca="1" si="60"/>
        <v>0</v>
      </c>
      <c r="V155" s="359">
        <f t="shared" ca="1" si="61"/>
        <v>1.2141381448118622</v>
      </c>
      <c r="W155" s="357">
        <f t="shared" ca="1" si="62"/>
        <v>39.78445502319417</v>
      </c>
      <c r="X155" s="343"/>
      <c r="Y155" s="367" t="str">
        <f t="shared" ca="1" si="80"/>
        <v/>
      </c>
      <c r="Z155" s="368" t="str">
        <f t="shared" ca="1" si="81"/>
        <v/>
      </c>
      <c r="AA155" s="369" t="str">
        <f t="shared" ca="1" si="82"/>
        <v/>
      </c>
      <c r="AB155" s="344"/>
      <c r="AC155" s="363" t="e">
        <f t="shared" ca="1" si="83"/>
        <v>#N/A</v>
      </c>
      <c r="AD155" s="376" t="e">
        <f t="shared" ca="1" si="84"/>
        <v>#N/A</v>
      </c>
      <c r="AE155" s="377">
        <f t="shared" ca="1" si="63"/>
        <v>89.063058697528035</v>
      </c>
      <c r="AF155" s="344"/>
      <c r="AG155" s="359">
        <f t="shared" ca="1" si="85"/>
        <v>76.245388593919131</v>
      </c>
      <c r="AH155" s="357">
        <f t="shared" ca="1" si="86"/>
        <v>85.842196234452345</v>
      </c>
    </row>
    <row r="156" spans="1:34" x14ac:dyDescent="0.25">
      <c r="A156" s="402">
        <f t="shared" ca="1" si="64"/>
        <v>0.01</v>
      </c>
      <c r="B156" s="357">
        <f t="shared" ca="1" si="65"/>
        <v>1.5200000000000011</v>
      </c>
      <c r="C156" s="342"/>
      <c r="D156" s="359">
        <f t="shared" ca="1" si="66"/>
        <v>17.787479856409362</v>
      </c>
      <c r="E156" s="360">
        <f t="shared" ca="1" si="67"/>
        <v>74.042597159111295</v>
      </c>
      <c r="F156" s="357">
        <f t="shared" ca="1" si="68"/>
        <v>76.14919982316691</v>
      </c>
      <c r="G156" s="359">
        <f t="shared" ca="1" si="69"/>
        <v>25.145254338118658</v>
      </c>
      <c r="H156" s="360">
        <f t="shared" ca="1" si="70"/>
        <v>118.44004590367092</v>
      </c>
      <c r="I156" s="357">
        <f t="shared" ca="1" si="71"/>
        <v>121.07984262209936</v>
      </c>
      <c r="J156" s="359">
        <f t="shared" ca="1" si="72"/>
        <v>18.092013281348102</v>
      </c>
      <c r="K156" s="360">
        <f t="shared" ca="1" si="73"/>
        <v>90.243757026706788</v>
      </c>
      <c r="L156" s="357">
        <f t="shared" ca="1" si="58"/>
        <v>92.039429740018306</v>
      </c>
      <c r="M156" s="359">
        <f t="shared" ca="1" si="74"/>
        <v>1.3615988056707313</v>
      </c>
      <c r="N156" s="357">
        <f t="shared" ca="1" si="75"/>
        <v>78.013864954986445</v>
      </c>
      <c r="O156" s="343"/>
      <c r="P156" s="363">
        <f t="shared" ca="1" si="76"/>
        <v>7</v>
      </c>
      <c r="Q156" s="357">
        <f t="shared" ca="1" si="77"/>
        <v>968.79610389610366</v>
      </c>
      <c r="R156" s="359">
        <f t="shared" ca="1" si="78"/>
        <v>0.48530122265647413</v>
      </c>
      <c r="S156" s="360">
        <f t="shared" ca="1" si="79"/>
        <v>10.837942826538688</v>
      </c>
      <c r="T156" s="357">
        <f t="shared" ca="1" si="59"/>
        <v>106.32021912834453</v>
      </c>
      <c r="U156" s="364">
        <f t="shared" ca="1" si="60"/>
        <v>0</v>
      </c>
      <c r="V156" s="359">
        <f t="shared" ca="1" si="61"/>
        <v>1.2139947973061254</v>
      </c>
      <c r="W156" s="357">
        <f t="shared" ca="1" si="62"/>
        <v>40.284700480800723</v>
      </c>
      <c r="X156" s="343"/>
      <c r="Y156" s="367" t="str">
        <f t="shared" ca="1" si="80"/>
        <v/>
      </c>
      <c r="Z156" s="368" t="str">
        <f t="shared" ca="1" si="81"/>
        <v/>
      </c>
      <c r="AA156" s="369" t="str">
        <f t="shared" ca="1" si="82"/>
        <v/>
      </c>
      <c r="AB156" s="344"/>
      <c r="AC156" s="363" t="e">
        <f t="shared" ca="1" si="83"/>
        <v>#N/A</v>
      </c>
      <c r="AD156" s="376" t="e">
        <f t="shared" ca="1" si="84"/>
        <v>#N/A</v>
      </c>
      <c r="AE156" s="377">
        <f t="shared" ca="1" si="63"/>
        <v>90.243757026706788</v>
      </c>
      <c r="AF156" s="344"/>
      <c r="AG156" s="359">
        <f t="shared" ca="1" si="85"/>
        <v>76.121985313028475</v>
      </c>
      <c r="AH156" s="357">
        <f t="shared" ca="1" si="86"/>
        <v>85.718448947530362</v>
      </c>
    </row>
    <row r="157" spans="1:34" x14ac:dyDescent="0.25">
      <c r="A157" s="402">
        <f t="shared" ca="1" si="64"/>
        <v>0.01</v>
      </c>
      <c r="B157" s="357">
        <f t="shared" ca="1" si="65"/>
        <v>1.5300000000000011</v>
      </c>
      <c r="C157" s="342"/>
      <c r="D157" s="359">
        <f t="shared" ca="1" si="66"/>
        <v>17.77580220622238</v>
      </c>
      <c r="E157" s="360">
        <f t="shared" ca="1" si="67"/>
        <v>73.918197812974498</v>
      </c>
      <c r="F157" s="357">
        <f t="shared" ca="1" si="68"/>
        <v>76.025516190242129</v>
      </c>
      <c r="G157" s="359">
        <f t="shared" ca="1" si="69"/>
        <v>25.323012360180883</v>
      </c>
      <c r="H157" s="360">
        <f t="shared" ca="1" si="70"/>
        <v>119.17922788180067</v>
      </c>
      <c r="I157" s="357">
        <f t="shared" ca="1" si="71"/>
        <v>121.8398264669482</v>
      </c>
      <c r="J157" s="359">
        <f t="shared" ca="1" si="72"/>
        <v>18.344354614839599</v>
      </c>
      <c r="K157" s="360">
        <f t="shared" ca="1" si="73"/>
        <v>91.43185339563415</v>
      </c>
      <c r="L157" s="357">
        <f t="shared" ca="1" si="58"/>
        <v>93.253949844474263</v>
      </c>
      <c r="M157" s="359">
        <f t="shared" ca="1" si="74"/>
        <v>1.3614315950255527</v>
      </c>
      <c r="N157" s="357">
        <f t="shared" ca="1" si="75"/>
        <v>78.004284490728054</v>
      </c>
      <c r="O157" s="343"/>
      <c r="P157" s="363">
        <f t="shared" ca="1" si="76"/>
        <v>7</v>
      </c>
      <c r="Q157" s="357">
        <f t="shared" ca="1" si="77"/>
        <v>967.53636363636349</v>
      </c>
      <c r="R157" s="359">
        <f t="shared" ca="1" si="78"/>
        <v>0.48467017812004082</v>
      </c>
      <c r="S157" s="360">
        <f t="shared" ca="1" si="79"/>
        <v>10.833096124757487</v>
      </c>
      <c r="T157" s="357">
        <f t="shared" ca="1" si="59"/>
        <v>106.27267298387096</v>
      </c>
      <c r="U157" s="364">
        <f t="shared" ca="1" si="60"/>
        <v>0</v>
      </c>
      <c r="V157" s="359">
        <f t="shared" ca="1" si="61"/>
        <v>1.2138505686178138</v>
      </c>
      <c r="W157" s="357">
        <f t="shared" ca="1" si="62"/>
        <v>40.787152576982805</v>
      </c>
      <c r="X157" s="343"/>
      <c r="Y157" s="367" t="str">
        <f t="shared" ca="1" si="80"/>
        <v/>
      </c>
      <c r="Z157" s="368" t="str">
        <f t="shared" ca="1" si="81"/>
        <v/>
      </c>
      <c r="AA157" s="369" t="str">
        <f t="shared" ca="1" si="82"/>
        <v/>
      </c>
      <c r="AB157" s="344"/>
      <c r="AC157" s="363" t="e">
        <f t="shared" ca="1" si="83"/>
        <v>#N/A</v>
      </c>
      <c r="AD157" s="376" t="e">
        <f t="shared" ca="1" si="84"/>
        <v>#N/A</v>
      </c>
      <c r="AE157" s="377">
        <f t="shared" ca="1" si="63"/>
        <v>91.43185339563415</v>
      </c>
      <c r="AF157" s="344"/>
      <c r="AG157" s="359">
        <f t="shared" ca="1" si="85"/>
        <v>75.998214156460804</v>
      </c>
      <c r="AH157" s="357">
        <f t="shared" ca="1" si="86"/>
        <v>85.594335403012082</v>
      </c>
    </row>
    <row r="158" spans="1:34" x14ac:dyDescent="0.25">
      <c r="A158" s="402">
        <f t="shared" ca="1" si="64"/>
        <v>0.01</v>
      </c>
      <c r="B158" s="357">
        <f t="shared" ca="1" si="65"/>
        <v>1.5400000000000011</v>
      </c>
      <c r="C158" s="342"/>
      <c r="D158" s="359">
        <f t="shared" ca="1" si="66"/>
        <v>17.763930826079701</v>
      </c>
      <c r="E158" s="360">
        <f t="shared" ca="1" si="67"/>
        <v>73.793464306912924</v>
      </c>
      <c r="F158" s="357">
        <f t="shared" ca="1" si="68"/>
        <v>75.901466473378335</v>
      </c>
      <c r="G158" s="359">
        <f t="shared" ca="1" si="69"/>
        <v>25.50065166844168</v>
      </c>
      <c r="H158" s="360">
        <f t="shared" ca="1" si="70"/>
        <v>119.91716252486979</v>
      </c>
      <c r="I158" s="357">
        <f t="shared" ca="1" si="71"/>
        <v>122.59856892937712</v>
      </c>
      <c r="J158" s="359">
        <f t="shared" ca="1" si="72"/>
        <v>18.598472934982713</v>
      </c>
      <c r="K158" s="360">
        <f t="shared" ca="1" si="73"/>
        <v>92.627335347667497</v>
      </c>
      <c r="L158" s="357">
        <f t="shared" ca="1" si="58"/>
        <v>94.476062836691796</v>
      </c>
      <c r="M158" s="359">
        <f t="shared" ca="1" si="74"/>
        <v>1.3612652883417107</v>
      </c>
      <c r="N158" s="357">
        <f t="shared" ca="1" si="75"/>
        <v>77.994755819639082</v>
      </c>
      <c r="O158" s="343"/>
      <c r="P158" s="363">
        <f t="shared" ca="1" si="76"/>
        <v>7</v>
      </c>
      <c r="Q158" s="357">
        <f t="shared" ca="1" si="77"/>
        <v>966.27662337662321</v>
      </c>
      <c r="R158" s="359">
        <f t="shared" ca="1" si="78"/>
        <v>0.48403913358360751</v>
      </c>
      <c r="S158" s="360">
        <f t="shared" ca="1" si="79"/>
        <v>10.828255733421651</v>
      </c>
      <c r="T158" s="357">
        <f t="shared" ca="1" si="59"/>
        <v>106.2251887448664</v>
      </c>
      <c r="U158" s="364">
        <f t="shared" ca="1" si="60"/>
        <v>0</v>
      </c>
      <c r="V158" s="359">
        <f t="shared" ca="1" si="61"/>
        <v>1.213705460574459</v>
      </c>
      <c r="W158" s="357">
        <f t="shared" ca="1" si="62"/>
        <v>41.291791457295346</v>
      </c>
      <c r="X158" s="343"/>
      <c r="Y158" s="367" t="str">
        <f t="shared" ca="1" si="80"/>
        <v/>
      </c>
      <c r="Z158" s="368" t="str">
        <f t="shared" ca="1" si="81"/>
        <v/>
      </c>
      <c r="AA158" s="369" t="str">
        <f t="shared" ca="1" si="82"/>
        <v/>
      </c>
      <c r="AB158" s="344"/>
      <c r="AC158" s="363" t="e">
        <f t="shared" ca="1" si="83"/>
        <v>#N/A</v>
      </c>
      <c r="AD158" s="376" t="e">
        <f t="shared" ca="1" si="84"/>
        <v>#N/A</v>
      </c>
      <c r="AE158" s="377">
        <f t="shared" ca="1" si="63"/>
        <v>92.627335347667497</v>
      </c>
      <c r="AF158" s="344"/>
      <c r="AG158" s="359">
        <f t="shared" ca="1" si="85"/>
        <v>75.874076701866358</v>
      </c>
      <c r="AH158" s="357">
        <f t="shared" ca="1" si="86"/>
        <v>85.469857157427185</v>
      </c>
    </row>
    <row r="159" spans="1:34" x14ac:dyDescent="0.25">
      <c r="A159" s="402">
        <f t="shared" ca="1" si="64"/>
        <v>0.01</v>
      </c>
      <c r="B159" s="357">
        <f t="shared" ca="1" si="65"/>
        <v>1.5500000000000012</v>
      </c>
      <c r="C159" s="342"/>
      <c r="D159" s="359">
        <f t="shared" ca="1" si="66"/>
        <v>17.751867235366337</v>
      </c>
      <c r="E159" s="360">
        <f t="shared" ca="1" si="67"/>
        <v>73.668397966502738</v>
      </c>
      <c r="F159" s="357">
        <f t="shared" ca="1" si="68"/>
        <v>75.777052260516825</v>
      </c>
      <c r="G159" s="359">
        <f t="shared" ca="1" si="69"/>
        <v>25.678170340795344</v>
      </c>
      <c r="H159" s="360">
        <f t="shared" ca="1" si="70"/>
        <v>120.65384650453483</v>
      </c>
      <c r="I159" s="357">
        <f t="shared" ca="1" si="71"/>
        <v>123.35606636234293</v>
      </c>
      <c r="J159" s="359">
        <f t="shared" ca="1" si="72"/>
        <v>18.854367045028898</v>
      </c>
      <c r="K159" s="360">
        <f t="shared" ca="1" si="73"/>
        <v>93.830190392814515</v>
      </c>
      <c r="L159" s="357">
        <f t="shared" ca="1" si="58"/>
        <v>95.705756283624311</v>
      </c>
      <c r="M159" s="359">
        <f t="shared" ca="1" si="74"/>
        <v>1.3610998735373525</v>
      </c>
      <c r="N159" s="357">
        <f t="shared" ca="1" si="75"/>
        <v>77.985278249480388</v>
      </c>
      <c r="O159" s="343"/>
      <c r="P159" s="363">
        <f t="shared" ca="1" si="76"/>
        <v>7</v>
      </c>
      <c r="Q159" s="357">
        <f t="shared" ca="1" si="77"/>
        <v>965.01688311688292</v>
      </c>
      <c r="R159" s="359">
        <f t="shared" ca="1" si="78"/>
        <v>0.48340808904717414</v>
      </c>
      <c r="S159" s="360">
        <f t="shared" ca="1" si="79"/>
        <v>10.823421652531179</v>
      </c>
      <c r="T159" s="357">
        <f t="shared" ca="1" si="59"/>
        <v>106.17776641133088</v>
      </c>
      <c r="U159" s="364">
        <f t="shared" ca="1" si="60"/>
        <v>0</v>
      </c>
      <c r="V159" s="359">
        <f t="shared" ca="1" si="61"/>
        <v>1.2135594750087861</v>
      </c>
      <c r="W159" s="357">
        <f t="shared" ca="1" si="62"/>
        <v>41.798597243948365</v>
      </c>
      <c r="X159" s="343"/>
      <c r="Y159" s="367" t="str">
        <f t="shared" ca="1" si="80"/>
        <v/>
      </c>
      <c r="Z159" s="368" t="str">
        <f t="shared" ca="1" si="81"/>
        <v/>
      </c>
      <c r="AA159" s="369" t="str">
        <f t="shared" ca="1" si="82"/>
        <v/>
      </c>
      <c r="AB159" s="344"/>
      <c r="AC159" s="363" t="e">
        <f t="shared" ca="1" si="83"/>
        <v>#N/A</v>
      </c>
      <c r="AD159" s="376" t="e">
        <f t="shared" ca="1" si="84"/>
        <v>#N/A</v>
      </c>
      <c r="AE159" s="377">
        <f t="shared" ca="1" si="63"/>
        <v>93.830190392814515</v>
      </c>
      <c r="AF159" s="344"/>
      <c r="AG159" s="359">
        <f t="shared" ca="1" si="85"/>
        <v>75.749574532791229</v>
      </c>
      <c r="AH159" s="357">
        <f t="shared" ca="1" si="86"/>
        <v>85.345015773599116</v>
      </c>
    </row>
    <row r="160" spans="1:34" x14ac:dyDescent="0.25">
      <c r="A160" s="402">
        <f t="shared" ca="1" si="64"/>
        <v>0.01</v>
      </c>
      <c r="B160" s="357">
        <f t="shared" ca="1" si="65"/>
        <v>1.5600000000000012</v>
      </c>
      <c r="C160" s="342"/>
      <c r="D160" s="359">
        <f t="shared" ca="1" si="66"/>
        <v>17.739612931475939</v>
      </c>
      <c r="E160" s="360">
        <f t="shared" ca="1" si="67"/>
        <v>73.543000127261607</v>
      </c>
      <c r="F160" s="357">
        <f t="shared" ca="1" si="68"/>
        <v>75.65227514541111</v>
      </c>
      <c r="G160" s="359">
        <f t="shared" ca="1" si="69"/>
        <v>25.855566470110102</v>
      </c>
      <c r="H160" s="360">
        <f t="shared" ca="1" si="70"/>
        <v>121.38927650580744</v>
      </c>
      <c r="I160" s="357">
        <f t="shared" ca="1" si="71"/>
        <v>124.11231513469426</v>
      </c>
      <c r="J160" s="359">
        <f t="shared" ca="1" si="72"/>
        <v>19.112035729083424</v>
      </c>
      <c r="K160" s="360">
        <f t="shared" ca="1" si="73"/>
        <v>95.040406007866224</v>
      </c>
      <c r="L160" s="357">
        <f t="shared" ca="1" si="58"/>
        <v>96.943017715820133</v>
      </c>
      <c r="M160" s="359">
        <f t="shared" ca="1" si="74"/>
        <v>1.3609353387644594</v>
      </c>
      <c r="N160" s="357">
        <f t="shared" ca="1" si="75"/>
        <v>77.975851101410456</v>
      </c>
      <c r="O160" s="343"/>
      <c r="P160" s="363">
        <f t="shared" ca="1" si="76"/>
        <v>7</v>
      </c>
      <c r="Q160" s="357">
        <f t="shared" ca="1" si="77"/>
        <v>963.75714285714264</v>
      </c>
      <c r="R160" s="359">
        <f t="shared" ca="1" si="78"/>
        <v>0.48277704451074083</v>
      </c>
      <c r="S160" s="360">
        <f t="shared" ca="1" si="79"/>
        <v>10.818593882086072</v>
      </c>
      <c r="T160" s="357">
        <f t="shared" ca="1" si="59"/>
        <v>106.13040598326437</v>
      </c>
      <c r="U160" s="364">
        <f t="shared" ca="1" si="60"/>
        <v>0</v>
      </c>
      <c r="V160" s="359">
        <f t="shared" ca="1" si="61"/>
        <v>1.2134126137586838</v>
      </c>
      <c r="W160" s="357">
        <f t="shared" ca="1" si="62"/>
        <v>42.307550036615893</v>
      </c>
      <c r="X160" s="343"/>
      <c r="Y160" s="367" t="str">
        <f t="shared" ca="1" si="80"/>
        <v/>
      </c>
      <c r="Z160" s="368" t="str">
        <f t="shared" ca="1" si="81"/>
        <v/>
      </c>
      <c r="AA160" s="369" t="str">
        <f t="shared" ca="1" si="82"/>
        <v/>
      </c>
      <c r="AB160" s="344"/>
      <c r="AC160" s="363" t="e">
        <f t="shared" ca="1" si="83"/>
        <v>#N/A</v>
      </c>
      <c r="AD160" s="376" t="e">
        <f t="shared" ca="1" si="84"/>
        <v>#N/A</v>
      </c>
      <c r="AE160" s="377">
        <f t="shared" ca="1" si="63"/>
        <v>95.040406007866224</v>
      </c>
      <c r="AF160" s="344"/>
      <c r="AG160" s="359">
        <f t="shared" ca="1" si="85"/>
        <v>75.624709238617768</v>
      </c>
      <c r="AH160" s="357">
        <f t="shared" ca="1" si="86"/>
        <v>85.219812820575129</v>
      </c>
    </row>
    <row r="161" spans="1:34" x14ac:dyDescent="0.25">
      <c r="A161" s="402">
        <f t="shared" ca="1" si="64"/>
        <v>0.01</v>
      </c>
      <c r="B161" s="357">
        <f t="shared" ca="1" si="65"/>
        <v>1.5700000000000012</v>
      </c>
      <c r="C161" s="342"/>
      <c r="D161" s="359">
        <f t="shared" ca="1" si="66"/>
        <v>17.727169390419849</v>
      </c>
      <c r="E161" s="360">
        <f t="shared" ca="1" si="67"/>
        <v>73.41727213447885</v>
      </c>
      <c r="F161" s="357">
        <f t="shared" ca="1" si="68"/>
        <v>75.527136727568077</v>
      </c>
      <c r="G161" s="359">
        <f t="shared" ca="1" si="69"/>
        <v>26.032838164014301</v>
      </c>
      <c r="H161" s="360">
        <f t="shared" ca="1" si="70"/>
        <v>122.12344922715224</v>
      </c>
      <c r="I161" s="357">
        <f t="shared" ca="1" si="71"/>
        <v>124.86731163122953</v>
      </c>
      <c r="J161" s="359">
        <f t="shared" ca="1" si="72"/>
        <v>19.371477752254044</v>
      </c>
      <c r="K161" s="360">
        <f t="shared" ca="1" si="73"/>
        <v>96.257969636531016</v>
      </c>
      <c r="L161" s="357">
        <f t="shared" ca="1" si="58"/>
        <v>98.187834627582049</v>
      </c>
      <c r="M161" s="359">
        <f t="shared" ca="1" si="74"/>
        <v>1.3607716724027716</v>
      </c>
      <c r="N161" s="357">
        <f t="shared" ca="1" si="75"/>
        <v>77.966473709637498</v>
      </c>
      <c r="O161" s="343"/>
      <c r="P161" s="363">
        <f t="shared" ca="1" si="76"/>
        <v>7</v>
      </c>
      <c r="Q161" s="357">
        <f t="shared" ca="1" si="77"/>
        <v>962.49740259740236</v>
      </c>
      <c r="R161" s="359">
        <f t="shared" ca="1" si="78"/>
        <v>0.48214599997430746</v>
      </c>
      <c r="S161" s="360">
        <f t="shared" ca="1" si="79"/>
        <v>10.813772422086329</v>
      </c>
      <c r="T161" s="357">
        <f t="shared" ca="1" si="59"/>
        <v>106.08310746066689</v>
      </c>
      <c r="U161" s="364">
        <f t="shared" ca="1" si="60"/>
        <v>0</v>
      </c>
      <c r="V161" s="359">
        <f t="shared" ca="1" si="61"/>
        <v>1.2132648786671716</v>
      </c>
      <c r="W161" s="357">
        <f t="shared" ca="1" si="62"/>
        <v>42.818629913244479</v>
      </c>
      <c r="X161" s="343"/>
      <c r="Y161" s="367" t="str">
        <f t="shared" ca="1" si="80"/>
        <v/>
      </c>
      <c r="Z161" s="368" t="str">
        <f t="shared" ca="1" si="81"/>
        <v/>
      </c>
      <c r="AA161" s="369" t="str">
        <f t="shared" ca="1" si="82"/>
        <v/>
      </c>
      <c r="AB161" s="344"/>
      <c r="AC161" s="363" t="e">
        <f t="shared" ca="1" si="83"/>
        <v>#N/A</v>
      </c>
      <c r="AD161" s="376" t="e">
        <f t="shared" ca="1" si="84"/>
        <v>#N/A</v>
      </c>
      <c r="AE161" s="377">
        <f t="shared" ca="1" si="63"/>
        <v>96.257969636531016</v>
      </c>
      <c r="AF161" s="344"/>
      <c r="AG161" s="359">
        <f t="shared" ca="1" si="85"/>
        <v>75.499482414504328</v>
      </c>
      <c r="AH161" s="357">
        <f t="shared" ca="1" si="86"/>
        <v>85.094249873556322</v>
      </c>
    </row>
    <row r="162" spans="1:34" x14ac:dyDescent="0.25">
      <c r="A162" s="402">
        <f t="shared" ca="1" si="64"/>
        <v>0.01</v>
      </c>
      <c r="B162" s="357">
        <f t="shared" ca="1" si="65"/>
        <v>1.5800000000000012</v>
      </c>
      <c r="C162" s="342"/>
      <c r="D162" s="359">
        <f t="shared" ca="1" si="66"/>
        <v>17.714538067415649</v>
      </c>
      <c r="E162" s="360">
        <f t="shared" ca="1" si="67"/>
        <v>73.291215343048762</v>
      </c>
      <c r="F162" s="357">
        <f t="shared" ca="1" si="68"/>
        <v>75.401638612188421</v>
      </c>
      <c r="G162" s="359">
        <f t="shared" ca="1" si="69"/>
        <v>26.209983544688455</v>
      </c>
      <c r="H162" s="360">
        <f t="shared" ca="1" si="70"/>
        <v>122.85636138058273</v>
      </c>
      <c r="I162" s="357">
        <f t="shared" ca="1" si="71"/>
        <v>125.62105225275411</v>
      </c>
      <c r="J162" s="359">
        <f t="shared" ca="1" si="72"/>
        <v>19.632691860797557</v>
      </c>
      <c r="K162" s="360">
        <f t="shared" ca="1" si="73"/>
        <v>97.482868689569685</v>
      </c>
      <c r="L162" s="357">
        <f t="shared" ca="1" si="58"/>
        <v>99.440194477127363</v>
      </c>
      <c r="M162" s="359">
        <f t="shared" ca="1" si="74"/>
        <v>1.3606088630539102</v>
      </c>
      <c r="N162" s="357">
        <f t="shared" ca="1" si="75"/>
        <v>77.957145421082458</v>
      </c>
      <c r="O162" s="343"/>
      <c r="P162" s="363">
        <f t="shared" ca="1" si="76"/>
        <v>7</v>
      </c>
      <c r="Q162" s="357">
        <f t="shared" ca="1" si="77"/>
        <v>961.23766233766219</v>
      </c>
      <c r="R162" s="359">
        <f t="shared" ca="1" si="78"/>
        <v>0.4815149554378742</v>
      </c>
      <c r="S162" s="360">
        <f t="shared" ca="1" si="79"/>
        <v>10.80895727253195</v>
      </c>
      <c r="T162" s="357">
        <f t="shared" ca="1" si="59"/>
        <v>106.03587084353843</v>
      </c>
      <c r="U162" s="364">
        <f t="shared" ca="1" si="60"/>
        <v>0</v>
      </c>
      <c r="V162" s="359">
        <f t="shared" ca="1" si="61"/>
        <v>1.2131162715823716</v>
      </c>
      <c r="W162" s="357">
        <f t="shared" ca="1" si="62"/>
        <v>43.331816930861258</v>
      </c>
      <c r="X162" s="343"/>
      <c r="Y162" s="367" t="str">
        <f t="shared" ca="1" si="80"/>
        <v/>
      </c>
      <c r="Z162" s="368" t="str">
        <f t="shared" ca="1" si="81"/>
        <v/>
      </c>
      <c r="AA162" s="369" t="str">
        <f t="shared" ca="1" si="82"/>
        <v/>
      </c>
      <c r="AB162" s="344"/>
      <c r="AC162" s="363" t="e">
        <f t="shared" ca="1" si="83"/>
        <v>#N/A</v>
      </c>
      <c r="AD162" s="376" t="e">
        <f t="shared" ca="1" si="84"/>
        <v>#N/A</v>
      </c>
      <c r="AE162" s="377">
        <f t="shared" ca="1" si="63"/>
        <v>97.482868689569685</v>
      </c>
      <c r="AF162" s="344"/>
      <c r="AG162" s="359">
        <f t="shared" ca="1" si="85"/>
        <v>75.37389566132461</v>
      </c>
      <c r="AH162" s="357">
        <f t="shared" ca="1" si="86"/>
        <v>84.968328513827331</v>
      </c>
    </row>
    <row r="163" spans="1:34" x14ac:dyDescent="0.25">
      <c r="A163" s="402">
        <f t="shared" ca="1" si="64"/>
        <v>0.01</v>
      </c>
      <c r="B163" s="357">
        <f t="shared" ca="1" si="65"/>
        <v>1.5900000000000012</v>
      </c>
      <c r="C163" s="342"/>
      <c r="D163" s="359">
        <f t="shared" ca="1" si="66"/>
        <v>17.701720397456164</v>
      </c>
      <c r="E163" s="360">
        <f t="shared" ca="1" si="67"/>
        <v>73.16483111730652</v>
      </c>
      <c r="F163" s="357">
        <f t="shared" ca="1" si="68"/>
        <v>75.275782410106501</v>
      </c>
      <c r="G163" s="359">
        <f t="shared" ca="1" si="69"/>
        <v>26.387000748663016</v>
      </c>
      <c r="H163" s="360">
        <f t="shared" ca="1" si="70"/>
        <v>123.58800969175579</v>
      </c>
      <c r="I163" s="357">
        <f t="shared" ca="1" si="71"/>
        <v>126.37353341613688</v>
      </c>
      <c r="J163" s="359">
        <f t="shared" ca="1" si="72"/>
        <v>19.895676782264314</v>
      </c>
      <c r="K163" s="360">
        <f t="shared" ca="1" si="73"/>
        <v>98.715090544931371</v>
      </c>
      <c r="L163" s="357">
        <f t="shared" ca="1" si="58"/>
        <v>100.70008468674855</v>
      </c>
      <c r="M163" s="359">
        <f t="shared" ca="1" si="74"/>
        <v>1.3604468995356882</v>
      </c>
      <c r="N163" s="357">
        <f t="shared" ca="1" si="75"/>
        <v>77.947865595053244</v>
      </c>
      <c r="O163" s="343"/>
      <c r="P163" s="363">
        <f t="shared" ca="1" si="76"/>
        <v>7</v>
      </c>
      <c r="Q163" s="357">
        <f t="shared" ca="1" si="77"/>
        <v>959.9779220779219</v>
      </c>
      <c r="R163" s="359">
        <f t="shared" ca="1" si="78"/>
        <v>0.48088391090144084</v>
      </c>
      <c r="S163" s="360">
        <f t="shared" ca="1" si="79"/>
        <v>10.804148433422936</v>
      </c>
      <c r="T163" s="357">
        <f t="shared" ca="1" si="59"/>
        <v>105.98869613187901</v>
      </c>
      <c r="U163" s="364">
        <f t="shared" ca="1" si="60"/>
        <v>0</v>
      </c>
      <c r="V163" s="359">
        <f t="shared" ca="1" si="61"/>
        <v>1.2129667943574733</v>
      </c>
      <c r="W163" s="357">
        <f t="shared" ca="1" si="62"/>
        <v>43.847091126381031</v>
      </c>
      <c r="X163" s="343"/>
      <c r="Y163" s="367" t="str">
        <f t="shared" ca="1" si="80"/>
        <v/>
      </c>
      <c r="Z163" s="368" t="str">
        <f t="shared" ca="1" si="81"/>
        <v/>
      </c>
      <c r="AA163" s="369" t="str">
        <f t="shared" ca="1" si="82"/>
        <v/>
      </c>
      <c r="AB163" s="344"/>
      <c r="AC163" s="363" t="e">
        <f t="shared" ca="1" si="83"/>
        <v>#N/A</v>
      </c>
      <c r="AD163" s="376" t="e">
        <f t="shared" ca="1" si="84"/>
        <v>#N/A</v>
      </c>
      <c r="AE163" s="377">
        <f t="shared" ca="1" si="63"/>
        <v>98.715090544931371</v>
      </c>
      <c r="AF163" s="344"/>
      <c r="AG163" s="359">
        <f t="shared" ca="1" si="85"/>
        <v>75.247950585606361</v>
      </c>
      <c r="AH163" s="357">
        <f t="shared" ca="1" si="86"/>
        <v>84.842050328685801</v>
      </c>
    </row>
    <row r="164" spans="1:34" x14ac:dyDescent="0.25">
      <c r="A164" s="402">
        <f t="shared" ca="1" si="64"/>
        <v>0.01</v>
      </c>
      <c r="B164" s="357">
        <f t="shared" ca="1" si="65"/>
        <v>1.6000000000000012</v>
      </c>
      <c r="C164" s="342"/>
      <c r="D164" s="359">
        <f t="shared" ca="1" si="66"/>
        <v>17.688717795859542</v>
      </c>
      <c r="E164" s="360">
        <f t="shared" ca="1" si="67"/>
        <v>73.038120830867456</v>
      </c>
      <c r="F164" s="357">
        <f t="shared" ca="1" si="68"/>
        <v>75.149569737730047</v>
      </c>
      <c r="G164" s="359">
        <f t="shared" ca="1" si="69"/>
        <v>26.563887926621611</v>
      </c>
      <c r="H164" s="360">
        <f t="shared" ca="1" si="70"/>
        <v>124.31839090006446</v>
      </c>
      <c r="I164" s="357">
        <f t="shared" ca="1" si="71"/>
        <v>127.12475155436624</v>
      </c>
      <c r="J164" s="359">
        <f t="shared" ca="1" si="72"/>
        <v>20.160431225640735</v>
      </c>
      <c r="K164" s="360">
        <f t="shared" ca="1" si="73"/>
        <v>99.954622547890466</v>
      </c>
      <c r="L164" s="357">
        <f t="shared" ca="1" si="58"/>
        <v>101.96749264297442</v>
      </c>
      <c r="M164" s="359">
        <f t="shared" ca="1" si="74"/>
        <v>1.3602857708766041</v>
      </c>
      <c r="N164" s="357">
        <f t="shared" ca="1" si="75"/>
        <v>77.93863360292913</v>
      </c>
      <c r="O164" s="343"/>
      <c r="P164" s="363">
        <f t="shared" ca="1" si="76"/>
        <v>7</v>
      </c>
      <c r="Q164" s="357">
        <f t="shared" ca="1" si="77"/>
        <v>958.71818181818162</v>
      </c>
      <c r="R164" s="359">
        <f t="shared" ca="1" si="78"/>
        <v>0.48025286636500752</v>
      </c>
      <c r="S164" s="360">
        <f t="shared" ca="1" si="79"/>
        <v>10.799345904759287</v>
      </c>
      <c r="T164" s="357">
        <f t="shared" ca="1" si="59"/>
        <v>105.94158332568861</v>
      </c>
      <c r="U164" s="364">
        <f t="shared" ca="1" si="60"/>
        <v>0</v>
      </c>
      <c r="V164" s="359">
        <f t="shared" ca="1" si="61"/>
        <v>1.2128164488507045</v>
      </c>
      <c r="W164" s="357">
        <f t="shared" ca="1" si="62"/>
        <v>44.364432517413029</v>
      </c>
      <c r="X164" s="343"/>
      <c r="Y164" s="367" t="str">
        <f t="shared" ca="1" si="80"/>
        <v/>
      </c>
      <c r="Z164" s="368" t="str">
        <f t="shared" ca="1" si="81"/>
        <v/>
      </c>
      <c r="AA164" s="369" t="str">
        <f t="shared" ca="1" si="82"/>
        <v/>
      </c>
      <c r="AB164" s="344"/>
      <c r="AC164" s="363" t="e">
        <f t="shared" ca="1" si="83"/>
        <v>#N/A</v>
      </c>
      <c r="AD164" s="376" t="e">
        <f t="shared" ca="1" si="84"/>
        <v>#N/A</v>
      </c>
      <c r="AE164" s="377">
        <f t="shared" ca="1" si="63"/>
        <v>99.954622547890466</v>
      </c>
      <c r="AF164" s="344"/>
      <c r="AG164" s="359">
        <f t="shared" ca="1" si="85"/>
        <v>75.121648799469924</v>
      </c>
      <c r="AH164" s="357">
        <f t="shared" ca="1" si="86"/>
        <v>84.715416911371989</v>
      </c>
    </row>
    <row r="165" spans="1:34" x14ac:dyDescent="0.25">
      <c r="A165" s="402">
        <f t="shared" ca="1" si="64"/>
        <v>0.01</v>
      </c>
      <c r="B165" s="357">
        <f t="shared" ca="1" si="65"/>
        <v>1.6100000000000012</v>
      </c>
      <c r="C165" s="342"/>
      <c r="D165" s="359">
        <f t="shared" ca="1" si="66"/>
        <v>17.675531658801194</v>
      </c>
      <c r="E165" s="360">
        <f t="shared" ca="1" si="67"/>
        <v>72.91108586646844</v>
      </c>
      <c r="F165" s="357">
        <f t="shared" ca="1" si="68"/>
        <v>75.023002216978881</v>
      </c>
      <c r="G165" s="359">
        <f t="shared" ca="1" si="69"/>
        <v>26.740643243209622</v>
      </c>
      <c r="H165" s="360">
        <f t="shared" ca="1" si="70"/>
        <v>125.04750175872914</v>
      </c>
      <c r="I165" s="357">
        <f t="shared" ca="1" si="71"/>
        <v>127.87470311660543</v>
      </c>
      <c r="J165" s="359">
        <f t="shared" ca="1" si="72"/>
        <v>20.42695388148989</v>
      </c>
      <c r="K165" s="360">
        <f t="shared" ca="1" si="73"/>
        <v>101.20145201118443</v>
      </c>
      <c r="L165" s="357">
        <f t="shared" ca="1" si="58"/>
        <v>103.24240569673189</v>
      </c>
      <c r="M165" s="359">
        <f t="shared" ca="1" si="74"/>
        <v>1.3601254663105107</v>
      </c>
      <c r="N165" s="357">
        <f t="shared" ca="1" si="75"/>
        <v>77.929448827855296</v>
      </c>
      <c r="O165" s="343"/>
      <c r="P165" s="363">
        <f t="shared" ca="1" si="76"/>
        <v>7</v>
      </c>
      <c r="Q165" s="357">
        <f t="shared" ca="1" si="77"/>
        <v>957.45844155844134</v>
      </c>
      <c r="R165" s="359">
        <f t="shared" ca="1" si="78"/>
        <v>0.47962182182857416</v>
      </c>
      <c r="S165" s="360">
        <f t="shared" ca="1" si="79"/>
        <v>10.794549686541002</v>
      </c>
      <c r="T165" s="357">
        <f t="shared" ca="1" si="59"/>
        <v>105.89453242496724</v>
      </c>
      <c r="U165" s="364">
        <f t="shared" ca="1" si="60"/>
        <v>0</v>
      </c>
      <c r="V165" s="359">
        <f t="shared" ca="1" si="61"/>
        <v>1.2126652369252988</v>
      </c>
      <c r="W165" s="357">
        <f t="shared" ca="1" si="62"/>
        <v>44.88382110306673</v>
      </c>
      <c r="X165" s="343"/>
      <c r="Y165" s="367" t="str">
        <f t="shared" ca="1" si="80"/>
        <v/>
      </c>
      <c r="Z165" s="368" t="str">
        <f t="shared" ca="1" si="81"/>
        <v/>
      </c>
      <c r="AA165" s="369" t="str">
        <f t="shared" ca="1" si="82"/>
        <v/>
      </c>
      <c r="AB165" s="344"/>
      <c r="AC165" s="363" t="e">
        <f t="shared" ca="1" si="83"/>
        <v>#N/A</v>
      </c>
      <c r="AD165" s="376" t="e">
        <f t="shared" ca="1" si="84"/>
        <v>#N/A</v>
      </c>
      <c r="AE165" s="377">
        <f t="shared" ca="1" si="63"/>
        <v>101.20145201118443</v>
      </c>
      <c r="AF165" s="344"/>
      <c r="AG165" s="359">
        <f t="shared" ca="1" si="85"/>
        <v>74.994991920565838</v>
      </c>
      <c r="AH165" s="357">
        <f t="shared" ca="1" si="86"/>
        <v>84.588429860997707</v>
      </c>
    </row>
    <row r="166" spans="1:34" x14ac:dyDescent="0.25">
      <c r="A166" s="402">
        <f t="shared" ca="1" si="64"/>
        <v>0.01</v>
      </c>
      <c r="B166" s="357">
        <f t="shared" ca="1" si="65"/>
        <v>1.6200000000000012</v>
      </c>
      <c r="C166" s="342"/>
      <c r="D166" s="359">
        <f t="shared" ca="1" si="66"/>
        <v>17.662163363828231</v>
      </c>
      <c r="E166" s="360">
        <f t="shared" ca="1" si="67"/>
        <v>72.783727615812467</v>
      </c>
      <c r="F166" s="357">
        <f t="shared" ca="1" si="68"/>
        <v>74.896081475223639</v>
      </c>
      <c r="G166" s="359">
        <f t="shared" ca="1" si="69"/>
        <v>26.917264876847906</v>
      </c>
      <c r="H166" s="360">
        <f t="shared" ca="1" si="70"/>
        <v>125.77533903488727</v>
      </c>
      <c r="I166" s="357">
        <f t="shared" ca="1" si="71"/>
        <v>128.62338456824725</v>
      </c>
      <c r="J166" s="359">
        <f t="shared" ca="1" si="72"/>
        <v>20.695243422090179</v>
      </c>
      <c r="K166" s="360">
        <f t="shared" ca="1" si="73"/>
        <v>102.45556621515252</v>
      </c>
      <c r="L166" s="357">
        <f t="shared" ca="1" si="58"/>
        <v>104.52481116350829</v>
      </c>
      <c r="M166" s="359">
        <f t="shared" ca="1" si="74"/>
        <v>1.3599659752714506</v>
      </c>
      <c r="N166" s="357">
        <f t="shared" ca="1" si="75"/>
        <v>77.920310664447001</v>
      </c>
      <c r="O166" s="343"/>
      <c r="P166" s="363">
        <f t="shared" ca="1" si="76"/>
        <v>7</v>
      </c>
      <c r="Q166" s="357">
        <f t="shared" ca="1" si="77"/>
        <v>956.19870129870105</v>
      </c>
      <c r="R166" s="359">
        <f t="shared" ca="1" si="78"/>
        <v>0.47899077729214079</v>
      </c>
      <c r="S166" s="360">
        <f t="shared" ca="1" si="79"/>
        <v>10.789759778768081</v>
      </c>
      <c r="T166" s="357">
        <f t="shared" ca="1" si="59"/>
        <v>105.84754342971488</v>
      </c>
      <c r="U166" s="364">
        <f t="shared" ca="1" si="60"/>
        <v>0</v>
      </c>
      <c r="V166" s="359">
        <f t="shared" ca="1" si="61"/>
        <v>1.212513160449463</v>
      </c>
      <c r="W166" s="357">
        <f t="shared" ca="1" si="62"/>
        <v>45.405236864756944</v>
      </c>
      <c r="X166" s="343"/>
      <c r="Y166" s="367" t="str">
        <f t="shared" ca="1" si="80"/>
        <v/>
      </c>
      <c r="Z166" s="368" t="str">
        <f t="shared" ca="1" si="81"/>
        <v/>
      </c>
      <c r="AA166" s="369" t="str">
        <f t="shared" ca="1" si="82"/>
        <v/>
      </c>
      <c r="AB166" s="344"/>
      <c r="AC166" s="363" t="e">
        <f t="shared" ca="1" si="83"/>
        <v>#N/A</v>
      </c>
      <c r="AD166" s="376" t="e">
        <f t="shared" ca="1" si="84"/>
        <v>#N/A</v>
      </c>
      <c r="AE166" s="377">
        <f t="shared" ca="1" si="63"/>
        <v>102.45556621515252</v>
      </c>
      <c r="AF166" s="344"/>
      <c r="AG166" s="359">
        <f t="shared" ca="1" si="85"/>
        <v>74.867981572012539</v>
      </c>
      <c r="AH166" s="357">
        <f t="shared" ca="1" si="86"/>
        <v>84.461090782475566</v>
      </c>
    </row>
    <row r="167" spans="1:34" x14ac:dyDescent="0.25">
      <c r="A167" s="402">
        <f t="shared" ca="1" si="64"/>
        <v>0.01</v>
      </c>
      <c r="B167" s="357">
        <f t="shared" ca="1" si="65"/>
        <v>1.6300000000000012</v>
      </c>
      <c r="C167" s="342"/>
      <c r="D167" s="359">
        <f t="shared" ca="1" si="66"/>
        <v>17.648614270357257</v>
      </c>
      <c r="E167" s="360">
        <f t="shared" ca="1" si="67"/>
        <v>72.656047479415179</v>
      </c>
      <c r="F167" s="357">
        <f t="shared" ca="1" si="68"/>
        <v>74.768809145223727</v>
      </c>
      <c r="G167" s="359">
        <f t="shared" ca="1" si="69"/>
        <v>27.09375101955148</v>
      </c>
      <c r="H167" s="360">
        <f t="shared" ca="1" si="70"/>
        <v>126.50189950968142</v>
      </c>
      <c r="I167" s="357">
        <f t="shared" ca="1" si="71"/>
        <v>129.37079239096815</v>
      </c>
      <c r="J167" s="359">
        <f t="shared" ca="1" si="72"/>
        <v>20.965298501572175</v>
      </c>
      <c r="K167" s="360">
        <f t="shared" ca="1" si="73"/>
        <v>103.71695240787535</v>
      </c>
      <c r="L167" s="357">
        <f t="shared" ca="1" si="58"/>
        <v>105.81469632351408</v>
      </c>
      <c r="M167" s="359">
        <f t="shared" ca="1" si="74"/>
        <v>1.3598072873886557</v>
      </c>
      <c r="N167" s="357">
        <f t="shared" ca="1" si="75"/>
        <v>77.911218518502992</v>
      </c>
      <c r="O167" s="343"/>
      <c r="P167" s="363">
        <f t="shared" ca="1" si="76"/>
        <v>7</v>
      </c>
      <c r="Q167" s="357">
        <f t="shared" ca="1" si="77"/>
        <v>954.93896103896088</v>
      </c>
      <c r="R167" s="359">
        <f t="shared" ca="1" si="78"/>
        <v>0.47835973275570753</v>
      </c>
      <c r="S167" s="360">
        <f t="shared" ca="1" si="79"/>
        <v>10.784976181440523</v>
      </c>
      <c r="T167" s="357">
        <f t="shared" ca="1" si="59"/>
        <v>105.80061633993154</v>
      </c>
      <c r="U167" s="364">
        <f t="shared" ca="1" si="60"/>
        <v>0</v>
      </c>
      <c r="V167" s="359">
        <f t="shared" ca="1" si="61"/>
        <v>1.212360221296348</v>
      </c>
      <c r="W167" s="357">
        <f t="shared" ca="1" si="62"/>
        <v>45.928659767008099</v>
      </c>
      <c r="X167" s="343"/>
      <c r="Y167" s="367" t="str">
        <f t="shared" ca="1" si="80"/>
        <v/>
      </c>
      <c r="Z167" s="368" t="str">
        <f t="shared" ca="1" si="81"/>
        <v/>
      </c>
      <c r="AA167" s="369" t="str">
        <f t="shared" ca="1" si="82"/>
        <v/>
      </c>
      <c r="AB167" s="344"/>
      <c r="AC167" s="363" t="e">
        <f t="shared" ca="1" si="83"/>
        <v>#N/A</v>
      </c>
      <c r="AD167" s="376" t="e">
        <f t="shared" ca="1" si="84"/>
        <v>#N/A</v>
      </c>
      <c r="AE167" s="377">
        <f t="shared" ca="1" si="63"/>
        <v>103.71695240787535</v>
      </c>
      <c r="AF167" s="344"/>
      <c r="AG167" s="359">
        <f t="shared" ca="1" si="85"/>
        <v>74.740619382333179</v>
      </c>
      <c r="AH167" s="357">
        <f t="shared" ca="1" si="86"/>
        <v>84.333401286447696</v>
      </c>
    </row>
    <row r="168" spans="1:34" x14ac:dyDescent="0.25">
      <c r="A168" s="402">
        <f t="shared" ca="1" si="64"/>
        <v>0.01</v>
      </c>
      <c r="B168" s="357">
        <f t="shared" ca="1" si="65"/>
        <v>1.6400000000000012</v>
      </c>
      <c r="C168" s="342"/>
      <c r="D168" s="359">
        <f t="shared" ca="1" si="66"/>
        <v>17.634885720155857</v>
      </c>
      <c r="E168" s="360">
        <f t="shared" ca="1" si="67"/>
        <v>72.528046866454204</v>
      </c>
      <c r="F168" s="357">
        <f t="shared" ca="1" si="68"/>
        <v>74.641186865064881</v>
      </c>
      <c r="G168" s="359">
        <f t="shared" ca="1" si="69"/>
        <v>27.270099876753036</v>
      </c>
      <c r="H168" s="360">
        <f t="shared" ca="1" si="70"/>
        <v>127.22717997834596</v>
      </c>
      <c r="I168" s="357">
        <f t="shared" ca="1" si="71"/>
        <v>130.11692308278168</v>
      </c>
      <c r="J168" s="359">
        <f t="shared" ca="1" si="72"/>
        <v>21.237117756053696</v>
      </c>
      <c r="K168" s="360">
        <f t="shared" ca="1" si="73"/>
        <v>104.98559780531549</v>
      </c>
      <c r="L168" s="357">
        <f t="shared" ca="1" si="58"/>
        <v>107.11204842184634</v>
      </c>
      <c r="M168" s="359">
        <f t="shared" ca="1" si="74"/>
        <v>1.3596493924817028</v>
      </c>
      <c r="N168" s="357">
        <f t="shared" ca="1" si="75"/>
        <v>77.902171806727978</v>
      </c>
      <c r="O168" s="343"/>
      <c r="P168" s="363">
        <f t="shared" ca="1" si="76"/>
        <v>7</v>
      </c>
      <c r="Q168" s="357">
        <f t="shared" ca="1" si="77"/>
        <v>953.6792207792206</v>
      </c>
      <c r="R168" s="359">
        <f t="shared" ca="1" si="78"/>
        <v>0.47772868821927417</v>
      </c>
      <c r="S168" s="360">
        <f t="shared" ca="1" si="79"/>
        <v>10.78019889455833</v>
      </c>
      <c r="T168" s="357">
        <f t="shared" ca="1" si="59"/>
        <v>105.75375115561722</v>
      </c>
      <c r="U168" s="364">
        <f t="shared" ca="1" si="60"/>
        <v>0</v>
      </c>
      <c r="V168" s="359">
        <f t="shared" ca="1" si="61"/>
        <v>1.2122064213440122</v>
      </c>
      <c r="W168" s="357">
        <f t="shared" ca="1" si="62"/>
        <v>46.454069758257447</v>
      </c>
      <c r="X168" s="343"/>
      <c r="Y168" s="367" t="str">
        <f t="shared" ca="1" si="80"/>
        <v/>
      </c>
      <c r="Z168" s="368" t="str">
        <f t="shared" ca="1" si="81"/>
        <v/>
      </c>
      <c r="AA168" s="369" t="str">
        <f t="shared" ca="1" si="82"/>
        <v/>
      </c>
      <c r="AB168" s="344"/>
      <c r="AC168" s="363" t="e">
        <f t="shared" ca="1" si="83"/>
        <v>#N/A</v>
      </c>
      <c r="AD168" s="376" t="e">
        <f t="shared" ca="1" si="84"/>
        <v>#N/A</v>
      </c>
      <c r="AE168" s="377">
        <f t="shared" ca="1" si="63"/>
        <v>104.98559780531549</v>
      </c>
      <c r="AF168" s="344"/>
      <c r="AG168" s="359">
        <f t="shared" ca="1" si="85"/>
        <v>74.612906985392272</v>
      </c>
      <c r="AH168" s="357">
        <f t="shared" ca="1" si="86"/>
        <v>84.20536298921445</v>
      </c>
    </row>
    <row r="169" spans="1:34" x14ac:dyDescent="0.25">
      <c r="A169" s="402">
        <f t="shared" ca="1" si="64"/>
        <v>0.01</v>
      </c>
      <c r="B169" s="357">
        <f t="shared" ca="1" si="65"/>
        <v>1.6500000000000012</v>
      </c>
      <c r="C169" s="342"/>
      <c r="D169" s="359">
        <f t="shared" ca="1" si="66"/>
        <v>17.620979037808532</v>
      </c>
      <c r="E169" s="360">
        <f t="shared" ca="1" si="67"/>
        <v>72.399727194620695</v>
      </c>
      <c r="F169" s="357">
        <f t="shared" ca="1" si="68"/>
        <v>74.513216278096507</v>
      </c>
      <c r="G169" s="359">
        <f t="shared" ca="1" si="69"/>
        <v>27.446309667131121</v>
      </c>
      <c r="H169" s="360">
        <f t="shared" ca="1" si="70"/>
        <v>127.95117725029216</v>
      </c>
      <c r="I169" s="357">
        <f t="shared" ca="1" si="71"/>
        <v>130.86177315809127</v>
      </c>
      <c r="J169" s="359">
        <f t="shared" ca="1" si="72"/>
        <v>21.510699803773118</v>
      </c>
      <c r="K169" s="360">
        <f t="shared" ca="1" si="73"/>
        <v>106.26148959145868</v>
      </c>
      <c r="L169" s="357">
        <f t="shared" ca="1" si="58"/>
        <v>108.41685466865255</v>
      </c>
      <c r="M169" s="359">
        <f t="shared" ca="1" si="74"/>
        <v>1.3594922805558172</v>
      </c>
      <c r="N169" s="357">
        <f t="shared" ca="1" si="75"/>
        <v>77.893169956463552</v>
      </c>
      <c r="O169" s="343"/>
      <c r="P169" s="363">
        <f t="shared" ca="1" si="76"/>
        <v>7</v>
      </c>
      <c r="Q169" s="357">
        <f t="shared" ca="1" si="77"/>
        <v>952.41948051948032</v>
      </c>
      <c r="R169" s="359">
        <f t="shared" ca="1" si="78"/>
        <v>0.47709764368284086</v>
      </c>
      <c r="S169" s="360">
        <f t="shared" ca="1" si="79"/>
        <v>10.775427918121501</v>
      </c>
      <c r="T169" s="357">
        <f t="shared" ca="1" si="59"/>
        <v>105.70694787677193</v>
      </c>
      <c r="U169" s="364">
        <f t="shared" ca="1" si="60"/>
        <v>0</v>
      </c>
      <c r="V169" s="359">
        <f t="shared" ca="1" si="61"/>
        <v>1.2120517624753937</v>
      </c>
      <c r="W169" s="357">
        <f t="shared" ca="1" si="62"/>
        <v>46.981446771657488</v>
      </c>
      <c r="X169" s="343"/>
      <c r="Y169" s="367" t="str">
        <f t="shared" ca="1" si="80"/>
        <v/>
      </c>
      <c r="Z169" s="368" t="str">
        <f t="shared" ca="1" si="81"/>
        <v/>
      </c>
      <c r="AA169" s="369" t="str">
        <f t="shared" ca="1" si="82"/>
        <v/>
      </c>
      <c r="AB169" s="344"/>
      <c r="AC169" s="363" t="e">
        <f t="shared" ca="1" si="83"/>
        <v>#N/A</v>
      </c>
      <c r="AD169" s="376" t="e">
        <f t="shared" ca="1" si="84"/>
        <v>#N/A</v>
      </c>
      <c r="AE169" s="377">
        <f t="shared" ca="1" si="63"/>
        <v>106.26148959145868</v>
      </c>
      <c r="AF169" s="344"/>
      <c r="AG169" s="359">
        <f t="shared" ca="1" si="85"/>
        <v>74.484846020331929</v>
      </c>
      <c r="AH169" s="357">
        <f t="shared" ca="1" si="86"/>
        <v>84.076977512663035</v>
      </c>
    </row>
    <row r="170" spans="1:34" x14ac:dyDescent="0.25">
      <c r="A170" s="402">
        <f t="shared" ca="1" si="64"/>
        <v>0.01</v>
      </c>
      <c r="B170" s="357">
        <f t="shared" ca="1" si="65"/>
        <v>1.6600000000000013</v>
      </c>
      <c r="C170" s="342"/>
      <c r="D170" s="359">
        <f t="shared" ca="1" si="66"/>
        <v>17.606895531167783</v>
      </c>
      <c r="E170" s="360">
        <f t="shared" ca="1" si="67"/>
        <v>72.271089889973069</v>
      </c>
      <c r="F170" s="357">
        <f t="shared" ca="1" si="68"/>
        <v>74.38489903286839</v>
      </c>
      <c r="G170" s="359">
        <f t="shared" ca="1" si="69"/>
        <v>27.622378622442799</v>
      </c>
      <c r="H170" s="360">
        <f t="shared" ca="1" si="70"/>
        <v>128.6738881491919</v>
      </c>
      <c r="I170" s="357">
        <f t="shared" ca="1" si="71"/>
        <v>131.60533914774254</v>
      </c>
      <c r="J170" s="359">
        <f t="shared" ca="1" si="72"/>
        <v>21.786043245220988</v>
      </c>
      <c r="K170" s="360">
        <f t="shared" ca="1" si="73"/>
        <v>107.54461491845611</v>
      </c>
      <c r="L170" s="357">
        <f t="shared" ca="1" si="58"/>
        <v>109.72910223929497</v>
      </c>
      <c r="M170" s="359">
        <f t="shared" ca="1" si="74"/>
        <v>1.3593359417973225</v>
      </c>
      <c r="N170" s="357">
        <f t="shared" ca="1" si="75"/>
        <v>77.88421240542749</v>
      </c>
      <c r="O170" s="343"/>
      <c r="P170" s="363">
        <f t="shared" ca="1" si="76"/>
        <v>7</v>
      </c>
      <c r="Q170" s="357">
        <f t="shared" ca="1" si="77"/>
        <v>951.15974025974003</v>
      </c>
      <c r="R170" s="359">
        <f t="shared" ca="1" si="78"/>
        <v>0.47646659914640749</v>
      </c>
      <c r="S170" s="360">
        <f t="shared" ca="1" si="79"/>
        <v>10.770663252130037</v>
      </c>
      <c r="T170" s="357">
        <f t="shared" ca="1" si="59"/>
        <v>105.66020650339567</v>
      </c>
      <c r="U170" s="364">
        <f t="shared" ca="1" si="60"/>
        <v>0</v>
      </c>
      <c r="V170" s="359">
        <f t="shared" ca="1" si="61"/>
        <v>1.2118962465782754</v>
      </c>
      <c r="W170" s="357">
        <f t="shared" ca="1" si="62"/>
        <v>47.510770725877506</v>
      </c>
      <c r="X170" s="343"/>
      <c r="Y170" s="367" t="str">
        <f t="shared" ca="1" si="80"/>
        <v/>
      </c>
      <c r="Z170" s="368" t="str">
        <f t="shared" ca="1" si="81"/>
        <v/>
      </c>
      <c r="AA170" s="369" t="str">
        <f t="shared" ca="1" si="82"/>
        <v/>
      </c>
      <c r="AB170" s="344"/>
      <c r="AC170" s="363" t="e">
        <f t="shared" ca="1" si="83"/>
        <v>#N/A</v>
      </c>
      <c r="AD170" s="376" t="e">
        <f t="shared" ca="1" si="84"/>
        <v>#N/A</v>
      </c>
      <c r="AE170" s="377">
        <f t="shared" ca="1" si="63"/>
        <v>107.54461491845611</v>
      </c>
      <c r="AF170" s="344"/>
      <c r="AG170" s="359">
        <f t="shared" ca="1" si="85"/>
        <v>74.356438131507645</v>
      </c>
      <c r="AH170" s="357">
        <f t="shared" ca="1" si="86"/>
        <v>83.94824648419582</v>
      </c>
    </row>
    <row r="171" spans="1:34" x14ac:dyDescent="0.25">
      <c r="A171" s="402">
        <f t="shared" ca="1" si="64"/>
        <v>0.01</v>
      </c>
      <c r="B171" s="357">
        <f t="shared" ca="1" si="65"/>
        <v>1.6700000000000013</v>
      </c>
      <c r="C171" s="342"/>
      <c r="D171" s="359">
        <f t="shared" ca="1" si="66"/>
        <v>17.592636491790689</v>
      </c>
      <c r="E171" s="360">
        <f t="shared" ca="1" si="67"/>
        <v>72.142136386792998</v>
      </c>
      <c r="F171" s="357">
        <f t="shared" ca="1" si="68"/>
        <v>74.256236783067109</v>
      </c>
      <c r="G171" s="359">
        <f t="shared" ca="1" si="69"/>
        <v>27.798304987360705</v>
      </c>
      <c r="H171" s="360">
        <f t="shared" ca="1" si="70"/>
        <v>129.39530951305983</v>
      </c>
      <c r="I171" s="357">
        <f t="shared" ca="1" si="71"/>
        <v>132.34761759907457</v>
      </c>
      <c r="J171" s="359">
        <f t="shared" ca="1" si="72"/>
        <v>22.063146663270004</v>
      </c>
      <c r="K171" s="360">
        <f t="shared" ca="1" si="73"/>
        <v>108.83496090676736</v>
      </c>
      <c r="L171" s="357">
        <f t="shared" ca="1" si="58"/>
        <v>111.04877827451567</v>
      </c>
      <c r="M171" s="359">
        <f t="shared" ca="1" si="74"/>
        <v>1.3591803665692301</v>
      </c>
      <c r="N171" s="357">
        <f t="shared" ca="1" si="75"/>
        <v>77.875298601461012</v>
      </c>
      <c r="O171" s="343"/>
      <c r="P171" s="363">
        <f t="shared" ca="1" si="76"/>
        <v>7</v>
      </c>
      <c r="Q171" s="357">
        <f t="shared" ca="1" si="77"/>
        <v>949.89999999999975</v>
      </c>
      <c r="R171" s="359">
        <f t="shared" ca="1" si="78"/>
        <v>0.47583555460997418</v>
      </c>
      <c r="S171" s="360">
        <f t="shared" ca="1" si="79"/>
        <v>10.765904896583937</v>
      </c>
      <c r="T171" s="357">
        <f t="shared" ca="1" si="59"/>
        <v>105.61352703548843</v>
      </c>
      <c r="U171" s="364">
        <f t="shared" ca="1" si="60"/>
        <v>0</v>
      </c>
      <c r="V171" s="359">
        <f t="shared" ca="1" si="61"/>
        <v>1.2117398755452538</v>
      </c>
      <c r="W171" s="357">
        <f t="shared" ca="1" si="62"/>
        <v>48.042021525903486</v>
      </c>
      <c r="X171" s="343"/>
      <c r="Y171" s="367" t="str">
        <f t="shared" ca="1" si="80"/>
        <v/>
      </c>
      <c r="Z171" s="368" t="str">
        <f t="shared" ca="1" si="81"/>
        <v/>
      </c>
      <c r="AA171" s="369" t="str">
        <f t="shared" ca="1" si="82"/>
        <v/>
      </c>
      <c r="AB171" s="344"/>
      <c r="AC171" s="363" t="e">
        <f t="shared" ca="1" si="83"/>
        <v>#N/A</v>
      </c>
      <c r="AD171" s="376" t="e">
        <f t="shared" ca="1" si="84"/>
        <v>#N/A</v>
      </c>
      <c r="AE171" s="377">
        <f t="shared" ca="1" si="63"/>
        <v>108.83496090676736</v>
      </c>
      <c r="AF171" s="344"/>
      <c r="AG171" s="359">
        <f t="shared" ca="1" si="85"/>
        <v>74.227684968423731</v>
      </c>
      <c r="AH171" s="357">
        <f t="shared" ca="1" si="86"/>
        <v>83.819171536658644</v>
      </c>
    </row>
    <row r="172" spans="1:34" x14ac:dyDescent="0.25">
      <c r="A172" s="402">
        <f t="shared" ca="1" si="64"/>
        <v>0.01</v>
      </c>
      <c r="B172" s="357">
        <f t="shared" ca="1" si="65"/>
        <v>1.6800000000000013</v>
      </c>
      <c r="C172" s="342"/>
      <c r="D172" s="359">
        <f t="shared" ca="1" si="66"/>
        <v>17.578203195361557</v>
      </c>
      <c r="E172" s="360">
        <f t="shared" ca="1" si="67"/>
        <v>72.012868127443369</v>
      </c>
      <c r="F172" s="357">
        <f t="shared" ca="1" si="68"/>
        <v>74.127231187452082</v>
      </c>
      <c r="G172" s="359">
        <f t="shared" ca="1" si="69"/>
        <v>27.974087019314322</v>
      </c>
      <c r="H172" s="360">
        <f t="shared" ca="1" si="70"/>
        <v>130.11543819433427</v>
      </c>
      <c r="I172" s="357">
        <f t="shared" ca="1" si="71"/>
        <v>133.08860507597106</v>
      </c>
      <c r="J172" s="359">
        <f t="shared" ca="1" si="72"/>
        <v>22.342008623303379</v>
      </c>
      <c r="K172" s="360">
        <f t="shared" ca="1" si="73"/>
        <v>110.13251464530434</v>
      </c>
      <c r="L172" s="357">
        <f t="shared" ca="1" si="58"/>
        <v>112.37586988060175</v>
      </c>
      <c r="M172" s="359">
        <f t="shared" ca="1" si="74"/>
        <v>1.3590255454069613</v>
      </c>
      <c r="N172" s="357">
        <f t="shared" ca="1" si="75"/>
        <v>77.866428002283698</v>
      </c>
      <c r="O172" s="343"/>
      <c r="P172" s="363">
        <f t="shared" ca="1" si="76"/>
        <v>7</v>
      </c>
      <c r="Q172" s="357">
        <f t="shared" ca="1" si="77"/>
        <v>948.64025974025958</v>
      </c>
      <c r="R172" s="359">
        <f t="shared" ca="1" si="78"/>
        <v>0.47520451007354086</v>
      </c>
      <c r="S172" s="360">
        <f t="shared" ca="1" si="79"/>
        <v>10.761152851483201</v>
      </c>
      <c r="T172" s="357">
        <f t="shared" ca="1" si="59"/>
        <v>105.56690947305022</v>
      </c>
      <c r="U172" s="364">
        <f t="shared" ca="1" si="60"/>
        <v>0</v>
      </c>
      <c r="V172" s="359">
        <f t="shared" ca="1" si="61"/>
        <v>1.2115826512737051</v>
      </c>
      <c r="W172" s="357">
        <f t="shared" ca="1" si="62"/>
        <v>48.575179063837723</v>
      </c>
      <c r="X172" s="343"/>
      <c r="Y172" s="367" t="str">
        <f t="shared" ca="1" si="80"/>
        <v/>
      </c>
      <c r="Z172" s="368" t="str">
        <f t="shared" ca="1" si="81"/>
        <v/>
      </c>
      <c r="AA172" s="369" t="str">
        <f t="shared" ca="1" si="82"/>
        <v/>
      </c>
      <c r="AB172" s="344"/>
      <c r="AC172" s="363" t="e">
        <f t="shared" ca="1" si="83"/>
        <v>#N/A</v>
      </c>
      <c r="AD172" s="376" t="e">
        <f t="shared" ca="1" si="84"/>
        <v>#N/A</v>
      </c>
      <c r="AE172" s="377">
        <f t="shared" ca="1" si="63"/>
        <v>110.13251464530434</v>
      </c>
      <c r="AF172" s="344"/>
      <c r="AG172" s="359">
        <f t="shared" ca="1" si="85"/>
        <v>74.098588185668476</v>
      </c>
      <c r="AH172" s="357">
        <f t="shared" ca="1" si="86"/>
        <v>83.689754308268874</v>
      </c>
    </row>
    <row r="173" spans="1:34" x14ac:dyDescent="0.25">
      <c r="A173" s="402">
        <f t="shared" ca="1" si="64"/>
        <v>0.01</v>
      </c>
      <c r="B173" s="357">
        <f t="shared" ca="1" si="65"/>
        <v>1.6900000000000013</v>
      </c>
      <c r="C173" s="342"/>
      <c r="D173" s="359">
        <f t="shared" ca="1" si="66"/>
        <v>17.56359690210126</v>
      </c>
      <c r="E173" s="360">
        <f t="shared" ca="1" si="67"/>
        <v>71.883286562228349</v>
      </c>
      <c r="F173" s="357">
        <f t="shared" ca="1" si="68"/>
        <v>73.997883909791227</v>
      </c>
      <c r="G173" s="359">
        <f t="shared" ca="1" si="69"/>
        <v>28.149722988335334</v>
      </c>
      <c r="H173" s="360">
        <f t="shared" ca="1" si="70"/>
        <v>130.83427105995656</v>
      </c>
      <c r="I173" s="357">
        <f t="shared" ca="1" si="71"/>
        <v>133.82829815891031</v>
      </c>
      <c r="J173" s="359">
        <f t="shared" ca="1" si="72"/>
        <v>22.622627673341626</v>
      </c>
      <c r="K173" s="360">
        <f t="shared" ca="1" si="73"/>
        <v>111.43726319157579</v>
      </c>
      <c r="L173" s="357">
        <f t="shared" ca="1" si="58"/>
        <v>113.71036412955142</v>
      </c>
      <c r="M173" s="359">
        <f t="shared" ca="1" si="74"/>
        <v>1.3588714690141999</v>
      </c>
      <c r="N173" s="357">
        <f t="shared" ca="1" si="75"/>
        <v>77.857600075255874</v>
      </c>
      <c r="O173" s="343"/>
      <c r="P173" s="363">
        <f t="shared" ca="1" si="76"/>
        <v>7</v>
      </c>
      <c r="Q173" s="357">
        <f t="shared" ca="1" si="77"/>
        <v>947.3805194805193</v>
      </c>
      <c r="R173" s="359">
        <f t="shared" ca="1" si="78"/>
        <v>0.47457346553710755</v>
      </c>
      <c r="S173" s="360">
        <f t="shared" ca="1" si="79"/>
        <v>10.75640711682783</v>
      </c>
      <c r="T173" s="357">
        <f t="shared" ca="1" si="59"/>
        <v>105.52035381608103</v>
      </c>
      <c r="U173" s="364">
        <f t="shared" ca="1" si="60"/>
        <v>0</v>
      </c>
      <c r="V173" s="359">
        <f t="shared" ca="1" si="61"/>
        <v>1.2114245756657556</v>
      </c>
      <c r="W173" s="357">
        <f t="shared" ca="1" si="62"/>
        <v>49.110223219696493</v>
      </c>
      <c r="X173" s="343"/>
      <c r="Y173" s="367" t="str">
        <f t="shared" ca="1" si="80"/>
        <v/>
      </c>
      <c r="Z173" s="368" t="str">
        <f t="shared" ca="1" si="81"/>
        <v/>
      </c>
      <c r="AA173" s="369" t="str">
        <f t="shared" ca="1" si="82"/>
        <v/>
      </c>
      <c r="AB173" s="344"/>
      <c r="AC173" s="363" t="e">
        <f t="shared" ca="1" si="83"/>
        <v>#N/A</v>
      </c>
      <c r="AD173" s="376" t="e">
        <f t="shared" ca="1" si="84"/>
        <v>#N/A</v>
      </c>
      <c r="AE173" s="377">
        <f t="shared" ca="1" si="63"/>
        <v>111.43726319157579</v>
      </c>
      <c r="AF173" s="344"/>
      <c r="AG173" s="359">
        <f t="shared" ca="1" si="85"/>
        <v>73.969149442848746</v>
      </c>
      <c r="AH173" s="357">
        <f t="shared" ca="1" si="86"/>
        <v>83.559996442543365</v>
      </c>
    </row>
    <row r="174" spans="1:34" x14ac:dyDescent="0.25">
      <c r="A174" s="402">
        <f t="shared" ca="1" si="64"/>
        <v>0.01</v>
      </c>
      <c r="B174" s="357">
        <f t="shared" ca="1" si="65"/>
        <v>1.7000000000000013</v>
      </c>
      <c r="C174" s="342"/>
      <c r="D174" s="359">
        <f t="shared" ca="1" si="66"/>
        <v>17.548818857163653</v>
      </c>
      <c r="E174" s="360">
        <f t="shared" ca="1" si="67"/>
        <v>71.753393149255331</v>
      </c>
      <c r="F174" s="357">
        <f t="shared" ca="1" si="68"/>
        <v>73.868196618796262</v>
      </c>
      <c r="G174" s="359">
        <f t="shared" ca="1" si="69"/>
        <v>28.325211176906972</v>
      </c>
      <c r="H174" s="360">
        <f t="shared" ca="1" si="70"/>
        <v>131.5518049914491</v>
      </c>
      <c r="I174" s="357">
        <f t="shared" ca="1" si="71"/>
        <v>134.56669344501495</v>
      </c>
      <c r="J174" s="359">
        <f t="shared" ca="1" si="72"/>
        <v>22.905002344167837</v>
      </c>
      <c r="K174" s="360">
        <f t="shared" ca="1" si="73"/>
        <v>112.74919357183282</v>
      </c>
      <c r="L174" s="357">
        <f t="shared" ca="1" si="58"/>
        <v>115.05224805924028</v>
      </c>
      <c r="M174" s="359">
        <f t="shared" ca="1" si="74"/>
        <v>1.3587181282588687</v>
      </c>
      <c r="N174" s="357">
        <f t="shared" ca="1" si="75"/>
        <v>77.848814297148053</v>
      </c>
      <c r="O174" s="343"/>
      <c r="P174" s="363">
        <f t="shared" ca="1" si="76"/>
        <v>7</v>
      </c>
      <c r="Q174" s="357">
        <f t="shared" ca="1" si="77"/>
        <v>946.12077922077901</v>
      </c>
      <c r="R174" s="359">
        <f t="shared" ca="1" si="78"/>
        <v>0.47394242100067419</v>
      </c>
      <c r="S174" s="360">
        <f t="shared" ca="1" si="79"/>
        <v>10.751667692617824</v>
      </c>
      <c r="T174" s="357">
        <f t="shared" ca="1" si="59"/>
        <v>105.47386006458086</v>
      </c>
      <c r="U174" s="364">
        <f t="shared" ca="1" si="60"/>
        <v>0</v>
      </c>
      <c r="V174" s="359">
        <f t="shared" ca="1" si="61"/>
        <v>1.2112656506282455</v>
      </c>
      <c r="W174" s="357">
        <f t="shared" ca="1" si="62"/>
        <v>49.647133862207056</v>
      </c>
      <c r="X174" s="343"/>
      <c r="Y174" s="367" t="str">
        <f t="shared" ca="1" si="80"/>
        <v/>
      </c>
      <c r="Z174" s="368" t="str">
        <f t="shared" ca="1" si="81"/>
        <v/>
      </c>
      <c r="AA174" s="369" t="str">
        <f t="shared" ca="1" si="82"/>
        <v/>
      </c>
      <c r="AB174" s="344"/>
      <c r="AC174" s="363" t="e">
        <f t="shared" ca="1" si="83"/>
        <v>#N/A</v>
      </c>
      <c r="AD174" s="376" t="e">
        <f t="shared" ca="1" si="84"/>
        <v>#N/A</v>
      </c>
      <c r="AE174" s="377">
        <f t="shared" ca="1" si="63"/>
        <v>112.74919357183282</v>
      </c>
      <c r="AF174" s="344"/>
      <c r="AG174" s="359">
        <f t="shared" ca="1" si="85"/>
        <v>73.839370404524573</v>
      </c>
      <c r="AH174" s="357">
        <f t="shared" ca="1" si="86"/>
        <v>83.429899588226363</v>
      </c>
    </row>
    <row r="175" spans="1:34" x14ac:dyDescent="0.25">
      <c r="A175" s="402">
        <f t="shared" ca="1" si="64"/>
        <v>0.01</v>
      </c>
      <c r="B175" s="357">
        <f t="shared" ca="1" si="65"/>
        <v>1.7100000000000013</v>
      </c>
      <c r="C175" s="342"/>
      <c r="D175" s="359">
        <f t="shared" ca="1" si="66"/>
        <v>17.53387029101955</v>
      </c>
      <c r="E175" s="360">
        <f t="shared" ca="1" si="67"/>
        <v>71.623189354298816</v>
      </c>
      <c r="F175" s="357">
        <f t="shared" ca="1" si="68"/>
        <v>73.738170988057746</v>
      </c>
      <c r="G175" s="359">
        <f t="shared" ca="1" si="69"/>
        <v>28.500549879817168</v>
      </c>
      <c r="H175" s="360">
        <f t="shared" ca="1" si="70"/>
        <v>132.26803688499209</v>
      </c>
      <c r="I175" s="357">
        <f t="shared" ca="1" si="71"/>
        <v>135.3037875481007</v>
      </c>
      <c r="J175" s="359">
        <f t="shared" ca="1" si="72"/>
        <v>23.189131149451459</v>
      </c>
      <c r="K175" s="360">
        <f t="shared" ca="1" si="73"/>
        <v>114.06829278121502</v>
      </c>
      <c r="L175" s="357">
        <f t="shared" ca="1" si="58"/>
        <v>116.4015086735883</v>
      </c>
      <c r="M175" s="359">
        <f t="shared" ca="1" si="74"/>
        <v>1.3585655141692263</v>
      </c>
      <c r="N175" s="357">
        <f t="shared" ca="1" si="75"/>
        <v>77.84007015391731</v>
      </c>
      <c r="O175" s="343"/>
      <c r="P175" s="363">
        <f t="shared" ca="1" si="76"/>
        <v>7</v>
      </c>
      <c r="Q175" s="357">
        <f t="shared" ca="1" si="77"/>
        <v>944.86103896103873</v>
      </c>
      <c r="R175" s="359">
        <f t="shared" ca="1" si="78"/>
        <v>0.47331137646424087</v>
      </c>
      <c r="S175" s="360">
        <f t="shared" ca="1" si="79"/>
        <v>10.746934578853182</v>
      </c>
      <c r="T175" s="357">
        <f t="shared" ca="1" si="59"/>
        <v>105.42742821854972</v>
      </c>
      <c r="U175" s="364">
        <f t="shared" ca="1" si="60"/>
        <v>0</v>
      </c>
      <c r="V175" s="359">
        <f t="shared" ca="1" si="61"/>
        <v>1.2111058780726982</v>
      </c>
      <c r="W175" s="357">
        <f t="shared" ca="1" si="62"/>
        <v>50.185890849602949</v>
      </c>
      <c r="X175" s="343"/>
      <c r="Y175" s="367" t="str">
        <f t="shared" ca="1" si="80"/>
        <v/>
      </c>
      <c r="Z175" s="368" t="str">
        <f t="shared" ca="1" si="81"/>
        <v/>
      </c>
      <c r="AA175" s="369" t="str">
        <f t="shared" ca="1" si="82"/>
        <v/>
      </c>
      <c r="AB175" s="344"/>
      <c r="AC175" s="363" t="e">
        <f t="shared" ca="1" si="83"/>
        <v>#N/A</v>
      </c>
      <c r="AD175" s="376" t="e">
        <f t="shared" ca="1" si="84"/>
        <v>#N/A</v>
      </c>
      <c r="AE175" s="377">
        <f t="shared" ca="1" si="63"/>
        <v>114.06829278121502</v>
      </c>
      <c r="AF175" s="344"/>
      <c r="AG175" s="359">
        <f t="shared" ca="1" si="85"/>
        <v>73.709252740143185</v>
      </c>
      <c r="AH175" s="357">
        <f t="shared" ca="1" si="86"/>
        <v>83.299465399217212</v>
      </c>
    </row>
    <row r="176" spans="1:34" x14ac:dyDescent="0.25">
      <c r="A176" s="402">
        <f t="shared" ca="1" si="64"/>
        <v>0.01</v>
      </c>
      <c r="B176" s="357">
        <f t="shared" ca="1" si="65"/>
        <v>1.7200000000000013</v>
      </c>
      <c r="C176" s="342"/>
      <c r="D176" s="359">
        <f t="shared" ca="1" si="66"/>
        <v>17.518752419828761</v>
      </c>
      <c r="E176" s="360">
        <f t="shared" ca="1" si="67"/>
        <v>71.492676650666056</v>
      </c>
      <c r="F176" s="357">
        <f t="shared" ca="1" si="68"/>
        <v>73.607808695979728</v>
      </c>
      <c r="G176" s="359">
        <f t="shared" ca="1" si="69"/>
        <v>28.675737404015454</v>
      </c>
      <c r="H176" s="360">
        <f t="shared" ca="1" si="70"/>
        <v>132.98296365149875</v>
      </c>
      <c r="I176" s="357">
        <f t="shared" ca="1" si="71"/>
        <v>136.03957709872481</v>
      </c>
      <c r="J176" s="359">
        <f t="shared" ca="1" si="72"/>
        <v>23.475012585870623</v>
      </c>
      <c r="K176" s="360">
        <f t="shared" ca="1" si="73"/>
        <v>115.39454778389748</v>
      </c>
      <c r="L176" s="357">
        <f t="shared" ca="1" si="58"/>
        <v>117.75813294272707</v>
      </c>
      <c r="M176" s="359">
        <f t="shared" ca="1" si="74"/>
        <v>1.3584136179300803</v>
      </c>
      <c r="N176" s="357">
        <f t="shared" ca="1" si="75"/>
        <v>77.831367140490329</v>
      </c>
      <c r="O176" s="343"/>
      <c r="P176" s="363">
        <f t="shared" ca="1" si="76"/>
        <v>7</v>
      </c>
      <c r="Q176" s="357">
        <f t="shared" ca="1" si="77"/>
        <v>943.60129870129845</v>
      </c>
      <c r="R176" s="359">
        <f t="shared" ca="1" si="78"/>
        <v>0.47268033192780751</v>
      </c>
      <c r="S176" s="360">
        <f t="shared" ca="1" si="79"/>
        <v>10.742207775533904</v>
      </c>
      <c r="T176" s="357">
        <f t="shared" ca="1" si="59"/>
        <v>105.38105827798761</v>
      </c>
      <c r="U176" s="364">
        <f t="shared" ca="1" si="60"/>
        <v>0</v>
      </c>
      <c r="V176" s="359">
        <f t="shared" ca="1" si="61"/>
        <v>1.2109452599152875</v>
      </c>
      <c r="W176" s="357">
        <f t="shared" ca="1" si="62"/>
        <v>50.726474030418487</v>
      </c>
      <c r="X176" s="343"/>
      <c r="Y176" s="367" t="str">
        <f t="shared" ca="1" si="80"/>
        <v/>
      </c>
      <c r="Z176" s="368" t="str">
        <f t="shared" ca="1" si="81"/>
        <v/>
      </c>
      <c r="AA176" s="369" t="str">
        <f t="shared" ca="1" si="82"/>
        <v/>
      </c>
      <c r="AB176" s="344"/>
      <c r="AC176" s="363" t="e">
        <f t="shared" ca="1" si="83"/>
        <v>#N/A</v>
      </c>
      <c r="AD176" s="376" t="e">
        <f t="shared" ca="1" si="84"/>
        <v>#N/A</v>
      </c>
      <c r="AE176" s="377">
        <f t="shared" ca="1" si="63"/>
        <v>115.39454778389748</v>
      </c>
      <c r="AF176" s="344"/>
      <c r="AG176" s="359">
        <f t="shared" ca="1" si="85"/>
        <v>73.578798123972803</v>
      </c>
      <c r="AH176" s="357">
        <f t="shared" ca="1" si="86"/>
        <v>83.168695534497928</v>
      </c>
    </row>
    <row r="177" spans="1:34" x14ac:dyDescent="0.25">
      <c r="A177" s="402">
        <f t="shared" ca="1" si="64"/>
        <v>0.01</v>
      </c>
      <c r="B177" s="357">
        <f t="shared" ca="1" si="65"/>
        <v>1.7300000000000013</v>
      </c>
      <c r="C177" s="342"/>
      <c r="D177" s="359">
        <f t="shared" ca="1" si="66"/>
        <v>17.503466445800438</v>
      </c>
      <c r="E177" s="360">
        <f t="shared" ca="1" si="67"/>
        <v>71.361856519064332</v>
      </c>
      <c r="F177" s="357">
        <f t="shared" ca="1" si="68"/>
        <v>73.477111425713971</v>
      </c>
      <c r="G177" s="359">
        <f t="shared" ca="1" si="69"/>
        <v>28.850772068473457</v>
      </c>
      <c r="H177" s="360">
        <f t="shared" ca="1" si="70"/>
        <v>133.69658221668939</v>
      </c>
      <c r="I177" s="357">
        <f t="shared" ca="1" si="71"/>
        <v>136.77405874423334</v>
      </c>
      <c r="J177" s="359">
        <f t="shared" ca="1" si="72"/>
        <v>23.762645133233068</v>
      </c>
      <c r="K177" s="360">
        <f t="shared" ca="1" si="73"/>
        <v>116.72794551323842</v>
      </c>
      <c r="L177" s="357">
        <f t="shared" ca="1" si="58"/>
        <v>119.12210780316776</v>
      </c>
      <c r="M177" s="359">
        <f t="shared" ca="1" si="74"/>
        <v>1.3582624308791105</v>
      </c>
      <c r="N177" s="357">
        <f t="shared" ca="1" si="75"/>
        <v>77.822704760552739</v>
      </c>
      <c r="O177" s="343"/>
      <c r="P177" s="363">
        <f t="shared" ca="1" si="76"/>
        <v>7</v>
      </c>
      <c r="Q177" s="357">
        <f t="shared" ca="1" si="77"/>
        <v>942.34155844155828</v>
      </c>
      <c r="R177" s="359">
        <f t="shared" ca="1" si="78"/>
        <v>0.47204928739137425</v>
      </c>
      <c r="S177" s="360">
        <f t="shared" ca="1" si="79"/>
        <v>10.737487282659991</v>
      </c>
      <c r="T177" s="357">
        <f t="shared" ca="1" si="59"/>
        <v>105.33475024289451</v>
      </c>
      <c r="U177" s="364">
        <f t="shared" ca="1" si="60"/>
        <v>0</v>
      </c>
      <c r="V177" s="359">
        <f t="shared" ca="1" si="61"/>
        <v>1.2107837980768033</v>
      </c>
      <c r="W177" s="357">
        <f t="shared" ca="1" si="62"/>
        <v>51.268863244281135</v>
      </c>
      <c r="X177" s="343"/>
      <c r="Y177" s="367" t="str">
        <f t="shared" ca="1" si="80"/>
        <v/>
      </c>
      <c r="Z177" s="368" t="str">
        <f t="shared" ca="1" si="81"/>
        <v/>
      </c>
      <c r="AA177" s="369" t="str">
        <f t="shared" ca="1" si="82"/>
        <v/>
      </c>
      <c r="AB177" s="344"/>
      <c r="AC177" s="363" t="e">
        <f t="shared" ca="1" si="83"/>
        <v>#N/A</v>
      </c>
      <c r="AD177" s="376" t="e">
        <f t="shared" ca="1" si="84"/>
        <v>#N/A</v>
      </c>
      <c r="AE177" s="377">
        <f t="shared" ca="1" si="63"/>
        <v>116.72794551323842</v>
      </c>
      <c r="AF177" s="344"/>
      <c r="AG177" s="359">
        <f t="shared" ca="1" si="85"/>
        <v>73.448008235036113</v>
      </c>
      <c r="AH177" s="357">
        <f t="shared" ca="1" si="86"/>
        <v>83.037591658060677</v>
      </c>
    </row>
    <row r="178" spans="1:34" x14ac:dyDescent="0.25">
      <c r="A178" s="402">
        <f t="shared" ca="1" si="64"/>
        <v>0.01</v>
      </c>
      <c r="B178" s="357">
        <f t="shared" ca="1" si="65"/>
        <v>1.7400000000000013</v>
      </c>
      <c r="C178" s="342"/>
      <c r="D178" s="359">
        <f t="shared" ca="1" si="66"/>
        <v>17.48801355754248</v>
      </c>
      <c r="E178" s="360">
        <f t="shared" ca="1" si="67"/>
        <v>71.230730447470123</v>
      </c>
      <c r="F178" s="357">
        <f t="shared" ca="1" si="68"/>
        <v>73.346080865094194</v>
      </c>
      <c r="G178" s="359">
        <f t="shared" ca="1" si="69"/>
        <v>29.025652204048882</v>
      </c>
      <c r="H178" s="360">
        <f t="shared" ca="1" si="70"/>
        <v>134.4088895211641</v>
      </c>
      <c r="I178" s="357">
        <f t="shared" ca="1" si="71"/>
        <v>137.50722914880839</v>
      </c>
      <c r="J178" s="359">
        <f t="shared" ca="1" si="72"/>
        <v>24.052027254595679</v>
      </c>
      <c r="K178" s="360">
        <f t="shared" ca="1" si="73"/>
        <v>118.0684728719277</v>
      </c>
      <c r="L178" s="357">
        <f t="shared" ca="1" si="58"/>
        <v>120.49342015796937</v>
      </c>
      <c r="M178" s="359">
        <f t="shared" ca="1" si="74"/>
        <v>1.3581119445033023</v>
      </c>
      <c r="N178" s="357">
        <f t="shared" ca="1" si="75"/>
        <v>77.814082526344706</v>
      </c>
      <c r="O178" s="343"/>
      <c r="P178" s="363">
        <f t="shared" ca="1" si="76"/>
        <v>7</v>
      </c>
      <c r="Q178" s="357">
        <f t="shared" ca="1" si="77"/>
        <v>941.08181818181799</v>
      </c>
      <c r="R178" s="359">
        <f t="shared" ca="1" si="78"/>
        <v>0.47141824285494088</v>
      </c>
      <c r="S178" s="360">
        <f t="shared" ca="1" si="79"/>
        <v>10.732773100231443</v>
      </c>
      <c r="T178" s="357">
        <f t="shared" ca="1" si="59"/>
        <v>105.28850411327046</v>
      </c>
      <c r="U178" s="364">
        <f t="shared" ca="1" si="60"/>
        <v>0</v>
      </c>
      <c r="V178" s="359">
        <f t="shared" ca="1" si="61"/>
        <v>1.2106214944826199</v>
      </c>
      <c r="W178" s="357">
        <f t="shared" ca="1" si="62"/>
        <v>51.813038322703257</v>
      </c>
      <c r="X178" s="343"/>
      <c r="Y178" s="367" t="str">
        <f t="shared" ca="1" si="80"/>
        <v/>
      </c>
      <c r="Z178" s="368" t="str">
        <f t="shared" ca="1" si="81"/>
        <v/>
      </c>
      <c r="AA178" s="369" t="str">
        <f t="shared" ca="1" si="82"/>
        <v/>
      </c>
      <c r="AB178" s="344"/>
      <c r="AC178" s="363" t="e">
        <f t="shared" ca="1" si="83"/>
        <v>#N/A</v>
      </c>
      <c r="AD178" s="376" t="e">
        <f t="shared" ca="1" si="84"/>
        <v>#N/A</v>
      </c>
      <c r="AE178" s="377">
        <f t="shared" ca="1" si="63"/>
        <v>118.0684728719277</v>
      </c>
      <c r="AF178" s="344"/>
      <c r="AG178" s="359">
        <f t="shared" ca="1" si="85"/>
        <v>73.316884757043553</v>
      </c>
      <c r="AH178" s="357">
        <f t="shared" ca="1" si="86"/>
        <v>82.906155438835185</v>
      </c>
    </row>
    <row r="179" spans="1:34" x14ac:dyDescent="0.25">
      <c r="A179" s="402">
        <f t="shared" ca="1" si="64"/>
        <v>0.01</v>
      </c>
      <c r="B179" s="357">
        <f t="shared" ca="1" si="65"/>
        <v>1.7500000000000013</v>
      </c>
      <c r="C179" s="342"/>
      <c r="D179" s="359">
        <f t="shared" ca="1" si="66"/>
        <v>17.472394930399961</v>
      </c>
      <c r="E179" s="360">
        <f t="shared" ca="1" si="67"/>
        <v>71.09929993099982</v>
      </c>
      <c r="F179" s="357">
        <f t="shared" ca="1" si="68"/>
        <v>73.214718706569769</v>
      </c>
      <c r="G179" s="359">
        <f t="shared" ca="1" si="69"/>
        <v>29.200376153352881</v>
      </c>
      <c r="H179" s="360">
        <f t="shared" ca="1" si="70"/>
        <v>135.11988252047411</v>
      </c>
      <c r="I179" s="357">
        <f t="shared" ca="1" si="71"/>
        <v>138.23908499351413</v>
      </c>
      <c r="J179" s="359">
        <f t="shared" ca="1" si="72"/>
        <v>24.343157396382686</v>
      </c>
      <c r="K179" s="360">
        <f t="shared" ca="1" si="73"/>
        <v>119.41611673213589</v>
      </c>
      <c r="L179" s="357">
        <f t="shared" ca="1" si="58"/>
        <v>121.87205687690745</v>
      </c>
      <c r="M179" s="359">
        <f t="shared" ca="1" si="74"/>
        <v>1.357962150435482</v>
      </c>
      <c r="N179" s="357">
        <f t="shared" ca="1" si="75"/>
        <v>77.805499958462505</v>
      </c>
      <c r="O179" s="343"/>
      <c r="P179" s="363">
        <f t="shared" ca="1" si="76"/>
        <v>7</v>
      </c>
      <c r="Q179" s="357">
        <f t="shared" ca="1" si="77"/>
        <v>939.82207792207771</v>
      </c>
      <c r="R179" s="359">
        <f t="shared" ca="1" si="78"/>
        <v>0.47078719831850757</v>
      </c>
      <c r="S179" s="360">
        <f t="shared" ca="1" si="79"/>
        <v>10.728065228248257</v>
      </c>
      <c r="T179" s="357">
        <f t="shared" ca="1" si="59"/>
        <v>105.24231988911541</v>
      </c>
      <c r="U179" s="364">
        <f t="shared" ca="1" si="60"/>
        <v>0</v>
      </c>
      <c r="V179" s="359">
        <f t="shared" ca="1" si="61"/>
        <v>1.2104583510626623</v>
      </c>
      <c r="W179" s="357">
        <f t="shared" ca="1" si="62"/>
        <v>52.358979089871752</v>
      </c>
      <c r="X179" s="343"/>
      <c r="Y179" s="367" t="str">
        <f t="shared" ca="1" si="80"/>
        <v/>
      </c>
      <c r="Z179" s="368" t="str">
        <f t="shared" ca="1" si="81"/>
        <v/>
      </c>
      <c r="AA179" s="369" t="str">
        <f t="shared" ca="1" si="82"/>
        <v/>
      </c>
      <c r="AB179" s="344"/>
      <c r="AC179" s="363" t="e">
        <f t="shared" ca="1" si="83"/>
        <v>#N/A</v>
      </c>
      <c r="AD179" s="376" t="e">
        <f t="shared" ca="1" si="84"/>
        <v>#N/A</v>
      </c>
      <c r="AE179" s="377">
        <f t="shared" ca="1" si="63"/>
        <v>119.41611673213589</v>
      </c>
      <c r="AF179" s="344"/>
      <c r="AG179" s="359">
        <f t="shared" ca="1" si="85"/>
        <v>73.185429378326234</v>
      </c>
      <c r="AH179" s="357">
        <f t="shared" ca="1" si="86"/>
        <v>82.774388550616024</v>
      </c>
    </row>
    <row r="180" spans="1:34" x14ac:dyDescent="0.25">
      <c r="A180" s="402">
        <f t="shared" ca="1" si="64"/>
        <v>0.01</v>
      </c>
      <c r="B180" s="357">
        <f t="shared" ca="1" si="65"/>
        <v>1.7600000000000013</v>
      </c>
      <c r="C180" s="342"/>
      <c r="D180" s="359">
        <f t="shared" ca="1" si="66"/>
        <v>17.456611726783372</v>
      </c>
      <c r="E180" s="360">
        <f t="shared" ca="1" si="67"/>
        <v>70.96756647178195</v>
      </c>
      <c r="F180" s="357">
        <f t="shared" ca="1" si="68"/>
        <v>73.083026647139221</v>
      </c>
      <c r="G180" s="359">
        <f t="shared" ca="1" si="69"/>
        <v>29.374942270620714</v>
      </c>
      <c r="H180" s="360">
        <f t="shared" ca="1" si="70"/>
        <v>135.82955818519193</v>
      </c>
      <c r="I180" s="357">
        <f t="shared" ca="1" si="71"/>
        <v>138.96962297634235</v>
      </c>
      <c r="J180" s="359">
        <f t="shared" ca="1" si="72"/>
        <v>24.636033988502554</v>
      </c>
      <c r="K180" s="360">
        <f t="shared" ca="1" si="73"/>
        <v>120.77086393566422</v>
      </c>
      <c r="L180" s="357">
        <f t="shared" ca="1" si="58"/>
        <v>123.25800479664342</v>
      </c>
      <c r="M180" s="359">
        <f t="shared" ca="1" si="74"/>
        <v>1.3578130404509539</v>
      </c>
      <c r="N180" s="357">
        <f t="shared" ca="1" si="75"/>
        <v>77.796956585665782</v>
      </c>
      <c r="O180" s="343"/>
      <c r="P180" s="363">
        <f t="shared" ca="1" si="76"/>
        <v>7</v>
      </c>
      <c r="Q180" s="357">
        <f t="shared" ca="1" si="77"/>
        <v>938.56233766233743</v>
      </c>
      <c r="R180" s="359">
        <f t="shared" ca="1" si="78"/>
        <v>0.4701561537820742</v>
      </c>
      <c r="S180" s="360">
        <f t="shared" ca="1" si="79"/>
        <v>10.723363666710435</v>
      </c>
      <c r="T180" s="357">
        <f t="shared" ca="1" si="59"/>
        <v>105.19619757042938</v>
      </c>
      <c r="U180" s="364">
        <f t="shared" ca="1" si="60"/>
        <v>0</v>
      </c>
      <c r="V180" s="359">
        <f t="shared" ca="1" si="61"/>
        <v>1.2102943697513735</v>
      </c>
      <c r="W180" s="357">
        <f t="shared" ca="1" si="62"/>
        <v>52.906665363436517</v>
      </c>
      <c r="X180" s="343"/>
      <c r="Y180" s="367" t="str">
        <f t="shared" ca="1" si="80"/>
        <v/>
      </c>
      <c r="Z180" s="368" t="str">
        <f t="shared" ca="1" si="81"/>
        <v/>
      </c>
      <c r="AA180" s="369" t="str">
        <f t="shared" ca="1" si="82"/>
        <v/>
      </c>
      <c r="AB180" s="344"/>
      <c r="AC180" s="363" t="e">
        <f t="shared" ca="1" si="83"/>
        <v>#N/A</v>
      </c>
      <c r="AD180" s="376" t="e">
        <f t="shared" ca="1" si="84"/>
        <v>#N/A</v>
      </c>
      <c r="AE180" s="377">
        <f t="shared" ca="1" si="63"/>
        <v>120.77086393566422</v>
      </c>
      <c r="AF180" s="344"/>
      <c r="AG180" s="359">
        <f t="shared" ca="1" si="85"/>
        <v>73.053643791768707</v>
      </c>
      <c r="AH180" s="357">
        <f t="shared" ca="1" si="86"/>
        <v>82.642292671989821</v>
      </c>
    </row>
    <row r="181" spans="1:34" x14ac:dyDescent="0.25">
      <c r="A181" s="402">
        <f t="shared" ca="1" si="64"/>
        <v>0.01</v>
      </c>
      <c r="B181" s="357">
        <f t="shared" ca="1" si="65"/>
        <v>1.7700000000000014</v>
      </c>
      <c r="C181" s="342"/>
      <c r="D181" s="359">
        <f t="shared" ca="1" si="66"/>
        <v>17.44066509648664</v>
      </c>
      <c r="E181" s="360">
        <f t="shared" ca="1" si="67"/>
        <v>70.835531578830953</v>
      </c>
      <c r="F181" s="357">
        <f t="shared" ca="1" si="68"/>
        <v>72.951006388283389</v>
      </c>
      <c r="G181" s="359">
        <f t="shared" ca="1" si="69"/>
        <v>29.54934892158558</v>
      </c>
      <c r="H181" s="360">
        <f t="shared" ca="1" si="70"/>
        <v>136.53791350098024</v>
      </c>
      <c r="I181" s="357">
        <f t="shared" ca="1" si="71"/>
        <v>139.69883981225749</v>
      </c>
      <c r="J181" s="359">
        <f t="shared" ca="1" si="72"/>
        <v>24.930655444463586</v>
      </c>
      <c r="K181" s="360">
        <f t="shared" ca="1" si="73"/>
        <v>122.13270129409509</v>
      </c>
      <c r="L181" s="357">
        <f t="shared" ca="1" si="58"/>
        <v>124.65125072089415</v>
      </c>
      <c r="M181" s="359">
        <f t="shared" ca="1" si="74"/>
        <v>1.3576646064642321</v>
      </c>
      <c r="N181" s="357">
        <f t="shared" ca="1" si="75"/>
        <v>77.788451944690323</v>
      </c>
      <c r="O181" s="343"/>
      <c r="P181" s="363">
        <f t="shared" ca="1" si="76"/>
        <v>7</v>
      </c>
      <c r="Q181" s="357">
        <f t="shared" ca="1" si="77"/>
        <v>937.30259740259714</v>
      </c>
      <c r="R181" s="359">
        <f t="shared" ca="1" si="78"/>
        <v>0.46952510924564089</v>
      </c>
      <c r="S181" s="360">
        <f t="shared" ca="1" si="79"/>
        <v>10.718668415617978</v>
      </c>
      <c r="T181" s="357">
        <f t="shared" ca="1" si="59"/>
        <v>105.15013715721237</v>
      </c>
      <c r="U181" s="364">
        <f t="shared" ca="1" si="60"/>
        <v>0</v>
      </c>
      <c r="V181" s="359">
        <f t="shared" ca="1" si="61"/>
        <v>1.2101295524876798</v>
      </c>
      <c r="W181" s="357">
        <f t="shared" ca="1" si="62"/>
        <v>53.456076955297078</v>
      </c>
      <c r="X181" s="343"/>
      <c r="Y181" s="367" t="str">
        <f t="shared" ca="1" si="80"/>
        <v/>
      </c>
      <c r="Z181" s="368" t="str">
        <f t="shared" ca="1" si="81"/>
        <v/>
      </c>
      <c r="AA181" s="369" t="str">
        <f t="shared" ca="1" si="82"/>
        <v/>
      </c>
      <c r="AB181" s="344"/>
      <c r="AC181" s="363" t="e">
        <f t="shared" ca="1" si="83"/>
        <v>#N/A</v>
      </c>
      <c r="AD181" s="376" t="e">
        <f t="shared" ca="1" si="84"/>
        <v>#N/A</v>
      </c>
      <c r="AE181" s="377">
        <f t="shared" ca="1" si="63"/>
        <v>122.13270129409509</v>
      </c>
      <c r="AF181" s="344"/>
      <c r="AG181" s="359">
        <f t="shared" ca="1" si="85"/>
        <v>72.921529694741238</v>
      </c>
      <c r="AH181" s="357">
        <f t="shared" ca="1" si="86"/>
        <v>82.509869486262232</v>
      </c>
    </row>
    <row r="182" spans="1:34" x14ac:dyDescent="0.25">
      <c r="A182" s="402">
        <f t="shared" ca="1" si="64"/>
        <v>0.01</v>
      </c>
      <c r="B182" s="357">
        <f t="shared" ca="1" si="65"/>
        <v>1.7800000000000014</v>
      </c>
      <c r="C182" s="342"/>
      <c r="D182" s="359">
        <f t="shared" ca="1" si="66"/>
        <v>17.424556176995775</v>
      </c>
      <c r="E182" s="360">
        <f t="shared" ca="1" si="67"/>
        <v>70.70319676792252</v>
      </c>
      <c r="F182" s="357">
        <f t="shared" ca="1" si="68"/>
        <v>72.818659635898626</v>
      </c>
      <c r="G182" s="359">
        <f t="shared" ca="1" si="69"/>
        <v>29.723594483355537</v>
      </c>
      <c r="H182" s="360">
        <f t="shared" ca="1" si="70"/>
        <v>137.24494546865947</v>
      </c>
      <c r="I182" s="357">
        <f t="shared" ca="1" si="71"/>
        <v>140.42673223324067</v>
      </c>
      <c r="J182" s="359">
        <f t="shared" ca="1" si="72"/>
        <v>25.227020161488291</v>
      </c>
      <c r="K182" s="360">
        <f t="shared" ca="1" si="73"/>
        <v>123.50161558894328</v>
      </c>
      <c r="L182" s="357">
        <f t="shared" ca="1" si="58"/>
        <v>126.05178142060213</v>
      </c>
      <c r="M182" s="359">
        <f t="shared" ca="1" si="74"/>
        <v>1.35751684052587</v>
      </c>
      <c r="N182" s="357">
        <f t="shared" ca="1" si="75"/>
        <v>77.779985580066381</v>
      </c>
      <c r="O182" s="343"/>
      <c r="P182" s="363">
        <f t="shared" ca="1" si="76"/>
        <v>7</v>
      </c>
      <c r="Q182" s="357">
        <f t="shared" ca="1" si="77"/>
        <v>936.04285714285697</v>
      </c>
      <c r="R182" s="359">
        <f t="shared" ca="1" si="78"/>
        <v>0.46889406470920758</v>
      </c>
      <c r="S182" s="360">
        <f t="shared" ca="1" si="79"/>
        <v>10.713979474970886</v>
      </c>
      <c r="T182" s="357">
        <f t="shared" ca="1" si="59"/>
        <v>105.10413864946439</v>
      </c>
      <c r="U182" s="364">
        <f t="shared" ca="1" si="60"/>
        <v>0</v>
      </c>
      <c r="V182" s="359">
        <f t="shared" ca="1" si="61"/>
        <v>1.2099639012149599</v>
      </c>
      <c r="W182" s="357">
        <f t="shared" ca="1" si="62"/>
        <v>54.007193672387814</v>
      </c>
      <c r="X182" s="343"/>
      <c r="Y182" s="367" t="str">
        <f t="shared" ca="1" si="80"/>
        <v/>
      </c>
      <c r="Z182" s="368" t="str">
        <f t="shared" ca="1" si="81"/>
        <v/>
      </c>
      <c r="AA182" s="369" t="str">
        <f t="shared" ca="1" si="82"/>
        <v/>
      </c>
      <c r="AB182" s="344"/>
      <c r="AC182" s="363" t="e">
        <f t="shared" ca="1" si="83"/>
        <v>#N/A</v>
      </c>
      <c r="AD182" s="376" t="e">
        <f t="shared" ca="1" si="84"/>
        <v>#N/A</v>
      </c>
      <c r="AE182" s="377">
        <f t="shared" ca="1" si="63"/>
        <v>123.50161558894328</v>
      </c>
      <c r="AF182" s="344"/>
      <c r="AG182" s="359">
        <f t="shared" ca="1" si="85"/>
        <v>72.789088789032292</v>
      </c>
      <c r="AH182" s="357">
        <f t="shared" ca="1" si="86"/>
        <v>82.377120681385136</v>
      </c>
    </row>
    <row r="183" spans="1:34" x14ac:dyDescent="0.25">
      <c r="A183" s="402">
        <f t="shared" ca="1" si="64"/>
        <v>0.01</v>
      </c>
      <c r="B183" s="357">
        <f t="shared" ca="1" si="65"/>
        <v>1.7900000000000014</v>
      </c>
      <c r="C183" s="342"/>
      <c r="D183" s="359">
        <f t="shared" ca="1" si="66"/>
        <v>17.408286093787755</v>
      </c>
      <c r="E183" s="360">
        <f t="shared" ca="1" si="67"/>
        <v>70.570563561470166</v>
      </c>
      <c r="F183" s="357">
        <f t="shared" ca="1" si="68"/>
        <v>72.685988100229224</v>
      </c>
      <c r="G183" s="359">
        <f t="shared" ca="1" si="69"/>
        <v>29.897677344293413</v>
      </c>
      <c r="H183" s="360">
        <f t="shared" ca="1" si="70"/>
        <v>137.95065110427416</v>
      </c>
      <c r="I183" s="357">
        <f t="shared" ca="1" si="71"/>
        <v>141.15329698833341</v>
      </c>
      <c r="J183" s="359">
        <f t="shared" ca="1" si="72"/>
        <v>25.525126520626536</v>
      </c>
      <c r="K183" s="360">
        <f t="shared" ca="1" si="73"/>
        <v>124.87759357180795</v>
      </c>
      <c r="L183" s="357">
        <f t="shared" ca="1" si="58"/>
        <v>127.45958363410593</v>
      </c>
      <c r="M183" s="359">
        <f t="shared" ca="1" si="74"/>
        <v>1.3573697348193741</v>
      </c>
      <c r="N183" s="357">
        <f t="shared" ca="1" si="75"/>
        <v>77.771557043941883</v>
      </c>
      <c r="O183" s="343"/>
      <c r="P183" s="363">
        <f t="shared" ca="1" si="76"/>
        <v>7</v>
      </c>
      <c r="Q183" s="357">
        <f t="shared" ca="1" si="77"/>
        <v>934.78311688311669</v>
      </c>
      <c r="R183" s="359">
        <f t="shared" ca="1" si="78"/>
        <v>0.46826302017277427</v>
      </c>
      <c r="S183" s="360">
        <f t="shared" ca="1" si="79"/>
        <v>10.709296844769158</v>
      </c>
      <c r="T183" s="357">
        <f t="shared" ca="1" si="59"/>
        <v>105.05820204718545</v>
      </c>
      <c r="U183" s="364">
        <f t="shared" ca="1" si="60"/>
        <v>0</v>
      </c>
      <c r="V183" s="359">
        <f t="shared" ca="1" si="61"/>
        <v>1.2097974178810087</v>
      </c>
      <c r="W183" s="357">
        <f t="shared" ca="1" si="62"/>
        <v>54.559995317461365</v>
      </c>
      <c r="X183" s="343"/>
      <c r="Y183" s="367" t="str">
        <f t="shared" ca="1" si="80"/>
        <v/>
      </c>
      <c r="Z183" s="368" t="str">
        <f t="shared" ca="1" si="81"/>
        <v/>
      </c>
      <c r="AA183" s="369" t="str">
        <f t="shared" ca="1" si="82"/>
        <v/>
      </c>
      <c r="AB183" s="344"/>
      <c r="AC183" s="363" t="e">
        <f t="shared" ca="1" si="83"/>
        <v>#N/A</v>
      </c>
      <c r="AD183" s="376" t="e">
        <f t="shared" ca="1" si="84"/>
        <v>#N/A</v>
      </c>
      <c r="AE183" s="377">
        <f t="shared" ca="1" si="63"/>
        <v>124.87759357180795</v>
      </c>
      <c r="AF183" s="344"/>
      <c r="AG183" s="359">
        <f t="shared" ca="1" si="85"/>
        <v>72.656322780780187</v>
      </c>
      <c r="AH183" s="357">
        <f t="shared" ca="1" si="86"/>
        <v>82.244047949883338</v>
      </c>
    </row>
    <row r="184" spans="1:34" x14ac:dyDescent="0.25">
      <c r="A184" s="402">
        <f t="shared" ca="1" si="64"/>
        <v>0.01</v>
      </c>
      <c r="B184" s="357">
        <f t="shared" ca="1" si="65"/>
        <v>1.8000000000000014</v>
      </c>
      <c r="C184" s="342"/>
      <c r="D184" s="359">
        <f t="shared" ca="1" si="66"/>
        <v>17.391855960620877</v>
      </c>
      <c r="E184" s="360">
        <f t="shared" ca="1" si="67"/>
        <v>70.437633488403449</v>
      </c>
      <c r="F184" s="357">
        <f t="shared" ca="1" si="68"/>
        <v>72.552993495800294</v>
      </c>
      <c r="G184" s="359">
        <f t="shared" ca="1" si="69"/>
        <v>30.07159590389962</v>
      </c>
      <c r="H184" s="360">
        <f t="shared" ca="1" si="70"/>
        <v>138.6550274391582</v>
      </c>
      <c r="I184" s="357">
        <f t="shared" ca="1" si="71"/>
        <v>141.87853084368032</v>
      </c>
      <c r="J184" s="359">
        <f t="shared" ca="1" si="72"/>
        <v>25.824972886867499</v>
      </c>
      <c r="K184" s="360">
        <f t="shared" ca="1" si="73"/>
        <v>126.26062196452511</v>
      </c>
      <c r="L184" s="357">
        <f t="shared" ca="1" si="58"/>
        <v>128.87464406731127</v>
      </c>
      <c r="M184" s="359">
        <f t="shared" ca="1" si="74"/>
        <v>1.3572232816582113</v>
      </c>
      <c r="N184" s="357">
        <f t="shared" ca="1" si="75"/>
        <v>77.763165895910902</v>
      </c>
      <c r="O184" s="343"/>
      <c r="P184" s="363">
        <f t="shared" ca="1" si="76"/>
        <v>7</v>
      </c>
      <c r="Q184" s="357">
        <f t="shared" ca="1" si="77"/>
        <v>933.52337662337641</v>
      </c>
      <c r="R184" s="359">
        <f t="shared" ca="1" si="78"/>
        <v>0.4676319756363409</v>
      </c>
      <c r="S184" s="360">
        <f t="shared" ca="1" si="79"/>
        <v>10.704620525012794</v>
      </c>
      <c r="T184" s="357">
        <f t="shared" ca="1" si="59"/>
        <v>105.01232735037551</v>
      </c>
      <c r="U184" s="364">
        <f t="shared" ca="1" si="60"/>
        <v>0</v>
      </c>
      <c r="V184" s="359">
        <f t="shared" ca="1" si="61"/>
        <v>1.2096301044380053</v>
      </c>
      <c r="W184" s="357">
        <f t="shared" ca="1" si="62"/>
        <v>55.114461689870232</v>
      </c>
      <c r="X184" s="343"/>
      <c r="Y184" s="367" t="str">
        <f t="shared" ca="1" si="80"/>
        <v/>
      </c>
      <c r="Z184" s="368" t="str">
        <f t="shared" ca="1" si="81"/>
        <v/>
      </c>
      <c r="AA184" s="369" t="str">
        <f t="shared" ca="1" si="82"/>
        <v/>
      </c>
      <c r="AB184" s="344"/>
      <c r="AC184" s="363" t="e">
        <f t="shared" ca="1" si="83"/>
        <v>#N/A</v>
      </c>
      <c r="AD184" s="376" t="e">
        <f t="shared" ca="1" si="84"/>
        <v>#N/A</v>
      </c>
      <c r="AE184" s="377">
        <f t="shared" ca="1" si="63"/>
        <v>126.26062196452511</v>
      </c>
      <c r="AF184" s="344"/>
      <c r="AG184" s="359">
        <f t="shared" ca="1" si="85"/>
        <v>72.523233380405202</v>
      </c>
      <c r="AH184" s="357">
        <f t="shared" ca="1" si="86"/>
        <v>82.110652988781638</v>
      </c>
    </row>
    <row r="185" spans="1:34" x14ac:dyDescent="0.25">
      <c r="A185" s="402">
        <f t="shared" ca="1" si="64"/>
        <v>0.01</v>
      </c>
      <c r="B185" s="357">
        <f t="shared" ca="1" si="65"/>
        <v>1.8100000000000014</v>
      </c>
      <c r="C185" s="342"/>
      <c r="D185" s="359">
        <f t="shared" ca="1" si="66"/>
        <v>17.375266879815964</v>
      </c>
      <c r="E185" s="360">
        <f t="shared" ca="1" si="67"/>
        <v>70.304408084047296</v>
      </c>
      <c r="F185" s="357">
        <f t="shared" ca="1" si="68"/>
        <v>72.419677541349799</v>
      </c>
      <c r="G185" s="359">
        <f t="shared" ca="1" si="69"/>
        <v>30.245348572697779</v>
      </c>
      <c r="H185" s="360">
        <f t="shared" ca="1" si="70"/>
        <v>139.35807151999867</v>
      </c>
      <c r="I185" s="357">
        <f t="shared" ca="1" si="71"/>
        <v>142.60243058257126</v>
      </c>
      <c r="J185" s="359">
        <f t="shared" ca="1" si="72"/>
        <v>26.126557609250487</v>
      </c>
      <c r="K185" s="360">
        <f t="shared" ca="1" si="73"/>
        <v>127.65068745932089</v>
      </c>
      <c r="L185" s="357">
        <f t="shared" ca="1" si="58"/>
        <v>130.29694939386229</v>
      </c>
      <c r="M185" s="359">
        <f t="shared" ca="1" si="74"/>
        <v>1.3570774734828959</v>
      </c>
      <c r="N185" s="357">
        <f t="shared" ca="1" si="75"/>
        <v>77.754811702846823</v>
      </c>
      <c r="O185" s="343"/>
      <c r="P185" s="363">
        <f t="shared" ca="1" si="76"/>
        <v>7</v>
      </c>
      <c r="Q185" s="357">
        <f t="shared" ca="1" si="77"/>
        <v>932.26363636363612</v>
      </c>
      <c r="R185" s="359">
        <f t="shared" ca="1" si="78"/>
        <v>0.46700093109990753</v>
      </c>
      <c r="S185" s="360">
        <f t="shared" ca="1" si="79"/>
        <v>10.699950515701795</v>
      </c>
      <c r="T185" s="357">
        <f t="shared" ca="1" si="59"/>
        <v>104.96651455903462</v>
      </c>
      <c r="U185" s="364">
        <f t="shared" ca="1" si="60"/>
        <v>0</v>
      </c>
      <c r="V185" s="359">
        <f t="shared" ca="1" si="61"/>
        <v>1.2094619628424796</v>
      </c>
      <c r="W185" s="357">
        <f t="shared" ca="1" si="62"/>
        <v>55.670572586346687</v>
      </c>
      <c r="X185" s="343"/>
      <c r="Y185" s="367" t="str">
        <f t="shared" ca="1" si="80"/>
        <v/>
      </c>
      <c r="Z185" s="368" t="str">
        <f t="shared" ca="1" si="81"/>
        <v/>
      </c>
      <c r="AA185" s="369" t="str">
        <f t="shared" ca="1" si="82"/>
        <v/>
      </c>
      <c r="AB185" s="344"/>
      <c r="AC185" s="363" t="e">
        <f t="shared" ca="1" si="83"/>
        <v>#N/A</v>
      </c>
      <c r="AD185" s="376" t="e">
        <f t="shared" ca="1" si="84"/>
        <v>#N/A</v>
      </c>
      <c r="AE185" s="377">
        <f t="shared" ca="1" si="63"/>
        <v>127.65068745932089</v>
      </c>
      <c r="AF185" s="344"/>
      <c r="AG185" s="359">
        <f t="shared" ca="1" si="85"/>
        <v>72.389822302540921</v>
      </c>
      <c r="AH185" s="357">
        <f t="shared" ca="1" si="86"/>
        <v>81.976937499531488</v>
      </c>
    </row>
    <row r="186" spans="1:34" x14ac:dyDescent="0.25">
      <c r="A186" s="402">
        <f t="shared" ca="1" si="64"/>
        <v>0.01</v>
      </c>
      <c r="B186" s="357">
        <f t="shared" ca="1" si="65"/>
        <v>1.8200000000000014</v>
      </c>
      <c r="C186" s="342"/>
      <c r="D186" s="359">
        <f t="shared" ca="1" si="66"/>
        <v>17.358519942529455</v>
      </c>
      <c r="E186" s="360">
        <f t="shared" ca="1" si="67"/>
        <v>70.170888890002729</v>
      </c>
      <c r="F186" s="357">
        <f t="shared" ca="1" si="68"/>
        <v>72.286041959760809</v>
      </c>
      <c r="G186" s="359">
        <f t="shared" ca="1" si="69"/>
        <v>30.418933772123072</v>
      </c>
      <c r="H186" s="360">
        <f t="shared" ca="1" si="70"/>
        <v>140.05978040889869</v>
      </c>
      <c r="I186" s="357">
        <f t="shared" ca="1" si="71"/>
        <v>143.32499300548292</v>
      </c>
      <c r="J186" s="359">
        <f t="shared" ca="1" si="72"/>
        <v>26.429879020974592</v>
      </c>
      <c r="K186" s="360">
        <f t="shared" ca="1" si="73"/>
        <v>129.04777671896537</v>
      </c>
      <c r="L186" s="357">
        <f t="shared" ca="1" si="58"/>
        <v>131.72648625531349</v>
      </c>
      <c r="M186" s="359">
        <f t="shared" ca="1" si="74"/>
        <v>1.3569323028581599</v>
      </c>
      <c r="N186" s="357">
        <f t="shared" ca="1" si="75"/>
        <v>77.746494038740181</v>
      </c>
      <c r="O186" s="343"/>
      <c r="P186" s="363">
        <f t="shared" ca="1" si="76"/>
        <v>7</v>
      </c>
      <c r="Q186" s="357">
        <f t="shared" ca="1" si="77"/>
        <v>931.00389610389584</v>
      </c>
      <c r="R186" s="359">
        <f t="shared" ca="1" si="78"/>
        <v>0.46636988656347422</v>
      </c>
      <c r="S186" s="360">
        <f t="shared" ca="1" si="79"/>
        <v>10.695286816836161</v>
      </c>
      <c r="T186" s="357">
        <f t="shared" ca="1" si="59"/>
        <v>104.92076367316274</v>
      </c>
      <c r="U186" s="364">
        <f t="shared" ca="1" si="60"/>
        <v>0</v>
      </c>
      <c r="V186" s="359">
        <f t="shared" ca="1" si="61"/>
        <v>1.2092929950552782</v>
      </c>
      <c r="W186" s="357">
        <f t="shared" ca="1" si="62"/>
        <v>56.22830780178095</v>
      </c>
      <c r="X186" s="343"/>
      <c r="Y186" s="367" t="str">
        <f t="shared" ca="1" si="80"/>
        <v/>
      </c>
      <c r="Z186" s="368" t="str">
        <f t="shared" ca="1" si="81"/>
        <v/>
      </c>
      <c r="AA186" s="369" t="str">
        <f t="shared" ca="1" si="82"/>
        <v/>
      </c>
      <c r="AB186" s="344"/>
      <c r="AC186" s="363" t="e">
        <f t="shared" ca="1" si="83"/>
        <v>#N/A</v>
      </c>
      <c r="AD186" s="376" t="e">
        <f t="shared" ca="1" si="84"/>
        <v>#N/A</v>
      </c>
      <c r="AE186" s="377">
        <f t="shared" ca="1" si="63"/>
        <v>129.04777671896537</v>
      </c>
      <c r="AF186" s="344"/>
      <c r="AG186" s="359">
        <f t="shared" ca="1" si="85"/>
        <v>72.256091265965722</v>
      </c>
      <c r="AH186" s="357">
        <f t="shared" ca="1" si="86"/>
        <v>81.842903187937779</v>
      </c>
    </row>
    <row r="187" spans="1:34" x14ac:dyDescent="0.25">
      <c r="A187" s="402">
        <f t="shared" ca="1" si="64"/>
        <v>0.01</v>
      </c>
      <c r="B187" s="357">
        <f t="shared" ca="1" si="65"/>
        <v>1.8300000000000014</v>
      </c>
      <c r="C187" s="342"/>
      <c r="D187" s="359">
        <f t="shared" ca="1" si="66"/>
        <v>17.341616229018211</v>
      </c>
      <c r="E187" s="360">
        <f t="shared" ca="1" si="67"/>
        <v>70.037077454028818</v>
      </c>
      <c r="F187" s="357">
        <f t="shared" ca="1" si="68"/>
        <v>72.152088477993345</v>
      </c>
      <c r="G187" s="359">
        <f t="shared" ca="1" si="69"/>
        <v>30.592349934413253</v>
      </c>
      <c r="H187" s="360">
        <f t="shared" ca="1" si="70"/>
        <v>140.76015118343898</v>
      </c>
      <c r="I187" s="357">
        <f t="shared" ca="1" si="71"/>
        <v>144.04621493011953</v>
      </c>
      <c r="J187" s="359">
        <f t="shared" ca="1" si="72"/>
        <v>26.734935439507275</v>
      </c>
      <c r="K187" s="360">
        <f t="shared" ca="1" si="73"/>
        <v>130.45187637692706</v>
      </c>
      <c r="L187" s="357">
        <f t="shared" ca="1" si="58"/>
        <v>133.16324126130183</v>
      </c>
      <c r="M187" s="359">
        <f t="shared" ca="1" si="74"/>
        <v>1.3567877624702029</v>
      </c>
      <c r="N187" s="357">
        <f t="shared" ca="1" si="75"/>
        <v>77.738212484541052</v>
      </c>
      <c r="O187" s="343"/>
      <c r="P187" s="363">
        <f t="shared" ca="1" si="76"/>
        <v>7</v>
      </c>
      <c r="Q187" s="357">
        <f t="shared" ca="1" si="77"/>
        <v>929.74415584415556</v>
      </c>
      <c r="R187" s="359">
        <f t="shared" ca="1" si="78"/>
        <v>0.46573884202704086</v>
      </c>
      <c r="S187" s="360">
        <f t="shared" ca="1" si="79"/>
        <v>10.690629428415891</v>
      </c>
      <c r="T187" s="357">
        <f t="shared" ca="1" si="59"/>
        <v>104.8750746927599</v>
      </c>
      <c r="U187" s="364">
        <f t="shared" ca="1" si="60"/>
        <v>0</v>
      </c>
      <c r="V187" s="359">
        <f t="shared" ca="1" si="61"/>
        <v>1.2091232030415311</v>
      </c>
      <c r="W187" s="357">
        <f t="shared" ca="1" si="62"/>
        <v>56.787647129997225</v>
      </c>
      <c r="X187" s="343"/>
      <c r="Y187" s="367" t="str">
        <f t="shared" ca="1" si="80"/>
        <v/>
      </c>
      <c r="Z187" s="368" t="str">
        <f t="shared" ca="1" si="81"/>
        <v/>
      </c>
      <c r="AA187" s="369" t="str">
        <f t="shared" ca="1" si="82"/>
        <v/>
      </c>
      <c r="AB187" s="344"/>
      <c r="AC187" s="363" t="e">
        <f t="shared" ca="1" si="83"/>
        <v>#N/A</v>
      </c>
      <c r="AD187" s="376" t="e">
        <f t="shared" ca="1" si="84"/>
        <v>#N/A</v>
      </c>
      <c r="AE187" s="377">
        <f t="shared" ca="1" si="63"/>
        <v>130.45187637692706</v>
      </c>
      <c r="AF187" s="344"/>
      <c r="AG187" s="359">
        <f t="shared" ca="1" si="85"/>
        <v>72.122041993533855</v>
      </c>
      <c r="AH187" s="357">
        <f t="shared" ca="1" si="86"/>
        <v>81.708551764085414</v>
      </c>
    </row>
    <row r="188" spans="1:34" x14ac:dyDescent="0.25">
      <c r="A188" s="402">
        <f t="shared" ca="1" si="64"/>
        <v>0.01</v>
      </c>
      <c r="B188" s="357">
        <f t="shared" ca="1" si="65"/>
        <v>1.8400000000000014</v>
      </c>
      <c r="C188" s="342"/>
      <c r="D188" s="359">
        <f t="shared" ca="1" si="66"/>
        <v>17.324556808896453</v>
      </c>
      <c r="E188" s="360">
        <f t="shared" ca="1" si="67"/>
        <v>69.902975329925852</v>
      </c>
      <c r="F188" s="357">
        <f t="shared" ca="1" si="68"/>
        <v>72.017818827016015</v>
      </c>
      <c r="G188" s="359">
        <f t="shared" ca="1" si="69"/>
        <v>30.765595502502219</v>
      </c>
      <c r="H188" s="360">
        <f t="shared" ca="1" si="70"/>
        <v>141.45918093673825</v>
      </c>
      <c r="I188" s="357">
        <f t="shared" ca="1" si="71"/>
        <v>144.76609319145294</v>
      </c>
      <c r="J188" s="359">
        <f t="shared" ca="1" si="72"/>
        <v>27.041725166691851</v>
      </c>
      <c r="K188" s="360">
        <f t="shared" ca="1" si="73"/>
        <v>131.86297303752795</v>
      </c>
      <c r="L188" s="357">
        <f t="shared" ca="1" si="58"/>
        <v>134.60720098971942</v>
      </c>
      <c r="M188" s="359">
        <f t="shared" ca="1" si="74"/>
        <v>1.3566438451240155</v>
      </c>
      <c r="N188" s="357">
        <f t="shared" ca="1" si="75"/>
        <v>77.729966628005798</v>
      </c>
      <c r="O188" s="343"/>
      <c r="P188" s="363">
        <f t="shared" ca="1" si="76"/>
        <v>7</v>
      </c>
      <c r="Q188" s="357">
        <f t="shared" ca="1" si="77"/>
        <v>928.48441558441539</v>
      </c>
      <c r="R188" s="359">
        <f t="shared" ca="1" si="78"/>
        <v>0.4651077974906076</v>
      </c>
      <c r="S188" s="360">
        <f t="shared" ca="1" si="79"/>
        <v>10.685978350440985</v>
      </c>
      <c r="T188" s="357">
        <f t="shared" ca="1" si="59"/>
        <v>104.82944761782606</v>
      </c>
      <c r="U188" s="364">
        <f t="shared" ca="1" si="60"/>
        <v>0</v>
      </c>
      <c r="V188" s="359">
        <f t="shared" ca="1" si="61"/>
        <v>1.2089525887706158</v>
      </c>
      <c r="W188" s="357">
        <f t="shared" ca="1" si="62"/>
        <v>57.348570364527887</v>
      </c>
      <c r="X188" s="343"/>
      <c r="Y188" s="367" t="str">
        <f t="shared" ca="1" si="80"/>
        <v/>
      </c>
      <c r="Z188" s="368" t="str">
        <f t="shared" ca="1" si="81"/>
        <v/>
      </c>
      <c r="AA188" s="369" t="str">
        <f t="shared" ca="1" si="82"/>
        <v/>
      </c>
      <c r="AB188" s="344"/>
      <c r="AC188" s="363" t="e">
        <f t="shared" ca="1" si="83"/>
        <v>#N/A</v>
      </c>
      <c r="AD188" s="376" t="e">
        <f t="shared" ca="1" si="84"/>
        <v>#N/A</v>
      </c>
      <c r="AE188" s="377">
        <f t="shared" ca="1" si="63"/>
        <v>131.86297303752795</v>
      </c>
      <c r="AF188" s="344"/>
      <c r="AG188" s="359">
        <f t="shared" ca="1" si="85"/>
        <v>71.987676212106521</v>
      </c>
      <c r="AH188" s="357">
        <f t="shared" ca="1" si="86"/>
        <v>81.573884942265977</v>
      </c>
    </row>
    <row r="189" spans="1:34" x14ac:dyDescent="0.25">
      <c r="A189" s="402">
        <f t="shared" ca="1" si="64"/>
        <v>0.01</v>
      </c>
      <c r="B189" s="357">
        <f t="shared" ca="1" si="65"/>
        <v>1.8500000000000014</v>
      </c>
      <c r="C189" s="342"/>
      <c r="D189" s="359">
        <f t="shared" ca="1" si="66"/>
        <v>17.307342741385249</v>
      </c>
      <c r="E189" s="360">
        <f t="shared" ca="1" si="67"/>
        <v>69.76858407741976</v>
      </c>
      <c r="F189" s="357">
        <f t="shared" ca="1" si="68"/>
        <v>71.883234741737738</v>
      </c>
      <c r="G189" s="359">
        <f t="shared" ca="1" si="69"/>
        <v>30.938668929916073</v>
      </c>
      <c r="H189" s="360">
        <f t="shared" ca="1" si="70"/>
        <v>142.15686677751245</v>
      </c>
      <c r="I189" s="357">
        <f t="shared" ca="1" si="71"/>
        <v>145.48462464176197</v>
      </c>
      <c r="J189" s="359">
        <f t="shared" ca="1" si="72"/>
        <v>27.350246488853941</v>
      </c>
      <c r="K189" s="360">
        <f t="shared" ca="1" si="73"/>
        <v>133.28105327609921</v>
      </c>
      <c r="L189" s="357">
        <f t="shared" ca="1" si="58"/>
        <v>136.05835198688635</v>
      </c>
      <c r="M189" s="359">
        <f t="shared" ca="1" si="74"/>
        <v>1.3565005437407784</v>
      </c>
      <c r="N189" s="357">
        <f t="shared" ca="1" si="75"/>
        <v>77.721756063547929</v>
      </c>
      <c r="O189" s="343"/>
      <c r="P189" s="363">
        <f t="shared" ca="1" si="76"/>
        <v>7</v>
      </c>
      <c r="Q189" s="357">
        <f t="shared" ca="1" si="77"/>
        <v>927.2246753246751</v>
      </c>
      <c r="R189" s="359">
        <f t="shared" ca="1" si="78"/>
        <v>0.46447675295417423</v>
      </c>
      <c r="S189" s="360">
        <f t="shared" ca="1" si="79"/>
        <v>10.681333582911444</v>
      </c>
      <c r="T189" s="357">
        <f t="shared" ca="1" si="59"/>
        <v>104.78388244836127</v>
      </c>
      <c r="U189" s="364">
        <f t="shared" ca="1" si="60"/>
        <v>0</v>
      </c>
      <c r="V189" s="359">
        <f t="shared" ca="1" si="61"/>
        <v>1.2087811542161278</v>
      </c>
      <c r="W189" s="357">
        <f t="shared" ca="1" si="62"/>
        <v>57.911057299385824</v>
      </c>
      <c r="X189" s="343"/>
      <c r="Y189" s="367" t="str">
        <f t="shared" ca="1" si="80"/>
        <v/>
      </c>
      <c r="Z189" s="368" t="str">
        <f t="shared" ca="1" si="81"/>
        <v/>
      </c>
      <c r="AA189" s="369" t="str">
        <f t="shared" ca="1" si="82"/>
        <v/>
      </c>
      <c r="AB189" s="344"/>
      <c r="AC189" s="363" t="e">
        <f t="shared" ca="1" si="83"/>
        <v>#N/A</v>
      </c>
      <c r="AD189" s="376" t="e">
        <f t="shared" ca="1" si="84"/>
        <v>#N/A</v>
      </c>
      <c r="AE189" s="377">
        <f t="shared" ca="1" si="63"/>
        <v>133.28105327609921</v>
      </c>
      <c r="AF189" s="344"/>
      <c r="AG189" s="359">
        <f t="shared" ca="1" si="85"/>
        <v>71.852995652482775</v>
      </c>
      <c r="AH189" s="357">
        <f t="shared" ca="1" si="86"/>
        <v>81.438904440904324</v>
      </c>
    </row>
    <row r="190" spans="1:34" x14ac:dyDescent="0.25">
      <c r="A190" s="402">
        <f t="shared" ca="1" si="64"/>
        <v>0.01</v>
      </c>
      <c r="B190" s="357">
        <f t="shared" ca="1" si="65"/>
        <v>1.8600000000000014</v>
      </c>
      <c r="C190" s="342"/>
      <c r="D190" s="359">
        <f t="shared" ca="1" si="66"/>
        <v>17.289975075554466</v>
      </c>
      <c r="E190" s="360">
        <f t="shared" ca="1" si="67"/>
        <v>69.633905262047548</v>
      </c>
      <c r="F190" s="357">
        <f t="shared" ca="1" si="68"/>
        <v>71.748337960938912</v>
      </c>
      <c r="G190" s="359">
        <f t="shared" ca="1" si="69"/>
        <v>31.111568680671617</v>
      </c>
      <c r="H190" s="360">
        <f t="shared" ca="1" si="70"/>
        <v>142.85320583013294</v>
      </c>
      <c r="I190" s="357">
        <f t="shared" ca="1" si="71"/>
        <v>146.20180615067133</v>
      </c>
      <c r="J190" s="359">
        <f t="shared" ca="1" si="72"/>
        <v>27.660497676906878</v>
      </c>
      <c r="K190" s="360">
        <f t="shared" ca="1" si="73"/>
        <v>134.70610363913744</v>
      </c>
      <c r="L190" s="357">
        <f t="shared" ca="1" si="58"/>
        <v>137.51668076772435</v>
      </c>
      <c r="M190" s="359">
        <f t="shared" ca="1" si="74"/>
        <v>1.3563578513553329</v>
      </c>
      <c r="N190" s="357">
        <f t="shared" ca="1" si="75"/>
        <v>77.713580392093249</v>
      </c>
      <c r="O190" s="343"/>
      <c r="P190" s="363">
        <f t="shared" ca="1" si="76"/>
        <v>7</v>
      </c>
      <c r="Q190" s="357">
        <f t="shared" ca="1" si="77"/>
        <v>925.96493506493482</v>
      </c>
      <c r="R190" s="359">
        <f t="shared" ca="1" si="78"/>
        <v>0.46384570841774092</v>
      </c>
      <c r="S190" s="360">
        <f t="shared" ca="1" si="79"/>
        <v>10.676695125827267</v>
      </c>
      <c r="T190" s="357">
        <f t="shared" ca="1" si="59"/>
        <v>104.7383791843655</v>
      </c>
      <c r="U190" s="364">
        <f t="shared" ca="1" si="60"/>
        <v>0</v>
      </c>
      <c r="V190" s="359">
        <f t="shared" ca="1" si="61"/>
        <v>1.2086089013558414</v>
      </c>
      <c r="W190" s="357">
        <f t="shared" ca="1" si="62"/>
        <v>58.47508772983462</v>
      </c>
      <c r="X190" s="343"/>
      <c r="Y190" s="367" t="str">
        <f t="shared" ca="1" si="80"/>
        <v/>
      </c>
      <c r="Z190" s="368" t="str">
        <f t="shared" ca="1" si="81"/>
        <v/>
      </c>
      <c r="AA190" s="369" t="str">
        <f t="shared" ca="1" si="82"/>
        <v/>
      </c>
      <c r="AB190" s="344"/>
      <c r="AC190" s="363" t="e">
        <f t="shared" ca="1" si="83"/>
        <v>#N/A</v>
      </c>
      <c r="AD190" s="376" t="e">
        <f t="shared" ca="1" si="84"/>
        <v>#N/A</v>
      </c>
      <c r="AE190" s="377">
        <f t="shared" ca="1" si="63"/>
        <v>134.70610363913744</v>
      </c>
      <c r="AF190" s="344"/>
      <c r="AG190" s="359">
        <f t="shared" ca="1" si="85"/>
        <v>71.718002049330025</v>
      </c>
      <c r="AH190" s="357">
        <f t="shared" ca="1" si="86"/>
        <v>81.303611982485009</v>
      </c>
    </row>
    <row r="191" spans="1:34" x14ac:dyDescent="0.25">
      <c r="A191" s="402">
        <f t="shared" ca="1" si="64"/>
        <v>0.01</v>
      </c>
      <c r="B191" s="357">
        <f t="shared" ca="1" si="65"/>
        <v>1.8700000000000014</v>
      </c>
      <c r="C191" s="342"/>
      <c r="D191" s="359">
        <f t="shared" ca="1" si="66"/>
        <v>17.272454850557697</v>
      </c>
      <c r="E191" s="360">
        <f t="shared" ca="1" si="67"/>
        <v>69.498940455043993</v>
      </c>
      <c r="F191" s="357">
        <f t="shared" ca="1" si="68"/>
        <v>71.613130227202788</v>
      </c>
      <c r="G191" s="359">
        <f t="shared" ca="1" si="69"/>
        <v>31.284293229177194</v>
      </c>
      <c r="H191" s="360">
        <f t="shared" ca="1" si="70"/>
        <v>143.54819523468336</v>
      </c>
      <c r="I191" s="357">
        <f t="shared" ca="1" si="71"/>
        <v>146.91763460518931</v>
      </c>
      <c r="J191" s="359">
        <f t="shared" ca="1" si="72"/>
        <v>27.972476986456122</v>
      </c>
      <c r="K191" s="360">
        <f t="shared" ca="1" si="73"/>
        <v>136.13811064446153</v>
      </c>
      <c r="L191" s="357">
        <f t="shared" ca="1" si="58"/>
        <v>138.98217381593031</v>
      </c>
      <c r="M191" s="359">
        <f t="shared" ca="1" si="74"/>
        <v>1.3562157611137178</v>
      </c>
      <c r="N191" s="357">
        <f t="shared" ca="1" si="75"/>
        <v>77.7054392209387</v>
      </c>
      <c r="O191" s="343"/>
      <c r="P191" s="363">
        <f t="shared" ca="1" si="76"/>
        <v>7</v>
      </c>
      <c r="Q191" s="357">
        <f t="shared" ca="1" si="77"/>
        <v>924.70519480519454</v>
      </c>
      <c r="R191" s="359">
        <f t="shared" ca="1" si="78"/>
        <v>0.46321466388130755</v>
      </c>
      <c r="S191" s="360">
        <f t="shared" ca="1" si="79"/>
        <v>10.672062979188453</v>
      </c>
      <c r="T191" s="357">
        <f t="shared" ca="1" si="59"/>
        <v>104.69293782583873</v>
      </c>
      <c r="U191" s="364">
        <f t="shared" ca="1" si="60"/>
        <v>0</v>
      </c>
      <c r="V191" s="359">
        <f t="shared" ca="1" si="61"/>
        <v>1.2084358321716808</v>
      </c>
      <c r="W191" s="357">
        <f t="shared" ca="1" si="62"/>
        <v>59.040641453156603</v>
      </c>
      <c r="X191" s="343"/>
      <c r="Y191" s="367" t="str">
        <f t="shared" ca="1" si="80"/>
        <v/>
      </c>
      <c r="Z191" s="368" t="str">
        <f t="shared" ca="1" si="81"/>
        <v/>
      </c>
      <c r="AA191" s="369" t="str">
        <f t="shared" ca="1" si="82"/>
        <v/>
      </c>
      <c r="AB191" s="344"/>
      <c r="AC191" s="363" t="e">
        <f t="shared" ca="1" si="83"/>
        <v>#N/A</v>
      </c>
      <c r="AD191" s="376" t="e">
        <f t="shared" ca="1" si="84"/>
        <v>#N/A</v>
      </c>
      <c r="AE191" s="377">
        <f t="shared" ca="1" si="63"/>
        <v>136.13811064446153</v>
      </c>
      <c r="AF191" s="344"/>
      <c r="AG191" s="359">
        <f t="shared" ca="1" si="85"/>
        <v>71.582697141114792</v>
      </c>
      <c r="AH191" s="357">
        <f t="shared" ca="1" si="86"/>
        <v>81.168009293478846</v>
      </c>
    </row>
    <row r="192" spans="1:34" x14ac:dyDescent="0.25">
      <c r="A192" s="402">
        <f t="shared" ca="1" si="64"/>
        <v>0.01</v>
      </c>
      <c r="B192" s="357">
        <f t="shared" ca="1" si="65"/>
        <v>1.8800000000000014</v>
      </c>
      <c r="C192" s="342"/>
      <c r="D192" s="359">
        <f t="shared" ca="1" si="66"/>
        <v>17.254783095860393</v>
      </c>
      <c r="E192" s="360">
        <f t="shared" ca="1" si="67"/>
        <v>69.36369123322936</v>
      </c>
      <c r="F192" s="357">
        <f t="shared" ca="1" si="68"/>
        <v>71.477613286846449</v>
      </c>
      <c r="G192" s="359">
        <f t="shared" ca="1" si="69"/>
        <v>31.456841060135798</v>
      </c>
      <c r="H192" s="360">
        <f t="shared" ca="1" si="70"/>
        <v>144.24183214701566</v>
      </c>
      <c r="I192" s="357">
        <f t="shared" ca="1" si="71"/>
        <v>147.63210690974537</v>
      </c>
      <c r="J192" s="359">
        <f t="shared" ca="1" si="72"/>
        <v>28.286182657902689</v>
      </c>
      <c r="K192" s="360">
        <f t="shared" ca="1" si="73"/>
        <v>137.57706078137002</v>
      </c>
      <c r="L192" s="357">
        <f t="shared" ca="1" si="58"/>
        <v>140.45481758415059</v>
      </c>
      <c r="M192" s="359">
        <f t="shared" ca="1" si="74"/>
        <v>1.3560742662707752</v>
      </c>
      <c r="N192" s="357">
        <f t="shared" ca="1" si="75"/>
        <v>77.697332163615229</v>
      </c>
      <c r="O192" s="343"/>
      <c r="P192" s="363">
        <f t="shared" ca="1" si="76"/>
        <v>7</v>
      </c>
      <c r="Q192" s="357">
        <f t="shared" ca="1" si="77"/>
        <v>923.44545454545437</v>
      </c>
      <c r="R192" s="359">
        <f t="shared" ca="1" si="78"/>
        <v>0.4625836193448743</v>
      </c>
      <c r="S192" s="360">
        <f t="shared" ca="1" si="79"/>
        <v>10.667437142995004</v>
      </c>
      <c r="T192" s="357">
        <f t="shared" ca="1" si="59"/>
        <v>104.64755837278099</v>
      </c>
      <c r="U192" s="364">
        <f t="shared" ca="1" si="60"/>
        <v>0</v>
      </c>
      <c r="V192" s="359">
        <f t="shared" ca="1" si="61"/>
        <v>1.2082619486496817</v>
      </c>
      <c r="W192" s="357">
        <f t="shared" ca="1" si="62"/>
        <v>59.607698269418883</v>
      </c>
      <c r="X192" s="343"/>
      <c r="Y192" s="367" t="str">
        <f t="shared" ca="1" si="80"/>
        <v/>
      </c>
      <c r="Z192" s="368" t="str">
        <f t="shared" ca="1" si="81"/>
        <v/>
      </c>
      <c r="AA192" s="369" t="str">
        <f t="shared" ca="1" si="82"/>
        <v/>
      </c>
      <c r="AB192" s="344"/>
      <c r="AC192" s="363" t="e">
        <f t="shared" ca="1" si="83"/>
        <v>#N/A</v>
      </c>
      <c r="AD192" s="376" t="e">
        <f t="shared" ca="1" si="84"/>
        <v>#N/A</v>
      </c>
      <c r="AE192" s="377">
        <f t="shared" ca="1" si="63"/>
        <v>137.57706078137002</v>
      </c>
      <c r="AF192" s="344"/>
      <c r="AG192" s="359">
        <f t="shared" ca="1" si="85"/>
        <v>71.447082670032927</v>
      </c>
      <c r="AH192" s="357">
        <f t="shared" ca="1" si="86"/>
        <v>81.032098104269338</v>
      </c>
    </row>
    <row r="193" spans="1:34" x14ac:dyDescent="0.25">
      <c r="A193" s="402">
        <f t="shared" ca="1" si="64"/>
        <v>0.01</v>
      </c>
      <c r="B193" s="357">
        <f t="shared" ca="1" si="65"/>
        <v>1.8900000000000015</v>
      </c>
      <c r="C193" s="342"/>
      <c r="D193" s="359">
        <f t="shared" ca="1" si="66"/>
        <v>17.236960831461204</v>
      </c>
      <c r="E193" s="360">
        <f t="shared" ca="1" si="67"/>
        <v>69.228159178898082</v>
      </c>
      <c r="F193" s="357">
        <f t="shared" ca="1" si="68"/>
        <v>71.34178888985177</v>
      </c>
      <c r="G193" s="359">
        <f t="shared" ca="1" si="69"/>
        <v>31.629210668450408</v>
      </c>
      <c r="H193" s="360">
        <f t="shared" ca="1" si="70"/>
        <v>144.93411373880463</v>
      </c>
      <c r="I193" s="357">
        <f t="shared" ca="1" si="71"/>
        <v>148.34521998622665</v>
      </c>
      <c r="J193" s="359">
        <f t="shared" ca="1" si="72"/>
        <v>28.601612916545619</v>
      </c>
      <c r="K193" s="360">
        <f t="shared" ca="1" si="73"/>
        <v>139.02294051079912</v>
      </c>
      <c r="L193" s="357">
        <f t="shared" ca="1" si="58"/>
        <v>141.93459849415541</v>
      </c>
      <c r="M193" s="359">
        <f t="shared" ca="1" si="74"/>
        <v>1.3559333601878205</v>
      </c>
      <c r="N193" s="357">
        <f t="shared" ca="1" si="75"/>
        <v>77.689258839754203</v>
      </c>
      <c r="O193" s="343"/>
      <c r="P193" s="363">
        <f t="shared" ca="1" si="76"/>
        <v>7</v>
      </c>
      <c r="Q193" s="357">
        <f t="shared" ca="1" si="77"/>
        <v>922.18571428571408</v>
      </c>
      <c r="R193" s="359">
        <f t="shared" ca="1" si="78"/>
        <v>0.46195257480844093</v>
      </c>
      <c r="S193" s="360">
        <f t="shared" ca="1" si="79"/>
        <v>10.662817617246919</v>
      </c>
      <c r="T193" s="357">
        <f t="shared" ca="1" si="59"/>
        <v>104.60224082519228</v>
      </c>
      <c r="U193" s="364">
        <f t="shared" ca="1" si="60"/>
        <v>0</v>
      </c>
      <c r="V193" s="359">
        <f t="shared" ca="1" si="61"/>
        <v>1.2080872527799593</v>
      </c>
      <c r="W193" s="357">
        <f t="shared" ca="1" si="62"/>
        <v>60.176237982237112</v>
      </c>
      <c r="X193" s="343"/>
      <c r="Y193" s="367" t="str">
        <f t="shared" ca="1" si="80"/>
        <v/>
      </c>
      <c r="Z193" s="368" t="str">
        <f t="shared" ca="1" si="81"/>
        <v/>
      </c>
      <c r="AA193" s="369" t="str">
        <f t="shared" ca="1" si="82"/>
        <v/>
      </c>
      <c r="AB193" s="344"/>
      <c r="AC193" s="363" t="e">
        <f t="shared" ca="1" si="83"/>
        <v>#N/A</v>
      </c>
      <c r="AD193" s="376" t="e">
        <f t="shared" ca="1" si="84"/>
        <v>#N/A</v>
      </c>
      <c r="AE193" s="377">
        <f t="shared" ca="1" si="63"/>
        <v>139.02294051079912</v>
      </c>
      <c r="AF193" s="344"/>
      <c r="AG193" s="359">
        <f t="shared" ca="1" si="85"/>
        <v>71.31116038193997</v>
      </c>
      <c r="AH193" s="357">
        <f t="shared" ca="1" si="86"/>
        <v>80.895880149079034</v>
      </c>
    </row>
    <row r="194" spans="1:34" x14ac:dyDescent="0.25">
      <c r="A194" s="402">
        <f t="shared" ca="1" si="64"/>
        <v>0.01</v>
      </c>
      <c r="B194" s="357">
        <f t="shared" ca="1" si="65"/>
        <v>1.9000000000000015</v>
      </c>
      <c r="C194" s="342"/>
      <c r="D194" s="359">
        <f t="shared" ca="1" si="66"/>
        <v>17.218989068106943</v>
      </c>
      <c r="E194" s="360">
        <f t="shared" ca="1" si="67"/>
        <v>69.092345879708631</v>
      </c>
      <c r="F194" s="357">
        <f t="shared" ca="1" si="68"/>
        <v>71.205658789796175</v>
      </c>
      <c r="G194" s="359">
        <f t="shared" ca="1" si="69"/>
        <v>31.801400559131476</v>
      </c>
      <c r="H194" s="360">
        <f t="shared" ca="1" si="70"/>
        <v>145.6250371976017</v>
      </c>
      <c r="I194" s="357">
        <f t="shared" ca="1" si="71"/>
        <v>149.05697077401382</v>
      </c>
      <c r="J194" s="359">
        <f t="shared" ca="1" si="72"/>
        <v>28.918765972683527</v>
      </c>
      <c r="K194" s="360">
        <f t="shared" ca="1" si="73"/>
        <v>140.47573626548115</v>
      </c>
      <c r="L194" s="357">
        <f t="shared" ca="1" si="58"/>
        <v>143.42150293701377</v>
      </c>
      <c r="M194" s="359">
        <f t="shared" ca="1" si="74"/>
        <v>1.3557930363303734</v>
      </c>
      <c r="N194" s="357">
        <f t="shared" ca="1" si="75"/>
        <v>77.68121887495748</v>
      </c>
      <c r="O194" s="343"/>
      <c r="P194" s="363">
        <f t="shared" ca="1" si="76"/>
        <v>7</v>
      </c>
      <c r="Q194" s="357">
        <f t="shared" ca="1" si="77"/>
        <v>920.9259740259738</v>
      </c>
      <c r="R194" s="359">
        <f t="shared" ca="1" si="78"/>
        <v>0.46132153027200762</v>
      </c>
      <c r="S194" s="360">
        <f t="shared" ca="1" si="79"/>
        <v>10.658204401944198</v>
      </c>
      <c r="T194" s="357">
        <f t="shared" ca="1" si="59"/>
        <v>104.5569851830726</v>
      </c>
      <c r="U194" s="364">
        <f t="shared" ca="1" si="60"/>
        <v>0</v>
      </c>
      <c r="V194" s="359">
        <f t="shared" ca="1" si="61"/>
        <v>1.2079117465566758</v>
      </c>
      <c r="W194" s="357">
        <f t="shared" ca="1" si="62"/>
        <v>60.746240399537207</v>
      </c>
      <c r="X194" s="343"/>
      <c r="Y194" s="367" t="str">
        <f t="shared" ca="1" si="80"/>
        <v/>
      </c>
      <c r="Z194" s="368" t="str">
        <f t="shared" ca="1" si="81"/>
        <v/>
      </c>
      <c r="AA194" s="369" t="str">
        <f t="shared" ca="1" si="82"/>
        <v/>
      </c>
      <c r="AB194" s="344"/>
      <c r="AC194" s="363" t="e">
        <f t="shared" ca="1" si="83"/>
        <v>#N/A</v>
      </c>
      <c r="AD194" s="376" t="e">
        <f t="shared" ca="1" si="84"/>
        <v>#N/A</v>
      </c>
      <c r="AE194" s="377">
        <f t="shared" ca="1" si="63"/>
        <v>140.47573626548115</v>
      </c>
      <c r="AF194" s="344"/>
      <c r="AG194" s="359">
        <f t="shared" ca="1" si="85"/>
        <v>71.174932026281255</v>
      </c>
      <c r="AH194" s="357">
        <f t="shared" ca="1" si="86"/>
        <v>80.75935716589602</v>
      </c>
    </row>
    <row r="195" spans="1:34" x14ac:dyDescent="0.25">
      <c r="A195" s="402">
        <f t="shared" ca="1" si="64"/>
        <v>0.01</v>
      </c>
      <c r="B195" s="357">
        <f t="shared" ca="1" si="65"/>
        <v>1.9100000000000015</v>
      </c>
      <c r="C195" s="342"/>
      <c r="D195" s="359">
        <f t="shared" ca="1" si="66"/>
        <v>17.200868807501362</v>
      </c>
      <c r="E195" s="360">
        <f t="shared" ca="1" si="67"/>
        <v>68.956252928574301</v>
      </c>
      <c r="F195" s="357">
        <f t="shared" ca="1" si="68"/>
        <v>71.069224743783337</v>
      </c>
      <c r="G195" s="359">
        <f t="shared" ca="1" si="69"/>
        <v>31.97340924720649</v>
      </c>
      <c r="H195" s="360">
        <f t="shared" ca="1" si="70"/>
        <v>146.31459972688745</v>
      </c>
      <c r="I195" s="357">
        <f t="shared" ca="1" si="71"/>
        <v>149.76735623001645</v>
      </c>
      <c r="J195" s="359">
        <f t="shared" ca="1" si="72"/>
        <v>29.237640021715215</v>
      </c>
      <c r="K195" s="360">
        <f t="shared" ca="1" si="73"/>
        <v>141.9354344501036</v>
      </c>
      <c r="L195" s="357">
        <f t="shared" ca="1" si="58"/>
        <v>144.91551727326876</v>
      </c>
      <c r="M195" s="359">
        <f t="shared" ca="1" si="74"/>
        <v>1.3556532882659496</v>
      </c>
      <c r="N195" s="357">
        <f t="shared" ca="1" si="75"/>
        <v>77.673211900670879</v>
      </c>
      <c r="O195" s="343"/>
      <c r="P195" s="363">
        <f t="shared" ca="1" si="76"/>
        <v>7</v>
      </c>
      <c r="Q195" s="357">
        <f t="shared" ca="1" si="77"/>
        <v>919.66623376623352</v>
      </c>
      <c r="R195" s="359">
        <f t="shared" ca="1" si="78"/>
        <v>0.46069048573557425</v>
      </c>
      <c r="S195" s="360">
        <f t="shared" ca="1" si="79"/>
        <v>10.653597497086842</v>
      </c>
      <c r="T195" s="357">
        <f t="shared" ca="1" si="59"/>
        <v>104.51179144642192</v>
      </c>
      <c r="U195" s="364">
        <f t="shared" ca="1" si="60"/>
        <v>0</v>
      </c>
      <c r="V195" s="359">
        <f t="shared" ca="1" si="61"/>
        <v>1.207735431978002</v>
      </c>
      <c r="W195" s="357">
        <f t="shared" ca="1" si="62"/>
        <v>61.317685334314447</v>
      </c>
      <c r="X195" s="343"/>
      <c r="Y195" s="367" t="str">
        <f t="shared" ca="1" si="80"/>
        <v/>
      </c>
      <c r="Z195" s="368" t="str">
        <f t="shared" ca="1" si="81"/>
        <v/>
      </c>
      <c r="AA195" s="369" t="str">
        <f t="shared" ca="1" si="82"/>
        <v/>
      </c>
      <c r="AB195" s="344"/>
      <c r="AC195" s="363" t="e">
        <f t="shared" ca="1" si="83"/>
        <v>#N/A</v>
      </c>
      <c r="AD195" s="376" t="e">
        <f t="shared" ca="1" si="84"/>
        <v>#N/A</v>
      </c>
      <c r="AE195" s="377">
        <f t="shared" ca="1" si="63"/>
        <v>141.9354344501036</v>
      </c>
      <c r="AF195" s="344"/>
      <c r="AG195" s="359">
        <f t="shared" ca="1" si="85"/>
        <v>71.038399356021941</v>
      </c>
      <c r="AH195" s="357">
        <f t="shared" ca="1" si="86"/>
        <v>80.622530896400249</v>
      </c>
    </row>
    <row r="196" spans="1:34" x14ac:dyDescent="0.25">
      <c r="A196" s="402">
        <f t="shared" ca="1" si="64"/>
        <v>0.01</v>
      </c>
      <c r="B196" s="357">
        <f t="shared" ca="1" si="65"/>
        <v>1.9200000000000015</v>
      </c>
      <c r="C196" s="342"/>
      <c r="D196" s="359">
        <f t="shared" ca="1" si="66"/>
        <v>17.182601042507926</v>
      </c>
      <c r="E196" s="360">
        <f t="shared" ca="1" si="67"/>
        <v>68.819881923554917</v>
      </c>
      <c r="F196" s="357">
        <f t="shared" ca="1" si="68"/>
        <v>70.932488512373752</v>
      </c>
      <c r="G196" s="359">
        <f t="shared" ca="1" si="69"/>
        <v>32.145235257631569</v>
      </c>
      <c r="H196" s="360">
        <f t="shared" ca="1" si="70"/>
        <v>147.00279854612299</v>
      </c>
      <c r="I196" s="357">
        <f t="shared" ca="1" si="71"/>
        <v>150.47637332870733</v>
      </c>
      <c r="J196" s="359">
        <f t="shared" ca="1" si="72"/>
        <v>29.558233244239407</v>
      </c>
      <c r="K196" s="360">
        <f t="shared" ca="1" si="73"/>
        <v>143.40202144146866</v>
      </c>
      <c r="L196" s="357">
        <f t="shared" ref="L196:L259" ca="1" si="87">SQRT(pos_x^2+pos_z^2)</f>
        <v>146.41662783311293</v>
      </c>
      <c r="M196" s="359">
        <f t="shared" ca="1" si="74"/>
        <v>1.355514109661913</v>
      </c>
      <c r="N196" s="357">
        <f t="shared" ca="1" si="75"/>
        <v>77.665237554061065</v>
      </c>
      <c r="O196" s="343"/>
      <c r="P196" s="363">
        <f t="shared" ca="1" si="76"/>
        <v>7</v>
      </c>
      <c r="Q196" s="357">
        <f t="shared" ca="1" si="77"/>
        <v>918.40649350649323</v>
      </c>
      <c r="R196" s="359">
        <f t="shared" ca="1" si="78"/>
        <v>0.46005944119914094</v>
      </c>
      <c r="S196" s="360">
        <f t="shared" ca="1" si="79"/>
        <v>10.648996902674851</v>
      </c>
      <c r="T196" s="357">
        <f t="shared" ref="T196:T259" ca="1" si="88">m*g</f>
        <v>104.46665961524029</v>
      </c>
      <c r="U196" s="364">
        <f t="shared" ref="U196:U259" ca="1" si="89">IF(pos_xz&lt;L_rampe,Poids*COS(Beta),0)</f>
        <v>0</v>
      </c>
      <c r="V196" s="359">
        <f t="shared" ref="V196:V259" ca="1" si="90">Rho_moyen*(20000-Alt_rampe-pos_z)/(20000+Alt_rampe+pos_z)</f>
        <v>1.2075583110460872</v>
      </c>
      <c r="W196" s="357">
        <f t="shared" ref="W196:W259" ca="1" si="91">1/2*Rho*Sref*Cx*vit_xz^2</f>
        <v>61.890552605390575</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143.40202144146866</v>
      </c>
      <c r="AF196" s="344"/>
      <c r="AG196" s="359">
        <f t="shared" ca="1" si="85"/>
        <v>70.901564127576989</v>
      </c>
      <c r="AH196" s="357">
        <f t="shared" ca="1" si="86"/>
        <v>80.485403085889942</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17.164186757346538</v>
      </c>
      <c r="E197" s="360">
        <f t="shared" ref="E197:E260" ca="1" si="96">IF(AND(L196&lt;L_rampe,Poussee&lt;Poids*SIN(M196)),0,(-W196+Poussee)/m*SIN(M196)+U196/m*COS(M196)-Poids/m)</f>
        <v>68.683234467749557</v>
      </c>
      <c r="F197" s="357">
        <f t="shared" ref="F197:F260" ca="1" si="97">SQRT(acc_x^2+acc_z^2)</f>
        <v>70.795451859515182</v>
      </c>
      <c r="G197" s="359">
        <f t="shared" ref="G197:G260" ca="1" si="98">G196+acc_x*pas</f>
        <v>32.316877125205032</v>
      </c>
      <c r="H197" s="360">
        <f t="shared" ref="H197:H260" ca="1" si="99">H196+acc_z*pas</f>
        <v>147.68963089080049</v>
      </c>
      <c r="I197" s="357">
        <f t="shared" ref="I197:I260" ca="1" si="100">SQRT(vit_x^2+vit_z^2)</f>
        <v>151.18401906215647</v>
      </c>
      <c r="J197" s="359">
        <f t="shared" ref="J197:J260" ca="1" si="101">J196+0.5*(vit_x+G196)*pas*(K196&gt;=0)</f>
        <v>29.88054380615359</v>
      </c>
      <c r="K197" s="360">
        <f t="shared" ref="K197:K260" ca="1" si="102">K196+0.5*(vit_z+H196)*pas</f>
        <v>144.87548358865328</v>
      </c>
      <c r="L197" s="357">
        <f t="shared" ca="1" si="87"/>
        <v>147.92482091656427</v>
      </c>
      <c r="M197" s="359">
        <f t="shared" ref="M197:M260" ca="1" si="103">IF(AND(L196&gt;L_rampe,G197&gt;0),ATAN2(G197,H197),$M$4)</f>
        <v>1.3553754942833811</v>
      </c>
      <c r="N197" s="357">
        <f t="shared" ref="N197:N260" ca="1" si="104">DEGREES(Beta)</f>
        <v>77.657295477895573</v>
      </c>
      <c r="O197" s="343"/>
      <c r="P197" s="363">
        <f t="shared" ref="P197:P260" ca="1" si="105">MATCH(t-pas/2-T_ini,CdP_t)</f>
        <v>7</v>
      </c>
      <c r="Q197" s="357">
        <f t="shared" ref="Q197:Q260" ca="1" si="106">(INDEX(CdP,2,i_P+1)-INDEX(CdP,2,i_P+0))/(INDEX(CdP,1,i_P+1)-INDEX(CdP,1,i_P+0))*(t-pas/2-T_ini-INDEX(CdP,1,i_P+0))+INDEX(CdP,2,i_P+0)</f>
        <v>917.14675324675295</v>
      </c>
      <c r="R197" s="359">
        <f t="shared" ref="R197:R260" ca="1" si="107">Poussee/(g*ISP)</f>
        <v>0.45942839666270757</v>
      </c>
      <c r="S197" s="360">
        <f t="shared" ref="S197:S260" ca="1" si="108">S196-Débit*pas</f>
        <v>10.644402618708224</v>
      </c>
      <c r="T197" s="357">
        <f t="shared" ca="1" si="88"/>
        <v>104.42158968952768</v>
      </c>
      <c r="U197" s="364">
        <f t="shared" ca="1" si="89"/>
        <v>0</v>
      </c>
      <c r="V197" s="359">
        <f t="shared" ca="1" si="90"/>
        <v>1.2073803857670224</v>
      </c>
      <c r="W197" s="357">
        <f t="shared" ca="1" si="91"/>
        <v>62.464822038168457</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144.87548358865328</v>
      </c>
      <c r="AF197" s="344"/>
      <c r="AG197" s="359">
        <f t="shared" ref="AG197:AG260" ca="1" si="114">IF(AND(L196&lt;L_rampe,Poussee&lt;Poids*SIN(M196)),0,(-W196+Poussee)/m-Poids*SIN(M196)/m)</f>
        <v>70.764428100740858</v>
      </c>
      <c r="AH197" s="357">
        <f t="shared" ref="AH197:AH260" ca="1" si="115">IF(AND(L196&lt;L_rampe,Poussee&lt;Poids*SIN(M196)), g*SIN(M196), (-W196+Poussee)/m)</f>
        <v>80.347975483207904</v>
      </c>
    </row>
    <row r="198" spans="1:34" x14ac:dyDescent="0.25">
      <c r="A198" s="402">
        <f t="shared" ca="1" si="93"/>
        <v>0.01</v>
      </c>
      <c r="B198" s="357">
        <f t="shared" ca="1" si="94"/>
        <v>1.9400000000000015</v>
      </c>
      <c r="C198" s="342"/>
      <c r="D198" s="359">
        <f t="shared" ca="1" si="95"/>
        <v>17.145626927784956</v>
      </c>
      <c r="E198" s="360">
        <f t="shared" ca="1" si="96"/>
        <v>68.546312169190259</v>
      </c>
      <c r="F198" s="357">
        <f t="shared" ca="1" si="97"/>
        <v>70.658116552473047</v>
      </c>
      <c r="G198" s="359">
        <f t="shared" ca="1" si="98"/>
        <v>32.488333394482879</v>
      </c>
      <c r="H198" s="360">
        <f t="shared" ca="1" si="99"/>
        <v>148.37509401249238</v>
      </c>
      <c r="I198" s="357">
        <f t="shared" ca="1" si="100"/>
        <v>151.89029044006409</v>
      </c>
      <c r="J198" s="359">
        <f t="shared" ca="1" si="101"/>
        <v>30.204569858752031</v>
      </c>
      <c r="K198" s="360">
        <f t="shared" ca="1" si="102"/>
        <v>146.35580721316975</v>
      </c>
      <c r="L198" s="357">
        <f t="shared" ca="1" si="87"/>
        <v>149.44008279364255</v>
      </c>
      <c r="M198" s="359">
        <f t="shared" ca="1" si="103"/>
        <v>1.3552374359911881</v>
      </c>
      <c r="N198" s="357">
        <f t="shared" ca="1" si="104"/>
        <v>77.649385320426134</v>
      </c>
      <c r="O198" s="343"/>
      <c r="P198" s="363">
        <f t="shared" ca="1" si="105"/>
        <v>7</v>
      </c>
      <c r="Q198" s="357">
        <f t="shared" ca="1" si="106"/>
        <v>915.88701298701278</v>
      </c>
      <c r="R198" s="359">
        <f t="shared" ca="1" si="107"/>
        <v>0.45879735212627432</v>
      </c>
      <c r="S198" s="360">
        <f t="shared" ca="1" si="108"/>
        <v>10.639814645186961</v>
      </c>
      <c r="T198" s="357">
        <f t="shared" ca="1" si="88"/>
        <v>104.37658166928409</v>
      </c>
      <c r="U198" s="364">
        <f t="shared" ca="1" si="89"/>
        <v>0</v>
      </c>
      <c r="V198" s="359">
        <f t="shared" ca="1" si="90"/>
        <v>1.2072016581508065</v>
      </c>
      <c r="W198" s="357">
        <f t="shared" ca="1" si="91"/>
        <v>63.04047346538416</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146.35580721316975</v>
      </c>
      <c r="AF198" s="344"/>
      <c r="AG198" s="359">
        <f t="shared" ca="1" si="114"/>
        <v>70.626993038617428</v>
      </c>
      <c r="AH198" s="357">
        <f t="shared" ca="1" si="115"/>
        <v>80.210249840667984</v>
      </c>
    </row>
    <row r="199" spans="1:34" x14ac:dyDescent="0.25">
      <c r="A199" s="402">
        <f t="shared" ca="1" si="93"/>
        <v>0.01</v>
      </c>
      <c r="B199" s="357">
        <f t="shared" ca="1" si="94"/>
        <v>1.9500000000000015</v>
      </c>
      <c r="C199" s="342"/>
      <c r="D199" s="359">
        <f t="shared" ca="1" si="95"/>
        <v>17.126922521324431</v>
      </c>
      <c r="E199" s="360">
        <f t="shared" ca="1" si="96"/>
        <v>68.409116640736372</v>
      </c>
      <c r="F199" s="357">
        <f t="shared" ca="1" si="97"/>
        <v>70.520484361760623</v>
      </c>
      <c r="G199" s="359">
        <f t="shared" ca="1" si="98"/>
        <v>32.659602619696123</v>
      </c>
      <c r="H199" s="360">
        <f t="shared" ca="1" si="99"/>
        <v>149.05918517889975</v>
      </c>
      <c r="I199" s="357">
        <f t="shared" ca="1" si="100"/>
        <v>152.5951844897931</v>
      </c>
      <c r="J199" s="359">
        <f t="shared" ca="1" si="101"/>
        <v>30.530309538822927</v>
      </c>
      <c r="K199" s="360">
        <f t="shared" ca="1" si="102"/>
        <v>147.8429786091267</v>
      </c>
      <c r="L199" s="357">
        <f t="shared" ca="1" si="87"/>
        <v>150.96239970454576</v>
      </c>
      <c r="M199" s="359">
        <f t="shared" ca="1" si="103"/>
        <v>1.3550999287398986</v>
      </c>
      <c r="N199" s="357">
        <f t="shared" ca="1" si="104"/>
        <v>77.641506735274803</v>
      </c>
      <c r="O199" s="343"/>
      <c r="P199" s="363">
        <f t="shared" ca="1" si="105"/>
        <v>7</v>
      </c>
      <c r="Q199" s="357">
        <f t="shared" ca="1" si="106"/>
        <v>914.6272727272725</v>
      </c>
      <c r="R199" s="359">
        <f t="shared" ca="1" si="107"/>
        <v>0.45816630758984095</v>
      </c>
      <c r="S199" s="360">
        <f t="shared" ca="1" si="108"/>
        <v>10.635232982111063</v>
      </c>
      <c r="T199" s="357">
        <f t="shared" ca="1" si="88"/>
        <v>104.33163555450953</v>
      </c>
      <c r="U199" s="364">
        <f t="shared" ca="1" si="89"/>
        <v>0</v>
      </c>
      <c r="V199" s="359">
        <f t="shared" ca="1" si="90"/>
        <v>1.2070221302113127</v>
      </c>
      <c r="W199" s="357">
        <f t="shared" ca="1" si="91"/>
        <v>63.617486727856893</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147.8429786091267</v>
      </c>
      <c r="AF199" s="344"/>
      <c r="AG199" s="359">
        <f t="shared" ca="1" si="114"/>
        <v>70.489260707549448</v>
      </c>
      <c r="AH199" s="357">
        <f t="shared" ca="1" si="115"/>
        <v>80.072227913981337</v>
      </c>
    </row>
    <row r="200" spans="1:34" x14ac:dyDescent="0.25">
      <c r="A200" s="402">
        <f t="shared" ca="1" si="93"/>
        <v>0.01</v>
      </c>
      <c r="B200" s="357">
        <f t="shared" ca="1" si="94"/>
        <v>1.9600000000000015</v>
      </c>
      <c r="C200" s="342"/>
      <c r="D200" s="359">
        <f t="shared" ca="1" si="95"/>
        <v>17.108074497380262</v>
      </c>
      <c r="E200" s="360">
        <f t="shared" ca="1" si="96"/>
        <v>68.271649499970067</v>
      </c>
      <c r="F200" s="357">
        <f t="shared" ca="1" si="97"/>
        <v>70.382557061069306</v>
      </c>
      <c r="G200" s="359">
        <f t="shared" ca="1" si="98"/>
        <v>32.830683364669923</v>
      </c>
      <c r="H200" s="360">
        <f t="shared" ca="1" si="99"/>
        <v>149.74190167389946</v>
      </c>
      <c r="I200" s="357">
        <f t="shared" ca="1" si="100"/>
        <v>153.29869825640068</v>
      </c>
      <c r="J200" s="359">
        <f t="shared" ca="1" si="101"/>
        <v>30.857760968744756</v>
      </c>
      <c r="K200" s="360">
        <f t="shared" ca="1" si="102"/>
        <v>149.33698404339069</v>
      </c>
      <c r="L200" s="357">
        <f t="shared" ca="1" si="87"/>
        <v>152.491757859827</v>
      </c>
      <c r="M200" s="359">
        <f t="shared" ca="1" si="103"/>
        <v>1.3549629665758758</v>
      </c>
      <c r="N200" s="357">
        <f t="shared" ca="1" si="104"/>
        <v>77.633659381323312</v>
      </c>
      <c r="O200" s="343"/>
      <c r="P200" s="363">
        <f t="shared" ca="1" si="105"/>
        <v>7</v>
      </c>
      <c r="Q200" s="357">
        <f t="shared" ca="1" si="106"/>
        <v>913.36753246753221</v>
      </c>
      <c r="R200" s="359">
        <f t="shared" ca="1" si="107"/>
        <v>0.45753526305340764</v>
      </c>
      <c r="S200" s="360">
        <f t="shared" ca="1" si="108"/>
        <v>10.630657629480529</v>
      </c>
      <c r="T200" s="357">
        <f t="shared" ca="1" si="88"/>
        <v>104.286751345204</v>
      </c>
      <c r="U200" s="364">
        <f t="shared" ca="1" si="89"/>
        <v>0</v>
      </c>
      <c r="V200" s="359">
        <f t="shared" ca="1" si="90"/>
        <v>1.2068418039662521</v>
      </c>
      <c r="W200" s="357">
        <f t="shared" ca="1" si="91"/>
        <v>64.195841675235997</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149.33698404339069</v>
      </c>
      <c r="AF200" s="344"/>
      <c r="AG200" s="359">
        <f t="shared" ca="1" si="114"/>
        <v>70.351232877048247</v>
      </c>
      <c r="AH200" s="357">
        <f t="shared" ca="1" si="115"/>
        <v>79.933911462182863</v>
      </c>
    </row>
    <row r="201" spans="1:34" x14ac:dyDescent="0.25">
      <c r="A201" s="402">
        <f t="shared" ca="1" si="93"/>
        <v>0.01</v>
      </c>
      <c r="B201" s="357">
        <f t="shared" ca="1" si="94"/>
        <v>1.9700000000000015</v>
      </c>
      <c r="C201" s="342"/>
      <c r="D201" s="359">
        <f t="shared" ca="1" si="95"/>
        <v>17.08908380745703</v>
      </c>
      <c r="E201" s="360">
        <f t="shared" ca="1" si="96"/>
        <v>68.133912369092599</v>
      </c>
      <c r="F201" s="357">
        <f t="shared" ca="1" si="97"/>
        <v>70.244336427198732</v>
      </c>
      <c r="G201" s="359">
        <f t="shared" ca="1" si="98"/>
        <v>33.001574202744493</v>
      </c>
      <c r="H201" s="360">
        <f t="shared" ca="1" si="99"/>
        <v>150.42324079759038</v>
      </c>
      <c r="I201" s="357">
        <f t="shared" ca="1" si="100"/>
        <v>154.00082880266947</v>
      </c>
      <c r="J201" s="359">
        <f t="shared" ca="1" si="101"/>
        <v>31.186922256581827</v>
      </c>
      <c r="K201" s="360">
        <f t="shared" ca="1" si="102"/>
        <v>150.83780975574814</v>
      </c>
      <c r="L201" s="357">
        <f t="shared" ca="1" si="87"/>
        <v>154.02814344057174</v>
      </c>
      <c r="M201" s="359">
        <f t="shared" ca="1" si="103"/>
        <v>1.3548265436353959</v>
      </c>
      <c r="N201" s="357">
        <f t="shared" ca="1" si="104"/>
        <v>77.625842922605045</v>
      </c>
      <c r="O201" s="343"/>
      <c r="P201" s="363">
        <f t="shared" ca="1" si="105"/>
        <v>7</v>
      </c>
      <c r="Q201" s="357">
        <f t="shared" ca="1" si="106"/>
        <v>912.10779220779193</v>
      </c>
      <c r="R201" s="359">
        <f t="shared" ca="1" si="107"/>
        <v>0.45690421851697427</v>
      </c>
      <c r="S201" s="360">
        <f t="shared" ca="1" si="108"/>
        <v>10.62608858729536</v>
      </c>
      <c r="T201" s="357">
        <f t="shared" ca="1" si="88"/>
        <v>104.24192904136748</v>
      </c>
      <c r="U201" s="364">
        <f t="shared" ca="1" si="89"/>
        <v>0</v>
      </c>
      <c r="V201" s="359">
        <f t="shared" ca="1" si="90"/>
        <v>1.2066606814371428</v>
      </c>
      <c r="W201" s="357">
        <f t="shared" ca="1" si="91"/>
        <v>64.775518166746025</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150.83780975574814</v>
      </c>
      <c r="AF201" s="344"/>
      <c r="AG201" s="359">
        <f t="shared" ca="1" si="114"/>
        <v>70.212911319723247</v>
      </c>
      <c r="AH201" s="357">
        <f t="shared" ca="1" si="115"/>
        <v>79.795302247557629</v>
      </c>
    </row>
    <row r="202" spans="1:34" x14ac:dyDescent="0.25">
      <c r="A202" s="402">
        <f t="shared" ca="1" si="93"/>
        <v>0.01</v>
      </c>
      <c r="B202" s="357">
        <f t="shared" ca="1" si="94"/>
        <v>1.9800000000000015</v>
      </c>
      <c r="C202" s="342"/>
      <c r="D202" s="359">
        <f t="shared" ca="1" si="95"/>
        <v>17.069951395319059</v>
      </c>
      <c r="E202" s="360">
        <f t="shared" ca="1" si="96"/>
        <v>67.99590687482133</v>
      </c>
      <c r="F202" s="357">
        <f t="shared" ca="1" si="97"/>
        <v>70.105824239986873</v>
      </c>
      <c r="G202" s="359">
        <f t="shared" ca="1" si="98"/>
        <v>33.172273716697681</v>
      </c>
      <c r="H202" s="360">
        <f t="shared" ca="1" si="99"/>
        <v>151.1031998663386</v>
      </c>
      <c r="I202" s="357">
        <f t="shared" ca="1" si="100"/>
        <v>154.70157320913768</v>
      </c>
      <c r="J202" s="359">
        <f t="shared" ca="1" si="101"/>
        <v>31.517791496179036</v>
      </c>
      <c r="K202" s="360">
        <f t="shared" ca="1" si="102"/>
        <v>152.34544195906778</v>
      </c>
      <c r="L202" s="357">
        <f t="shared" ca="1" si="87"/>
        <v>155.57154259857523</v>
      </c>
      <c r="M202" s="359">
        <f t="shared" ca="1" si="103"/>
        <v>1.3546906541428136</v>
      </c>
      <c r="N202" s="357">
        <f t="shared" ca="1" si="104"/>
        <v>77.618057028199914</v>
      </c>
      <c r="O202" s="343"/>
      <c r="P202" s="363">
        <f t="shared" ca="1" si="105"/>
        <v>7</v>
      </c>
      <c r="Q202" s="357">
        <f t="shared" ca="1" si="106"/>
        <v>910.84805194805176</v>
      </c>
      <c r="R202" s="359">
        <f t="shared" ca="1" si="107"/>
        <v>0.45627317398054101</v>
      </c>
      <c r="S202" s="360">
        <f t="shared" ca="1" si="108"/>
        <v>10.621525855555555</v>
      </c>
      <c r="T202" s="357">
        <f t="shared" ca="1" si="88"/>
        <v>104.197168643</v>
      </c>
      <c r="U202" s="364">
        <f t="shared" ca="1" si="89"/>
        <v>0</v>
      </c>
      <c r="V202" s="359">
        <f t="shared" ca="1" si="90"/>
        <v>1.2064787646492712</v>
      </c>
      <c r="W202" s="357">
        <f t="shared" ca="1" si="91"/>
        <v>65.356496071928504</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152.34544195906778</v>
      </c>
      <c r="AF202" s="344"/>
      <c r="AG202" s="359">
        <f t="shared" ca="1" si="114"/>
        <v>70.074297811211395</v>
      </c>
      <c r="AH202" s="357">
        <f t="shared" ca="1" si="115"/>
        <v>79.656402035567254</v>
      </c>
    </row>
    <row r="203" spans="1:34" x14ac:dyDescent="0.25">
      <c r="A203" s="402">
        <f t="shared" ca="1" si="93"/>
        <v>0.01</v>
      </c>
      <c r="B203" s="357">
        <f t="shared" ca="1" si="94"/>
        <v>1.9900000000000015</v>
      </c>
      <c r="C203" s="342"/>
      <c r="D203" s="359">
        <f t="shared" ca="1" si="95"/>
        <v>17.050678197155889</v>
      </c>
      <c r="E203" s="360">
        <f t="shared" ca="1" si="96"/>
        <v>67.857634648287586</v>
      </c>
      <c r="F203" s="357">
        <f t="shared" ca="1" si="97"/>
        <v>69.967022282239839</v>
      </c>
      <c r="G203" s="359">
        <f t="shared" ca="1" si="98"/>
        <v>33.342780498669242</v>
      </c>
      <c r="H203" s="360">
        <f t="shared" ca="1" si="99"/>
        <v>151.78177621282148</v>
      </c>
      <c r="I203" s="357">
        <f t="shared" ca="1" si="100"/>
        <v>155.40092857412873</v>
      </c>
      <c r="J203" s="359">
        <f t="shared" ca="1" si="101"/>
        <v>31.850366767255871</v>
      </c>
      <c r="K203" s="360">
        <f t="shared" ca="1" si="102"/>
        <v>153.85986683946359</v>
      </c>
      <c r="L203" s="357">
        <f t="shared" ca="1" si="87"/>
        <v>157.12194145652026</v>
      </c>
      <c r="M203" s="359">
        <f t="shared" ca="1" si="103"/>
        <v>1.3545552924087734</v>
      </c>
      <c r="N203" s="357">
        <f t="shared" ca="1" si="104"/>
        <v>77.610301372131829</v>
      </c>
      <c r="O203" s="343"/>
      <c r="P203" s="363">
        <f t="shared" ca="1" si="105"/>
        <v>7</v>
      </c>
      <c r="Q203" s="357">
        <f t="shared" ca="1" si="106"/>
        <v>909.58831168831148</v>
      </c>
      <c r="R203" s="359">
        <f t="shared" ca="1" si="107"/>
        <v>0.45564212944410765</v>
      </c>
      <c r="S203" s="360">
        <f t="shared" ca="1" si="108"/>
        <v>10.616969434261115</v>
      </c>
      <c r="T203" s="357">
        <f t="shared" ca="1" si="88"/>
        <v>104.15247015010155</v>
      </c>
      <c r="U203" s="364">
        <f t="shared" ca="1" si="89"/>
        <v>0</v>
      </c>
      <c r="V203" s="359">
        <f t="shared" ca="1" si="90"/>
        <v>1.2062960556316602</v>
      </c>
      <c r="W203" s="357">
        <f t="shared" ca="1" si="91"/>
        <v>65.938755271381567</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153.85986683946359</v>
      </c>
      <c r="AF203" s="344"/>
      <c r="AG203" s="359">
        <f t="shared" ca="1" si="114"/>
        <v>69.935394130106502</v>
      </c>
      <c r="AH203" s="357">
        <f t="shared" ca="1" si="115"/>
        <v>79.517212594776296</v>
      </c>
    </row>
    <row r="204" spans="1:34" x14ac:dyDescent="0.25">
      <c r="A204" s="402">
        <f t="shared" ca="1" si="93"/>
        <v>0.01</v>
      </c>
      <c r="B204" s="357">
        <f t="shared" ca="1" si="94"/>
        <v>2.0000000000000013</v>
      </c>
      <c r="C204" s="342"/>
      <c r="D204" s="359">
        <f t="shared" ca="1" si="95"/>
        <v>17.031265141743173</v>
      </c>
      <c r="E204" s="360">
        <f t="shared" ca="1" si="96"/>
        <v>67.719097324935547</v>
      </c>
      <c r="F204" s="357">
        <f t="shared" ca="1" si="97"/>
        <v>69.827932339662254</v>
      </c>
      <c r="G204" s="359">
        <f t="shared" ca="1" si="98"/>
        <v>33.513093150086675</v>
      </c>
      <c r="H204" s="360">
        <f t="shared" ca="1" si="99"/>
        <v>152.45896718607085</v>
      </c>
      <c r="I204" s="357">
        <f t="shared" ca="1" si="100"/>
        <v>156.09889201378022</v>
      </c>
      <c r="J204" s="359">
        <f t="shared" ca="1" si="101"/>
        <v>32.184646135499648</v>
      </c>
      <c r="K204" s="360">
        <f t="shared" ca="1" si="102"/>
        <v>155.38107055645804</v>
      </c>
      <c r="L204" s="357">
        <f t="shared" ca="1" si="87"/>
        <v>158.67932610815538</v>
      </c>
      <c r="M204" s="359">
        <f t="shared" ca="1" si="103"/>
        <v>1.3544204528284653</v>
      </c>
      <c r="N204" s="357">
        <f t="shared" ca="1" si="104"/>
        <v>77.60257563326887</v>
      </c>
      <c r="O204" s="343"/>
      <c r="P204" s="363">
        <f t="shared" ca="1" si="105"/>
        <v>7</v>
      </c>
      <c r="Q204" s="357">
        <f t="shared" ca="1" si="106"/>
        <v>908.32857142857119</v>
      </c>
      <c r="R204" s="359">
        <f t="shared" ca="1" si="107"/>
        <v>0.45501108490767428</v>
      </c>
      <c r="S204" s="360">
        <f t="shared" ca="1" si="108"/>
        <v>10.612419323412038</v>
      </c>
      <c r="T204" s="357">
        <f t="shared" ca="1" si="88"/>
        <v>104.1078335626721</v>
      </c>
      <c r="U204" s="364">
        <f t="shared" ca="1" si="89"/>
        <v>0</v>
      </c>
      <c r="V204" s="359">
        <f t="shared" ca="1" si="90"/>
        <v>1.2061125564170339</v>
      </c>
      <c r="W204" s="357">
        <f t="shared" ca="1" si="91"/>
        <v>66.522275657496877</v>
      </c>
      <c r="X204" s="343"/>
      <c r="Y204" s="367" t="str">
        <f t="shared" ca="1" si="109"/>
        <v/>
      </c>
      <c r="Z204" s="368" t="str">
        <f t="shared" ca="1" si="110"/>
        <v/>
      </c>
      <c r="AA204" s="369" t="str">
        <f t="shared" ca="1" si="111"/>
        <v/>
      </c>
      <c r="AB204" s="344"/>
      <c r="AC204" s="363">
        <f t="shared" ca="1" si="112"/>
        <v>2.0000000000000013</v>
      </c>
      <c r="AD204" s="376">
        <f t="shared" ca="1" si="113"/>
        <v>32.184646135499648</v>
      </c>
      <c r="AE204" s="377">
        <f t="shared" ca="1" si="92"/>
        <v>155.38107055645804</v>
      </c>
      <c r="AF204" s="344"/>
      <c r="AG204" s="359">
        <f t="shared" ca="1" si="114"/>
        <v>69.796202057888735</v>
      </c>
      <c r="AH204" s="357">
        <f t="shared" ca="1" si="115"/>
        <v>79.377735696778885</v>
      </c>
    </row>
    <row r="205" spans="1:34" x14ac:dyDescent="0.25">
      <c r="A205" s="402">
        <f t="shared" ca="1" si="93"/>
        <v>0.01</v>
      </c>
      <c r="B205" s="357">
        <f t="shared" ca="1" si="94"/>
        <v>2.0100000000000011</v>
      </c>
      <c r="C205" s="342"/>
      <c r="D205" s="359">
        <f t="shared" ca="1" si="95"/>
        <v>17.011713150599011</v>
      </c>
      <c r="E205" s="360">
        <f t="shared" ca="1" si="96"/>
        <v>67.580296544421415</v>
      </c>
      <c r="F205" s="357">
        <f t="shared" ca="1" si="97"/>
        <v>69.688556200786664</v>
      </c>
      <c r="G205" s="359">
        <f t="shared" ca="1" si="98"/>
        <v>33.683210281592665</v>
      </c>
      <c r="H205" s="360">
        <f t="shared" ca="1" si="99"/>
        <v>153.13477015151506</v>
      </c>
      <c r="I205" s="357">
        <f t="shared" ca="1" si="100"/>
        <v>156.79546066207189</v>
      </c>
      <c r="J205" s="359">
        <f t="shared" ca="1" si="101"/>
        <v>32.520627652658042</v>
      </c>
      <c r="K205" s="360">
        <f t="shared" ca="1" si="102"/>
        <v>156.90903924314597</v>
      </c>
      <c r="L205" s="357">
        <f t="shared" ca="1" si="87"/>
        <v>160.24368261847314</v>
      </c>
      <c r="M205" s="359">
        <f t="shared" ca="1" si="103"/>
        <v>1.3542861298799267</v>
      </c>
      <c r="N205" s="357">
        <f t="shared" ca="1" si="104"/>
        <v>77.594879495225854</v>
      </c>
      <c r="O205" s="343"/>
      <c r="P205" s="363">
        <f t="shared" ca="1" si="105"/>
        <v>7</v>
      </c>
      <c r="Q205" s="357">
        <f t="shared" ca="1" si="106"/>
        <v>907.06883116883091</v>
      </c>
      <c r="R205" s="359">
        <f t="shared" ca="1" si="107"/>
        <v>0.45438004037124097</v>
      </c>
      <c r="S205" s="360">
        <f t="shared" ca="1" si="108"/>
        <v>10.607875523008325</v>
      </c>
      <c r="T205" s="357">
        <f t="shared" ca="1" si="88"/>
        <v>104.06325888071167</v>
      </c>
      <c r="U205" s="364">
        <f t="shared" ca="1" si="89"/>
        <v>0</v>
      </c>
      <c r="V205" s="359">
        <f t="shared" ca="1" si="90"/>
        <v>1.2059282690417825</v>
      </c>
      <c r="W205" s="357">
        <f t="shared" ca="1" si="91"/>
        <v>67.107037135193451</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156.90903924314597</v>
      </c>
      <c r="AF205" s="344"/>
      <c r="AG205" s="359">
        <f t="shared" ca="1" si="114"/>
        <v>69.656723378853812</v>
      </c>
      <c r="AH205" s="357">
        <f t="shared" ca="1" si="115"/>
        <v>79.237973116125005</v>
      </c>
    </row>
    <row r="206" spans="1:34" x14ac:dyDescent="0.25">
      <c r="A206" s="402">
        <f t="shared" ca="1" si="93"/>
        <v>0.01</v>
      </c>
      <c r="B206" s="357">
        <f t="shared" ca="1" si="94"/>
        <v>2.0200000000000009</v>
      </c>
      <c r="C206" s="342"/>
      <c r="D206" s="359">
        <f t="shared" ca="1" si="95"/>
        <v>16.99202313813592</v>
      </c>
      <c r="E206" s="360">
        <f t="shared" ca="1" si="96"/>
        <v>67.441233950513904</v>
      </c>
      <c r="F206" s="357">
        <f t="shared" ca="1" si="97"/>
        <v>69.548895656903824</v>
      </c>
      <c r="G206" s="359">
        <f t="shared" ca="1" si="98"/>
        <v>33.853130512974026</v>
      </c>
      <c r="H206" s="360">
        <f t="shared" ca="1" si="99"/>
        <v>153.80918249102021</v>
      </c>
      <c r="I206" s="357">
        <f t="shared" ca="1" si="100"/>
        <v>157.49063167085339</v>
      </c>
      <c r="J206" s="359">
        <f t="shared" ca="1" si="101"/>
        <v>32.858309356630876</v>
      </c>
      <c r="K206" s="360">
        <f t="shared" ca="1" si="102"/>
        <v>158.44375900635865</v>
      </c>
      <c r="L206" s="357">
        <f t="shared" ca="1" si="87"/>
        <v>161.81499702388871</v>
      </c>
      <c r="M206" s="359">
        <f t="shared" ca="1" si="103"/>
        <v>1.3541523181223847</v>
      </c>
      <c r="N206" s="357">
        <f t="shared" ca="1" si="104"/>
        <v>77.587212646269464</v>
      </c>
      <c r="O206" s="343"/>
      <c r="P206" s="363">
        <f t="shared" ca="1" si="105"/>
        <v>7</v>
      </c>
      <c r="Q206" s="357">
        <f t="shared" ca="1" si="106"/>
        <v>905.80909090909074</v>
      </c>
      <c r="R206" s="359">
        <f t="shared" ca="1" si="107"/>
        <v>0.45374899583480766</v>
      </c>
      <c r="S206" s="360">
        <f t="shared" ca="1" si="108"/>
        <v>10.603338033049976</v>
      </c>
      <c r="T206" s="357">
        <f t="shared" ca="1" si="88"/>
        <v>104.01874610422027</v>
      </c>
      <c r="U206" s="364">
        <f t="shared" ca="1" si="89"/>
        <v>0</v>
      </c>
      <c r="V206" s="359">
        <f t="shared" ca="1" si="90"/>
        <v>1.205743195545929</v>
      </c>
      <c r="W206" s="357">
        <f t="shared" ca="1" si="91"/>
        <v>67.693019622649288</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158.44375900635865</v>
      </c>
      <c r="AF206" s="344"/>
      <c r="AG206" s="359">
        <f t="shared" ca="1" si="114"/>
        <v>69.516959880042407</v>
      </c>
      <c r="AH206" s="357">
        <f t="shared" ca="1" si="115"/>
        <v>79.097926630247258</v>
      </c>
    </row>
    <row r="207" spans="1:34" x14ac:dyDescent="0.25">
      <c r="A207" s="402">
        <f t="shared" ca="1" si="93"/>
        <v>0.01</v>
      </c>
      <c r="B207" s="357">
        <f t="shared" ca="1" si="94"/>
        <v>2.0300000000000007</v>
      </c>
      <c r="C207" s="342"/>
      <c r="D207" s="359">
        <f t="shared" ca="1" si="95"/>
        <v>16.972196011808496</v>
      </c>
      <c r="E207" s="360">
        <f t="shared" ca="1" si="96"/>
        <v>67.301911190995057</v>
      </c>
      <c r="F207" s="357">
        <f t="shared" ca="1" si="97"/>
        <v>69.408952501992374</v>
      </c>
      <c r="G207" s="359">
        <f t="shared" ca="1" si="98"/>
        <v>34.022852473092108</v>
      </c>
      <c r="H207" s="360">
        <f t="shared" ca="1" si="99"/>
        <v>154.48220160293016</v>
      </c>
      <c r="I207" s="357">
        <f t="shared" ca="1" si="100"/>
        <v>158.18440220987071</v>
      </c>
      <c r="J207" s="359">
        <f t="shared" ca="1" si="101"/>
        <v>33.19768927156121</v>
      </c>
      <c r="K207" s="360">
        <f t="shared" ca="1" si="102"/>
        <v>159.9852159268284</v>
      </c>
      <c r="L207" s="357">
        <f t="shared" ca="1" si="87"/>
        <v>163.3932553324189</v>
      </c>
      <c r="M207" s="359">
        <f t="shared" ca="1" si="103"/>
        <v>1.3540190121946414</v>
      </c>
      <c r="N207" s="357">
        <f t="shared" ca="1" si="104"/>
        <v>77.579574779225695</v>
      </c>
      <c r="O207" s="343"/>
      <c r="P207" s="363">
        <f t="shared" ca="1" si="105"/>
        <v>7</v>
      </c>
      <c r="Q207" s="357">
        <f t="shared" ca="1" si="106"/>
        <v>904.54935064935046</v>
      </c>
      <c r="R207" s="359">
        <f t="shared" ca="1" si="107"/>
        <v>0.45311795129837434</v>
      </c>
      <c r="S207" s="360">
        <f t="shared" ca="1" si="108"/>
        <v>10.598806853536992</v>
      </c>
      <c r="T207" s="357">
        <f t="shared" ca="1" si="88"/>
        <v>103.97429523319789</v>
      </c>
      <c r="U207" s="364">
        <f t="shared" ca="1" si="89"/>
        <v>0</v>
      </c>
      <c r="V207" s="359">
        <f t="shared" ca="1" si="90"/>
        <v>1.2055573379730922</v>
      </c>
      <c r="W207" s="357">
        <f t="shared" ca="1" si="91"/>
        <v>68.280203052029634</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159.9852159268284</v>
      </c>
      <c r="AF207" s="344"/>
      <c r="AG207" s="359">
        <f t="shared" ca="1" si="114"/>
        <v>69.37691335116935</v>
      </c>
      <c r="AH207" s="357">
        <f t="shared" ca="1" si="115"/>
        <v>78.957598019387319</v>
      </c>
    </row>
    <row r="208" spans="1:34" x14ac:dyDescent="0.25">
      <c r="A208" s="402">
        <f t="shared" ca="1" si="93"/>
        <v>0.01</v>
      </c>
      <c r="B208" s="357">
        <f t="shared" ca="1" si="94"/>
        <v>2.0400000000000005</v>
      </c>
      <c r="C208" s="342"/>
      <c r="D208" s="359">
        <f t="shared" ca="1" si="95"/>
        <v>16.952232672257008</v>
      </c>
      <c r="E208" s="360">
        <f t="shared" ca="1" si="96"/>
        <v>67.162329917562047</v>
      </c>
      <c r="F208" s="357">
        <f t="shared" ca="1" si="97"/>
        <v>69.268728532648751</v>
      </c>
      <c r="G208" s="359">
        <f t="shared" ca="1" si="98"/>
        <v>34.192374799814679</v>
      </c>
      <c r="H208" s="360">
        <f t="shared" ca="1" si="99"/>
        <v>155.15382490210578</v>
      </c>
      <c r="I208" s="357">
        <f t="shared" ca="1" si="100"/>
        <v>158.87676946679241</v>
      </c>
      <c r="J208" s="359">
        <f t="shared" ca="1" si="101"/>
        <v>33.538765407925744</v>
      </c>
      <c r="K208" s="360">
        <f t="shared" ca="1" si="102"/>
        <v>161.53339605935358</v>
      </c>
      <c r="L208" s="357">
        <f t="shared" ca="1" si="87"/>
        <v>164.97844352386122</v>
      </c>
      <c r="M208" s="359">
        <f t="shared" ca="1" si="103"/>
        <v>1.3538862068134978</v>
      </c>
      <c r="N208" s="357">
        <f t="shared" ca="1" si="104"/>
        <v>77.571965591389542</v>
      </c>
      <c r="O208" s="343"/>
      <c r="P208" s="363">
        <f t="shared" ca="1" si="105"/>
        <v>7</v>
      </c>
      <c r="Q208" s="357">
        <f t="shared" ca="1" si="106"/>
        <v>903.28961038961029</v>
      </c>
      <c r="R208" s="359">
        <f t="shared" ca="1" si="107"/>
        <v>0.45248690676194103</v>
      </c>
      <c r="S208" s="360">
        <f t="shared" ca="1" si="108"/>
        <v>10.594281984469372</v>
      </c>
      <c r="T208" s="357">
        <f t="shared" ca="1" si="88"/>
        <v>103.92990626764455</v>
      </c>
      <c r="U208" s="364">
        <f t="shared" ca="1" si="89"/>
        <v>0</v>
      </c>
      <c r="V208" s="359">
        <f t="shared" ca="1" si="90"/>
        <v>1.2053706983704542</v>
      </c>
      <c r="W208" s="357">
        <f t="shared" ca="1" si="91"/>
        <v>68.868567370212787</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161.53339605935358</v>
      </c>
      <c r="AF208" s="344"/>
      <c r="AG208" s="359">
        <f t="shared" ca="1" si="114"/>
        <v>69.236585584552955</v>
      </c>
      <c r="AH208" s="357">
        <f t="shared" ca="1" si="115"/>
        <v>78.81698906652268</v>
      </c>
    </row>
    <row r="209" spans="1:34" x14ac:dyDescent="0.25">
      <c r="A209" s="402">
        <f t="shared" ca="1" si="93"/>
        <v>0.01</v>
      </c>
      <c r="B209" s="357">
        <f t="shared" ca="1" si="94"/>
        <v>2.0500000000000003</v>
      </c>
      <c r="C209" s="342"/>
      <c r="D209" s="359">
        <f t="shared" ca="1" si="95"/>
        <v>16.932134013447001</v>
      </c>
      <c r="E209" s="360">
        <f t="shared" ca="1" si="96"/>
        <v>67.022491785729471</v>
      </c>
      <c r="F209" s="357">
        <f t="shared" ca="1" si="97"/>
        <v>69.128225548016957</v>
      </c>
      <c r="G209" s="359">
        <f t="shared" ca="1" si="98"/>
        <v>34.361696139949153</v>
      </c>
      <c r="H209" s="360">
        <f t="shared" ca="1" si="99"/>
        <v>155.82404981996308</v>
      </c>
      <c r="I209" s="357">
        <f t="shared" ca="1" si="100"/>
        <v>159.56773064723498</v>
      </c>
      <c r="J209" s="359">
        <f t="shared" ca="1" si="101"/>
        <v>33.881535762624566</v>
      </c>
      <c r="K209" s="360">
        <f t="shared" ca="1" si="102"/>
        <v>163.08828543296391</v>
      </c>
      <c r="L209" s="357">
        <f t="shared" ca="1" si="87"/>
        <v>166.5705475499733</v>
      </c>
      <c r="M209" s="359">
        <f t="shared" ca="1" si="103"/>
        <v>1.3537538967722191</v>
      </c>
      <c r="N209" s="357">
        <f t="shared" ca="1" si="104"/>
        <v>77.564384784437081</v>
      </c>
      <c r="O209" s="343"/>
      <c r="P209" s="363">
        <f t="shared" ca="1" si="105"/>
        <v>7</v>
      </c>
      <c r="Q209" s="357">
        <f t="shared" ca="1" si="106"/>
        <v>902.02987012987001</v>
      </c>
      <c r="R209" s="359">
        <f t="shared" ca="1" si="107"/>
        <v>0.45185586222550772</v>
      </c>
      <c r="S209" s="360">
        <f t="shared" ca="1" si="108"/>
        <v>10.589763425847117</v>
      </c>
      <c r="T209" s="357">
        <f t="shared" ca="1" si="88"/>
        <v>103.88557920756023</v>
      </c>
      <c r="U209" s="364">
        <f t="shared" ca="1" si="89"/>
        <v>0</v>
      </c>
      <c r="V209" s="359">
        <f t="shared" ca="1" si="90"/>
        <v>1.2051832787887244</v>
      </c>
      <c r="W209" s="357">
        <f t="shared" ca="1" si="91"/>
        <v>69.458092539512904</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163.08828543296391</v>
      </c>
      <c r="AF209" s="344"/>
      <c r="AG209" s="359">
        <f t="shared" ca="1" si="114"/>
        <v>69.095978375044155</v>
      </c>
      <c r="AH209" s="357">
        <f t="shared" ca="1" si="115"/>
        <v>78.676101557293222</v>
      </c>
    </row>
    <row r="210" spans="1:34" x14ac:dyDescent="0.25">
      <c r="A210" s="402">
        <f t="shared" ca="1" si="93"/>
        <v>0.01</v>
      </c>
      <c r="B210" s="357">
        <f t="shared" ca="1" si="94"/>
        <v>2.06</v>
      </c>
      <c r="C210" s="342"/>
      <c r="D210" s="359">
        <f t="shared" ca="1" si="95"/>
        <v>16.910077939662589</v>
      </c>
      <c r="E210" s="360">
        <f t="shared" ca="1" si="96"/>
        <v>66.874131557346971</v>
      </c>
      <c r="F210" s="357">
        <f t="shared" ca="1" si="97"/>
        <v>68.978983810105618</v>
      </c>
      <c r="G210" s="359">
        <f t="shared" ca="1" si="98"/>
        <v>34.530796919345782</v>
      </c>
      <c r="H210" s="360">
        <f t="shared" ca="1" si="99"/>
        <v>156.49279113553655</v>
      </c>
      <c r="I210" s="357">
        <f t="shared" ca="1" si="100"/>
        <v>160.25719831968786</v>
      </c>
      <c r="J210" s="359">
        <f t="shared" ca="1" si="101"/>
        <v>34.225998227921039</v>
      </c>
      <c r="K210" s="360">
        <f t="shared" ca="1" si="102"/>
        <v>164.6498696377414</v>
      </c>
      <c r="L210" s="357">
        <f t="shared" ca="1" si="87"/>
        <v>168.16955291140809</v>
      </c>
      <c r="M210" s="359">
        <f t="shared" ca="1" si="103"/>
        <v>1.3536220768694012</v>
      </c>
      <c r="N210" s="357">
        <f t="shared" ca="1" si="104"/>
        <v>77.556832060349777</v>
      </c>
      <c r="O210" s="343"/>
      <c r="P210" s="363">
        <f t="shared" ca="1" si="105"/>
        <v>8</v>
      </c>
      <c r="Q210" s="357">
        <f t="shared" ca="1" si="106"/>
        <v>900.68055555555543</v>
      </c>
      <c r="R210" s="359">
        <f t="shared" ca="1" si="107"/>
        <v>0.4511799470251579</v>
      </c>
      <c r="S210" s="360">
        <f t="shared" ca="1" si="108"/>
        <v>10.585251626376866</v>
      </c>
      <c r="T210" s="357">
        <f t="shared" ca="1" si="88"/>
        <v>103.84131845475706</v>
      </c>
      <c r="U210" s="364">
        <f t="shared" ca="1" si="89"/>
        <v>0</v>
      </c>
      <c r="V210" s="359">
        <f t="shared" ca="1" si="90"/>
        <v>1.2049950813319175</v>
      </c>
      <c r="W210" s="357">
        <f t="shared" ca="1" si="91"/>
        <v>70.048684535509864</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164.6498696377414</v>
      </c>
      <c r="AF210" s="344"/>
      <c r="AG210" s="359">
        <f t="shared" ca="1" si="114"/>
        <v>68.946628009934557</v>
      </c>
      <c r="AH210" s="357">
        <f t="shared" ca="1" si="115"/>
        <v>78.526471769906749</v>
      </c>
    </row>
    <row r="211" spans="1:34" x14ac:dyDescent="0.25">
      <c r="A211" s="402">
        <f t="shared" ca="1" si="93"/>
        <v>0.01</v>
      </c>
      <c r="B211" s="357">
        <f t="shared" ca="1" si="94"/>
        <v>2.0699999999999998</v>
      </c>
      <c r="C211" s="342"/>
      <c r="D211" s="359">
        <f t="shared" ca="1" si="95"/>
        <v>16.88606053293482</v>
      </c>
      <c r="E211" s="360">
        <f t="shared" ca="1" si="96"/>
        <v>66.717244658003168</v>
      </c>
      <c r="F211" s="357">
        <f t="shared" ca="1" si="97"/>
        <v>68.820998068015484</v>
      </c>
      <c r="G211" s="359">
        <f t="shared" ca="1" si="98"/>
        <v>34.699657524675132</v>
      </c>
      <c r="H211" s="360">
        <f t="shared" ca="1" si="99"/>
        <v>157.15996358211657</v>
      </c>
      <c r="I211" s="357">
        <f t="shared" ca="1" si="100"/>
        <v>160.94508499939337</v>
      </c>
      <c r="J211" s="359">
        <f t="shared" ca="1" si="101"/>
        <v>34.572150500141142</v>
      </c>
      <c r="K211" s="360">
        <f t="shared" ca="1" si="102"/>
        <v>166.21813341132966</v>
      </c>
      <c r="L211" s="357">
        <f t="shared" ca="1" si="87"/>
        <v>169.77544423429143</v>
      </c>
      <c r="M211" s="359">
        <f t="shared" ca="1" si="103"/>
        <v>1.3534907419096214</v>
      </c>
      <c r="N211" s="357">
        <f t="shared" ca="1" si="104"/>
        <v>77.549307121451875</v>
      </c>
      <c r="O211" s="343"/>
      <c r="P211" s="363">
        <f t="shared" ca="1" si="105"/>
        <v>8</v>
      </c>
      <c r="Q211" s="357">
        <f t="shared" ca="1" si="106"/>
        <v>899.24166666666667</v>
      </c>
      <c r="R211" s="359">
        <f t="shared" ca="1" si="107"/>
        <v>0.45045916116089163</v>
      </c>
      <c r="S211" s="360">
        <f t="shared" ca="1" si="108"/>
        <v>10.580747034765258</v>
      </c>
      <c r="T211" s="357">
        <f t="shared" ca="1" si="88"/>
        <v>103.79712841104718</v>
      </c>
      <c r="U211" s="364">
        <f t="shared" ca="1" si="89"/>
        <v>0</v>
      </c>
      <c r="V211" s="359">
        <f t="shared" ca="1" si="90"/>
        <v>1.2048061082071182</v>
      </c>
      <c r="W211" s="357">
        <f t="shared" ca="1" si="91"/>
        <v>70.640248069798886</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166.21813341132966</v>
      </c>
      <c r="AF211" s="344"/>
      <c r="AG211" s="359">
        <f t="shared" ca="1" si="114"/>
        <v>68.788529164493923</v>
      </c>
      <c r="AH211" s="357">
        <f t="shared" ca="1" si="115"/>
        <v>78.368094370526933</v>
      </c>
    </row>
    <row r="212" spans="1:34" x14ac:dyDescent="0.25">
      <c r="A212" s="402">
        <f t="shared" ca="1" si="93"/>
        <v>0.01</v>
      </c>
      <c r="B212" s="357">
        <f t="shared" ca="1" si="94"/>
        <v>2.0799999999999996</v>
      </c>
      <c r="C212" s="342"/>
      <c r="D212" s="359">
        <f t="shared" ca="1" si="95"/>
        <v>16.861904640332092</v>
      </c>
      <c r="E212" s="360">
        <f t="shared" ca="1" si="96"/>
        <v>66.560100117422522</v>
      </c>
      <c r="F212" s="357">
        <f t="shared" ca="1" si="97"/>
        <v>68.662731927450736</v>
      </c>
      <c r="G212" s="359">
        <f t="shared" ca="1" si="98"/>
        <v>34.868276571078454</v>
      </c>
      <c r="H212" s="360">
        <f t="shared" ca="1" si="99"/>
        <v>157.8255645832908</v>
      </c>
      <c r="I212" s="357">
        <f t="shared" ca="1" si="100"/>
        <v>161.63138787708195</v>
      </c>
      <c r="J212" s="359">
        <f t="shared" ca="1" si="101"/>
        <v>34.919990170619911</v>
      </c>
      <c r="K212" s="360">
        <f t="shared" ca="1" si="102"/>
        <v>167.7930610521567</v>
      </c>
      <c r="L212" s="357">
        <f t="shared" ca="1" si="87"/>
        <v>171.38820569330019</v>
      </c>
      <c r="M212" s="359">
        <f t="shared" ca="1" si="103"/>
        <v>1.353359886772644</v>
      </c>
      <c r="N212" s="357">
        <f t="shared" ca="1" si="104"/>
        <v>77.541809674375472</v>
      </c>
      <c r="O212" s="343"/>
      <c r="P212" s="363">
        <f t="shared" ca="1" si="105"/>
        <v>8</v>
      </c>
      <c r="Q212" s="357">
        <f t="shared" ca="1" si="106"/>
        <v>897.80277777777781</v>
      </c>
      <c r="R212" s="359">
        <f t="shared" ca="1" si="107"/>
        <v>0.44973837529662536</v>
      </c>
      <c r="S212" s="360">
        <f t="shared" ca="1" si="108"/>
        <v>10.576249651012292</v>
      </c>
      <c r="T212" s="357">
        <f t="shared" ca="1" si="88"/>
        <v>103.75300907643059</v>
      </c>
      <c r="U212" s="364">
        <f t="shared" ca="1" si="89"/>
        <v>0</v>
      </c>
      <c r="V212" s="359">
        <f t="shared" ca="1" si="90"/>
        <v>1.2046163616746106</v>
      </c>
      <c r="W212" s="357">
        <f t="shared" ca="1" si="91"/>
        <v>71.232761277078424</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167.7930610521567</v>
      </c>
      <c r="AF212" s="344"/>
      <c r="AG212" s="359">
        <f t="shared" ca="1" si="114"/>
        <v>68.630149387606622</v>
      </c>
      <c r="AH212" s="357">
        <f t="shared" ca="1" si="115"/>
        <v>78.209436898911335</v>
      </c>
    </row>
    <row r="213" spans="1:34" x14ac:dyDescent="0.25">
      <c r="A213" s="402">
        <f t="shared" ca="1" si="93"/>
        <v>0.01</v>
      </c>
      <c r="B213" s="357">
        <f t="shared" ca="1" si="94"/>
        <v>2.0899999999999994</v>
      </c>
      <c r="C213" s="342"/>
      <c r="D213" s="359">
        <f t="shared" ca="1" si="95"/>
        <v>16.837611213620978</v>
      </c>
      <c r="E213" s="360">
        <f t="shared" ca="1" si="96"/>
        <v>66.402699833517644</v>
      </c>
      <c r="F213" s="357">
        <f t="shared" ca="1" si="97"/>
        <v>68.504187438150808</v>
      </c>
      <c r="G213" s="359">
        <f t="shared" ca="1" si="98"/>
        <v>35.036652683214662</v>
      </c>
      <c r="H213" s="360">
        <f t="shared" ca="1" si="99"/>
        <v>158.48959158162597</v>
      </c>
      <c r="I213" s="357">
        <f t="shared" ca="1" si="100"/>
        <v>162.31610416392706</v>
      </c>
      <c r="J213" s="359">
        <f t="shared" ca="1" si="101"/>
        <v>35.26951481689138</v>
      </c>
      <c r="K213" s="360">
        <f t="shared" ca="1" si="102"/>
        <v>169.37463683298128</v>
      </c>
      <c r="L213" s="357">
        <f t="shared" ca="1" si="87"/>
        <v>173.00782143511091</v>
      </c>
      <c r="M213" s="359">
        <f t="shared" ca="1" si="103"/>
        <v>1.3532295064119413</v>
      </c>
      <c r="N213" s="357">
        <f t="shared" ca="1" si="104"/>
        <v>77.534339429975816</v>
      </c>
      <c r="O213" s="343"/>
      <c r="P213" s="363">
        <f t="shared" ca="1" si="105"/>
        <v>8</v>
      </c>
      <c r="Q213" s="357">
        <f t="shared" ca="1" si="106"/>
        <v>896.36388888888894</v>
      </c>
      <c r="R213" s="359">
        <f t="shared" ca="1" si="107"/>
        <v>0.44901758943235903</v>
      </c>
      <c r="S213" s="360">
        <f t="shared" ca="1" si="108"/>
        <v>10.571759475117968</v>
      </c>
      <c r="T213" s="357">
        <f t="shared" ca="1" si="88"/>
        <v>103.70896045090727</v>
      </c>
      <c r="U213" s="364">
        <f t="shared" ca="1" si="89"/>
        <v>0</v>
      </c>
      <c r="V213" s="359">
        <f t="shared" ca="1" si="90"/>
        <v>1.2044258439980089</v>
      </c>
      <c r="W213" s="357">
        <f t="shared" ca="1" si="91"/>
        <v>71.82620232197884</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169.37463683298128</v>
      </c>
      <c r="AF213" s="344"/>
      <c r="AG213" s="359">
        <f t="shared" ca="1" si="114"/>
        <v>68.4714907236268</v>
      </c>
      <c r="AH213" s="357">
        <f t="shared" ca="1" si="115"/>
        <v>78.050501390413345</v>
      </c>
    </row>
    <row r="214" spans="1:34" x14ac:dyDescent="0.25">
      <c r="A214" s="402">
        <f t="shared" ca="1" si="93"/>
        <v>0.01</v>
      </c>
      <c r="B214" s="357">
        <f t="shared" ca="1" si="94"/>
        <v>2.0999999999999992</v>
      </c>
      <c r="C214" s="342"/>
      <c r="D214" s="359">
        <f t="shared" ca="1" si="95"/>
        <v>16.81318119792034</v>
      </c>
      <c r="E214" s="360">
        <f t="shared" ca="1" si="96"/>
        <v>66.24504570711683</v>
      </c>
      <c r="F214" s="357">
        <f t="shared" ca="1" si="97"/>
        <v>68.345366651530227</v>
      </c>
      <c r="G214" s="359">
        <f t="shared" ca="1" si="98"/>
        <v>35.204784495193863</v>
      </c>
      <c r="H214" s="360">
        <f t="shared" ca="1" si="99"/>
        <v>159.15204203869715</v>
      </c>
      <c r="I214" s="357">
        <f t="shared" ca="1" si="100"/>
        <v>162.99923109156148</v>
      </c>
      <c r="J214" s="359">
        <f t="shared" ca="1" si="101"/>
        <v>35.620722002783424</v>
      </c>
      <c r="K214" s="360">
        <f t="shared" ca="1" si="102"/>
        <v>170.96284500108288</v>
      </c>
      <c r="L214" s="357">
        <f t="shared" ca="1" si="87"/>
        <v>174.63427557860419</v>
      </c>
      <c r="M214" s="359">
        <f t="shared" ca="1" si="103"/>
        <v>1.3530995958532512</v>
      </c>
      <c r="N214" s="357">
        <f t="shared" ca="1" si="104"/>
        <v>77.526896103248689</v>
      </c>
      <c r="O214" s="343"/>
      <c r="P214" s="363">
        <f t="shared" ca="1" si="105"/>
        <v>8</v>
      </c>
      <c r="Q214" s="357">
        <f t="shared" ca="1" si="106"/>
        <v>894.92500000000007</v>
      </c>
      <c r="R214" s="359">
        <f t="shared" ca="1" si="107"/>
        <v>0.44829680356809271</v>
      </c>
      <c r="S214" s="360">
        <f t="shared" ca="1" si="108"/>
        <v>10.567276507082287</v>
      </c>
      <c r="T214" s="357">
        <f t="shared" ca="1" si="88"/>
        <v>103.66498253447725</v>
      </c>
      <c r="U214" s="364">
        <f t="shared" ca="1" si="89"/>
        <v>0</v>
      </c>
      <c r="V214" s="359">
        <f t="shared" ca="1" si="90"/>
        <v>1.2042345574442195</v>
      </c>
      <c r="W214" s="357">
        <f t="shared" ca="1" si="91"/>
        <v>72.420549399844816</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170.96284500108288</v>
      </c>
      <c r="AF214" s="344"/>
      <c r="AG214" s="359">
        <f t="shared" ca="1" si="114"/>
        <v>68.312555218552461</v>
      </c>
      <c r="AH214" s="357">
        <f t="shared" ca="1" si="115"/>
        <v>77.891289882153913</v>
      </c>
    </row>
    <row r="215" spans="1:34" x14ac:dyDescent="0.25">
      <c r="A215" s="402">
        <f t="shared" ca="1" si="93"/>
        <v>0.01</v>
      </c>
      <c r="B215" s="357">
        <f t="shared" ca="1" si="94"/>
        <v>2.109999999999999</v>
      </c>
      <c r="C215" s="342"/>
      <c r="D215" s="359">
        <f t="shared" ca="1" si="95"/>
        <v>16.788615531829262</v>
      </c>
      <c r="E215" s="360">
        <f t="shared" ca="1" si="96"/>
        <v>66.087139641857078</v>
      </c>
      <c r="F215" s="357">
        <f t="shared" ca="1" si="97"/>
        <v>68.186271620597466</v>
      </c>
      <c r="G215" s="359">
        <f t="shared" ca="1" si="98"/>
        <v>35.372670650512156</v>
      </c>
      <c r="H215" s="360">
        <f t="shared" ca="1" si="99"/>
        <v>159.81291343511572</v>
      </c>
      <c r="I215" s="357">
        <f t="shared" ca="1" si="100"/>
        <v>163.68076591209302</v>
      </c>
      <c r="J215" s="359">
        <f t="shared" ca="1" si="101"/>
        <v>35.973609278511951</v>
      </c>
      <c r="K215" s="360">
        <f t="shared" ca="1" si="102"/>
        <v>172.55766977845195</v>
      </c>
      <c r="L215" s="357">
        <f t="shared" ca="1" si="87"/>
        <v>176.26755221506966</v>
      </c>
      <c r="M215" s="359">
        <f t="shared" ca="1" si="103"/>
        <v>1.3529701501931723</v>
      </c>
      <c r="N215" s="357">
        <f t="shared" ca="1" si="104"/>
        <v>77.519479413249883</v>
      </c>
      <c r="O215" s="343"/>
      <c r="P215" s="363">
        <f t="shared" ca="1" si="105"/>
        <v>8</v>
      </c>
      <c r="Q215" s="357">
        <f t="shared" ca="1" si="106"/>
        <v>893.4861111111112</v>
      </c>
      <c r="R215" s="359">
        <f t="shared" ca="1" si="107"/>
        <v>0.44757601770382643</v>
      </c>
      <c r="S215" s="360">
        <f t="shared" ca="1" si="108"/>
        <v>10.562800746905248</v>
      </c>
      <c r="T215" s="357">
        <f t="shared" ca="1" si="88"/>
        <v>103.62107532714049</v>
      </c>
      <c r="U215" s="364">
        <f t="shared" ca="1" si="89"/>
        <v>0</v>
      </c>
      <c r="V215" s="359">
        <f t="shared" ca="1" si="90"/>
        <v>1.2040425042834022</v>
      </c>
      <c r="W215" s="357">
        <f t="shared" ca="1" si="91"/>
        <v>73.015780737513836</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172.55766977845195</v>
      </c>
      <c r="AF215" s="344"/>
      <c r="AG215" s="359">
        <f t="shared" ca="1" si="114"/>
        <v>68.153344919943706</v>
      </c>
      <c r="AH215" s="357">
        <f t="shared" ca="1" si="115"/>
        <v>77.731804412937265</v>
      </c>
    </row>
    <row r="216" spans="1:34" x14ac:dyDescent="0.25">
      <c r="A216" s="402">
        <f t="shared" ca="1" si="93"/>
        <v>0.01</v>
      </c>
      <c r="B216" s="357">
        <f t="shared" ca="1" si="94"/>
        <v>2.1199999999999988</v>
      </c>
      <c r="C216" s="342"/>
      <c r="D216" s="359">
        <f t="shared" ca="1" si="95"/>
        <v>16.763915147551234</v>
      </c>
      <c r="E216" s="360">
        <f t="shared" ca="1" si="96"/>
        <v>65.928983544078022</v>
      </c>
      <c r="F216" s="357">
        <f t="shared" ca="1" si="97"/>
        <v>68.026904399874084</v>
      </c>
      <c r="G216" s="359">
        <f t="shared" ca="1" si="98"/>
        <v>35.540309801987668</v>
      </c>
      <c r="H216" s="360">
        <f t="shared" ca="1" si="99"/>
        <v>160.47220327055649</v>
      </c>
      <c r="I216" s="357">
        <f t="shared" ca="1" si="100"/>
        <v>164.36070589811928</v>
      </c>
      <c r="J216" s="359">
        <f t="shared" ca="1" si="101"/>
        <v>36.328174180774447</v>
      </c>
      <c r="K216" s="360">
        <f t="shared" ca="1" si="102"/>
        <v>174.15909536198032</v>
      </c>
      <c r="L216" s="357">
        <f t="shared" ca="1" si="87"/>
        <v>177.90763540841087</v>
      </c>
      <c r="M216" s="359">
        <f t="shared" ca="1" si="103"/>
        <v>1.3528411645977887</v>
      </c>
      <c r="N216" s="357">
        <f t="shared" ca="1" si="104"/>
        <v>77.512089083016406</v>
      </c>
      <c r="O216" s="343"/>
      <c r="P216" s="363">
        <f t="shared" ca="1" si="105"/>
        <v>8</v>
      </c>
      <c r="Q216" s="357">
        <f t="shared" ca="1" si="106"/>
        <v>892.04722222222233</v>
      </c>
      <c r="R216" s="359">
        <f t="shared" ca="1" si="107"/>
        <v>0.44685523183956011</v>
      </c>
      <c r="S216" s="360">
        <f t="shared" ca="1" si="108"/>
        <v>10.558332194586853</v>
      </c>
      <c r="T216" s="357">
        <f t="shared" ca="1" si="88"/>
        <v>103.57723882889704</v>
      </c>
      <c r="U216" s="364">
        <f t="shared" ca="1" si="89"/>
        <v>0</v>
      </c>
      <c r="V216" s="359">
        <f t="shared" ca="1" si="90"/>
        <v>1.2038496867889306</v>
      </c>
      <c r="W216" s="357">
        <f t="shared" ca="1" si="91"/>
        <v>73.611874594090168</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174.15909536198032</v>
      </c>
      <c r="AF216" s="344"/>
      <c r="AG216" s="359">
        <f t="shared" ca="1" si="114"/>
        <v>67.993861876840839</v>
      </c>
      <c r="AH216" s="357">
        <f t="shared" ca="1" si="115"/>
        <v>77.572047023166917</v>
      </c>
    </row>
    <row r="217" spans="1:34" x14ac:dyDescent="0.25">
      <c r="A217" s="402">
        <f t="shared" ca="1" si="93"/>
        <v>0.01</v>
      </c>
      <c r="B217" s="357">
        <f t="shared" ca="1" si="94"/>
        <v>2.1299999999999986</v>
      </c>
      <c r="C217" s="342"/>
      <c r="D217" s="359">
        <f t="shared" ca="1" si="95"/>
        <v>16.739080971015131</v>
      </c>
      <c r="E217" s="360">
        <f t="shared" ca="1" si="96"/>
        <v>65.770579322716372</v>
      </c>
      <c r="F217" s="357">
        <f t="shared" ca="1" si="97"/>
        <v>67.867267045313724</v>
      </c>
      <c r="G217" s="359">
        <f t="shared" ca="1" si="98"/>
        <v>35.707700611697817</v>
      </c>
      <c r="H217" s="360">
        <f t="shared" ca="1" si="99"/>
        <v>161.12990906378366</v>
      </c>
      <c r="I217" s="357">
        <f t="shared" ca="1" si="100"/>
        <v>165.03904834274169</v>
      </c>
      <c r="J217" s="359">
        <f t="shared" ca="1" si="101"/>
        <v>36.684414232842876</v>
      </c>
      <c r="K217" s="360">
        <f t="shared" ca="1" si="102"/>
        <v>175.76710592365203</v>
      </c>
      <c r="L217" s="357">
        <f t="shared" ca="1" si="87"/>
        <v>179.55450919535025</v>
      </c>
      <c r="M217" s="359">
        <f t="shared" ca="1" si="103"/>
        <v>1.3527126343013329</v>
      </c>
      <c r="N217" s="357">
        <f t="shared" ca="1" si="104"/>
        <v>77.504724839489938</v>
      </c>
      <c r="O217" s="343"/>
      <c r="P217" s="363">
        <f t="shared" ca="1" si="105"/>
        <v>8</v>
      </c>
      <c r="Q217" s="357">
        <f t="shared" ca="1" si="106"/>
        <v>890.60833333333346</v>
      </c>
      <c r="R217" s="359">
        <f t="shared" ca="1" si="107"/>
        <v>0.44613444597529378</v>
      </c>
      <c r="S217" s="360">
        <f t="shared" ca="1" si="108"/>
        <v>10.553870850127101</v>
      </c>
      <c r="T217" s="357">
        <f t="shared" ca="1" si="88"/>
        <v>103.53347303974687</v>
      </c>
      <c r="U217" s="364">
        <f t="shared" ca="1" si="89"/>
        <v>0</v>
      </c>
      <c r="V217" s="359">
        <f t="shared" ca="1" si="90"/>
        <v>1.2036561072373544</v>
      </c>
      <c r="W217" s="357">
        <f t="shared" ca="1" si="91"/>
        <v>74.208809261714848</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175.76710592365203</v>
      </c>
      <c r="AF217" s="344"/>
      <c r="AG217" s="359">
        <f t="shared" ca="1" si="114"/>
        <v>67.834108139682868</v>
      </c>
      <c r="AH217" s="357">
        <f t="shared" ca="1" si="115"/>
        <v>77.412019754761744</v>
      </c>
    </row>
    <row r="218" spans="1:34" x14ac:dyDescent="0.25">
      <c r="A218" s="402">
        <f t="shared" ca="1" si="93"/>
        <v>0.01</v>
      </c>
      <c r="B218" s="357">
        <f t="shared" ca="1" si="94"/>
        <v>2.1399999999999983</v>
      </c>
      <c r="C218" s="342"/>
      <c r="D218" s="359">
        <f t="shared" ca="1" si="95"/>
        <v>16.714113921992457</v>
      </c>
      <c r="E218" s="360">
        <f t="shared" ca="1" si="96"/>
        <v>65.611928889201366</v>
      </c>
      <c r="F218" s="357">
        <f t="shared" ca="1" si="97"/>
        <v>67.707361614221526</v>
      </c>
      <c r="G218" s="359">
        <f t="shared" ca="1" si="98"/>
        <v>35.874841750917739</v>
      </c>
      <c r="H218" s="360">
        <f t="shared" ca="1" si="99"/>
        <v>161.78602835267566</v>
      </c>
      <c r="I218" s="357">
        <f t="shared" ca="1" si="100"/>
        <v>165.71579055957872</v>
      </c>
      <c r="J218" s="359">
        <f t="shared" ca="1" si="101"/>
        <v>37.042326944655954</v>
      </c>
      <c r="K218" s="360">
        <f t="shared" ca="1" si="102"/>
        <v>177.38168561073431</v>
      </c>
      <c r="L218" s="357">
        <f t="shared" ca="1" si="87"/>
        <v>181.20815758563458</v>
      </c>
      <c r="M218" s="359">
        <f t="shared" ca="1" si="103"/>
        <v>1.3525845546048769</v>
      </c>
      <c r="N218" s="357">
        <f t="shared" ca="1" si="104"/>
        <v>77.497386413441689</v>
      </c>
      <c r="O218" s="343"/>
      <c r="P218" s="363">
        <f t="shared" ca="1" si="105"/>
        <v>8</v>
      </c>
      <c r="Q218" s="357">
        <f t="shared" ca="1" si="106"/>
        <v>889.16944444444459</v>
      </c>
      <c r="R218" s="359">
        <f t="shared" ca="1" si="107"/>
        <v>0.44541366011102751</v>
      </c>
      <c r="S218" s="360">
        <f t="shared" ca="1" si="108"/>
        <v>10.549416713525991</v>
      </c>
      <c r="T218" s="357">
        <f t="shared" ca="1" si="88"/>
        <v>103.48977795968997</v>
      </c>
      <c r="U218" s="364">
        <f t="shared" ca="1" si="89"/>
        <v>0</v>
      </c>
      <c r="V218" s="359">
        <f t="shared" ca="1" si="90"/>
        <v>1.2034617679083597</v>
      </c>
      <c r="W218" s="357">
        <f t="shared" ca="1" si="91"/>
        <v>74.806563066331009</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177.38168561073431</v>
      </c>
      <c r="AF218" s="344"/>
      <c r="AG218" s="359">
        <f t="shared" ca="1" si="114"/>
        <v>67.674085760225907</v>
      </c>
      <c r="AH218" s="357">
        <f t="shared" ca="1" si="115"/>
        <v>77.25172465107228</v>
      </c>
    </row>
    <row r="219" spans="1:34" x14ac:dyDescent="0.25">
      <c r="A219" s="402">
        <f t="shared" ca="1" si="93"/>
        <v>0.01</v>
      </c>
      <c r="B219" s="357">
        <f t="shared" ca="1" si="94"/>
        <v>2.1499999999999981</v>
      </c>
      <c r="C219" s="342"/>
      <c r="D219" s="359">
        <f t="shared" ca="1" si="95"/>
        <v>16.689014914211647</v>
      </c>
      <c r="E219" s="360">
        <f t="shared" ca="1" si="96"/>
        <v>65.4530341573507</v>
      </c>
      <c r="F219" s="357">
        <f t="shared" ca="1" si="97"/>
        <v>67.54719016517339</v>
      </c>
      <c r="G219" s="359">
        <f t="shared" ca="1" si="98"/>
        <v>36.041731900059858</v>
      </c>
      <c r="H219" s="360">
        <f t="shared" ca="1" si="99"/>
        <v>162.44055869424918</v>
      </c>
      <c r="I219" s="357">
        <f t="shared" ca="1" si="100"/>
        <v>166.39092988277818</v>
      </c>
      <c r="J219" s="359">
        <f t="shared" ca="1" si="101"/>
        <v>37.401909812910844</v>
      </c>
      <c r="K219" s="360">
        <f t="shared" ca="1" si="102"/>
        <v>179.00281854596892</v>
      </c>
      <c r="L219" s="357">
        <f t="shared" ca="1" si="87"/>
        <v>182.86856456224015</v>
      </c>
      <c r="M219" s="359">
        <f t="shared" ca="1" si="103"/>
        <v>1.3524569208750568</v>
      </c>
      <c r="N219" s="357">
        <f t="shared" ca="1" si="104"/>
        <v>77.490073539399475</v>
      </c>
      <c r="O219" s="343"/>
      <c r="P219" s="363">
        <f t="shared" ca="1" si="105"/>
        <v>8</v>
      </c>
      <c r="Q219" s="357">
        <f t="shared" ca="1" si="106"/>
        <v>887.73055555555584</v>
      </c>
      <c r="R219" s="359">
        <f t="shared" ca="1" si="107"/>
        <v>0.44469287424676124</v>
      </c>
      <c r="S219" s="360">
        <f t="shared" ca="1" si="108"/>
        <v>10.544969784783524</v>
      </c>
      <c r="T219" s="357">
        <f t="shared" ca="1" si="88"/>
        <v>103.44615358872638</v>
      </c>
      <c r="U219" s="364">
        <f t="shared" ca="1" si="89"/>
        <v>0</v>
      </c>
      <c r="V219" s="359">
        <f t="shared" ca="1" si="90"/>
        <v>1.2032666710847297</v>
      </c>
      <c r="W219" s="357">
        <f t="shared" ca="1" si="91"/>
        <v>75.405114368445084</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179.00281854596892</v>
      </c>
      <c r="AF219" s="344"/>
      <c r="AG219" s="359">
        <f t="shared" ca="1" si="114"/>
        <v>67.513796791461772</v>
      </c>
      <c r="AH219" s="357">
        <f t="shared" ca="1" si="115"/>
        <v>77.091163756797172</v>
      </c>
    </row>
    <row r="220" spans="1:34" x14ac:dyDescent="0.25">
      <c r="A220" s="402">
        <f t="shared" ca="1" si="93"/>
        <v>0.01</v>
      </c>
      <c r="B220" s="357">
        <f t="shared" ca="1" si="94"/>
        <v>2.1599999999999979</v>
      </c>
      <c r="C220" s="342"/>
      <c r="D220" s="359">
        <f t="shared" ca="1" si="95"/>
        <v>16.663784855468933</v>
      </c>
      <c r="E220" s="360">
        <f t="shared" ca="1" si="96"/>
        <v>65.293897043267393</v>
      </c>
      <c r="F220" s="357">
        <f t="shared" ca="1" si="97"/>
        <v>67.38675475793562</v>
      </c>
      <c r="G220" s="359">
        <f t="shared" ca="1" si="98"/>
        <v>36.208369748614544</v>
      </c>
      <c r="H220" s="360">
        <f t="shared" ca="1" si="99"/>
        <v>163.09349766468185</v>
      </c>
      <c r="I220" s="357">
        <f t="shared" ca="1" si="100"/>
        <v>167.06446366702875</v>
      </c>
      <c r="J220" s="359">
        <f t="shared" ca="1" si="101"/>
        <v>37.763160321154217</v>
      </c>
      <c r="K220" s="360">
        <f t="shared" ca="1" si="102"/>
        <v>180.63048882776357</v>
      </c>
      <c r="L220" s="357">
        <f t="shared" ca="1" si="87"/>
        <v>184.53571408157831</v>
      </c>
      <c r="M220" s="359">
        <f t="shared" ca="1" si="103"/>
        <v>1.3523297285428273</v>
      </c>
      <c r="N220" s="357">
        <f t="shared" ca="1" si="104"/>
        <v>77.482785955576304</v>
      </c>
      <c r="O220" s="343"/>
      <c r="P220" s="363">
        <f t="shared" ca="1" si="105"/>
        <v>8</v>
      </c>
      <c r="Q220" s="357">
        <f t="shared" ca="1" si="106"/>
        <v>886.29166666666697</v>
      </c>
      <c r="R220" s="359">
        <f t="shared" ca="1" si="107"/>
        <v>0.44397208838249497</v>
      </c>
      <c r="S220" s="360">
        <f t="shared" ca="1" si="108"/>
        <v>10.540530063899698</v>
      </c>
      <c r="T220" s="357">
        <f t="shared" ca="1" si="88"/>
        <v>103.40259992685604</v>
      </c>
      <c r="U220" s="364">
        <f t="shared" ca="1" si="89"/>
        <v>0</v>
      </c>
      <c r="V220" s="359">
        <f t="shared" ca="1" si="90"/>
        <v>1.2030708190523078</v>
      </c>
      <c r="W220" s="357">
        <f t="shared" ca="1" si="91"/>
        <v>76.004441563883546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180.63048882776357</v>
      </c>
      <c r="AF220" s="344"/>
      <c r="AG220" s="359">
        <f t="shared" ca="1" si="114"/>
        <v>67.353243287536756</v>
      </c>
      <c r="AH220" s="357">
        <f t="shared" ca="1" si="115"/>
        <v>76.930339117899806</v>
      </c>
    </row>
    <row r="221" spans="1:34" x14ac:dyDescent="0.25">
      <c r="A221" s="402">
        <f t="shared" ca="1" si="93"/>
        <v>0.01</v>
      </c>
      <c r="B221" s="357">
        <f t="shared" ca="1" si="94"/>
        <v>2.1699999999999977</v>
      </c>
      <c r="C221" s="342"/>
      <c r="D221" s="359">
        <f t="shared" ca="1" si="95"/>
        <v>16.638424647736205</v>
      </c>
      <c r="E221" s="360">
        <f t="shared" ca="1" si="96"/>
        <v>65.134519465237233</v>
      </c>
      <c r="F221" s="357">
        <f t="shared" ca="1" si="97"/>
        <v>67.226057453384584</v>
      </c>
      <c r="G221" s="359">
        <f t="shared" ca="1" si="98"/>
        <v>36.374753995091908</v>
      </c>
      <c r="H221" s="360">
        <f t="shared" ca="1" si="99"/>
        <v>163.74484285933423</v>
      </c>
      <c r="I221" s="357">
        <f t="shared" ca="1" si="100"/>
        <v>167.73638928757086</v>
      </c>
      <c r="J221" s="359">
        <f t="shared" ca="1" si="101"/>
        <v>38.126075939872749</v>
      </c>
      <c r="K221" s="360">
        <f t="shared" ca="1" si="102"/>
        <v>182.26468053038366</v>
      </c>
      <c r="L221" s="357">
        <f t="shared" ca="1" si="87"/>
        <v>186.20959007370098</v>
      </c>
      <c r="M221" s="359">
        <f t="shared" ca="1" si="103"/>
        <v>1.3522029731022456</v>
      </c>
      <c r="N221" s="357">
        <f t="shared" ca="1" si="104"/>
        <v>77.475523403800651</v>
      </c>
      <c r="O221" s="343"/>
      <c r="P221" s="363">
        <f t="shared" ca="1" si="105"/>
        <v>8</v>
      </c>
      <c r="Q221" s="357">
        <f t="shared" ca="1" si="106"/>
        <v>884.8527777777781</v>
      </c>
      <c r="R221" s="359">
        <f t="shared" ca="1" si="107"/>
        <v>0.44325130251822864</v>
      </c>
      <c r="S221" s="360">
        <f t="shared" ca="1" si="108"/>
        <v>10.536097550874516</v>
      </c>
      <c r="T221" s="357">
        <f t="shared" ca="1" si="88"/>
        <v>103.359116974079</v>
      </c>
      <c r="U221" s="364">
        <f t="shared" ca="1" si="89"/>
        <v>0</v>
      </c>
      <c r="V221" s="359">
        <f t="shared" ca="1" si="90"/>
        <v>1.2028742140999555</v>
      </c>
      <c r="W221" s="357">
        <f t="shared" ca="1" si="91"/>
        <v>76.604523084545235</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182.26468053038366</v>
      </c>
      <c r="AF221" s="344"/>
      <c r="AG221" s="359">
        <f t="shared" ca="1" si="114"/>
        <v>67.192427303670542</v>
      </c>
      <c r="AH221" s="357">
        <f t="shared" ca="1" si="115"/>
        <v>76.769252781525225</v>
      </c>
    </row>
    <row r="222" spans="1:34" x14ac:dyDescent="0.25">
      <c r="A222" s="402">
        <f t="shared" ca="1" si="93"/>
        <v>0.01</v>
      </c>
      <c r="B222" s="357">
        <f t="shared" ca="1" si="94"/>
        <v>2.1799999999999975</v>
      </c>
      <c r="C222" s="342"/>
      <c r="D222" s="359">
        <f t="shared" ca="1" si="95"/>
        <v>16.61293518726589</v>
      </c>
      <c r="E222" s="360">
        <f t="shared" ca="1" si="96"/>
        <v>64.974903343626991</v>
      </c>
      <c r="F222" s="357">
        <f t="shared" ca="1" si="97"/>
        <v>67.065100313426569</v>
      </c>
      <c r="G222" s="359">
        <f t="shared" ca="1" si="98"/>
        <v>36.54088334696457</v>
      </c>
      <c r="H222" s="360">
        <f t="shared" ca="1" si="99"/>
        <v>164.39459189277051</v>
      </c>
      <c r="I222" s="357">
        <f t="shared" ca="1" si="100"/>
        <v>168.4067041402065</v>
      </c>
      <c r="J222" s="359">
        <f t="shared" ca="1" si="101"/>
        <v>38.490654126583031</v>
      </c>
      <c r="K222" s="360">
        <f t="shared" ca="1" si="102"/>
        <v>183.90537770414417</v>
      </c>
      <c r="L222" s="357">
        <f t="shared" ca="1" si="87"/>
        <v>187.89017644250637</v>
      </c>
      <c r="M222" s="359">
        <f t="shared" ca="1" si="103"/>
        <v>1.3520766501092834</v>
      </c>
      <c r="N222" s="357">
        <f t="shared" ca="1" si="104"/>
        <v>77.468285629448459</v>
      </c>
      <c r="O222" s="343"/>
      <c r="P222" s="363">
        <f t="shared" ca="1" si="105"/>
        <v>8</v>
      </c>
      <c r="Q222" s="357">
        <f t="shared" ca="1" si="106"/>
        <v>883.41388888888923</v>
      </c>
      <c r="R222" s="359">
        <f t="shared" ca="1" si="107"/>
        <v>0.44253051665396231</v>
      </c>
      <c r="S222" s="360">
        <f t="shared" ca="1" si="108"/>
        <v>10.531672245707975</v>
      </c>
      <c r="T222" s="357">
        <f t="shared" ca="1" si="88"/>
        <v>103.31570473039524</v>
      </c>
      <c r="U222" s="364">
        <f t="shared" ca="1" si="89"/>
        <v>0</v>
      </c>
      <c r="V222" s="359">
        <f t="shared" ca="1" si="90"/>
        <v>1.202676858519518</v>
      </c>
      <c r="W222" s="357">
        <f t="shared" ca="1" si="91"/>
        <v>77.205337399149187</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183.90537770414417</v>
      </c>
      <c r="AF222" s="344"/>
      <c r="AG222" s="359">
        <f t="shared" ca="1" si="114"/>
        <v>67.031350896075224</v>
      </c>
      <c r="AH222" s="357">
        <f t="shared" ca="1" si="115"/>
        <v>76.607906795917145</v>
      </c>
    </row>
    <row r="223" spans="1:34" x14ac:dyDescent="0.25">
      <c r="A223" s="402">
        <f t="shared" ca="1" si="93"/>
        <v>0.01</v>
      </c>
      <c r="B223" s="357">
        <f t="shared" ca="1" si="94"/>
        <v>2.1899999999999973</v>
      </c>
      <c r="C223" s="342"/>
      <c r="D223" s="359">
        <f t="shared" ca="1" si="95"/>
        <v>16.587317364692865</v>
      </c>
      <c r="E223" s="360">
        <f t="shared" ca="1" si="96"/>
        <v>64.815050600783252</v>
      </c>
      <c r="F223" s="357">
        <f t="shared" ca="1" si="97"/>
        <v>66.903885400917744</v>
      </c>
      <c r="G223" s="359">
        <f t="shared" ca="1" si="98"/>
        <v>36.706756520611499</v>
      </c>
      <c r="H223" s="360">
        <f t="shared" ca="1" si="99"/>
        <v>165.04274239877833</v>
      </c>
      <c r="I223" s="357">
        <f t="shared" ca="1" si="100"/>
        <v>169.07540564130832</v>
      </c>
      <c r="J223" s="359">
        <f t="shared" ca="1" si="101"/>
        <v>38.85689232592091</v>
      </c>
      <c r="K223" s="360">
        <f t="shared" ca="1" si="102"/>
        <v>185.55256437560192</v>
      </c>
      <c r="L223" s="357">
        <f t="shared" ca="1" si="87"/>
        <v>189.57745706594469</v>
      </c>
      <c r="M223" s="359">
        <f t="shared" ca="1" si="103"/>
        <v>1.3519507551806682</v>
      </c>
      <c r="N223" s="357">
        <f t="shared" ca="1" si="104"/>
        <v>77.461072381376709</v>
      </c>
      <c r="O223" s="343"/>
      <c r="P223" s="363">
        <f t="shared" ca="1" si="105"/>
        <v>8</v>
      </c>
      <c r="Q223" s="357">
        <f t="shared" ca="1" si="106"/>
        <v>881.97500000000036</v>
      </c>
      <c r="R223" s="359">
        <f t="shared" ca="1" si="107"/>
        <v>0.44180973078969604</v>
      </c>
      <c r="S223" s="360">
        <f t="shared" ca="1" si="108"/>
        <v>10.527254148400079</v>
      </c>
      <c r="T223" s="357">
        <f t="shared" ca="1" si="88"/>
        <v>103.27236319580479</v>
      </c>
      <c r="U223" s="364">
        <f t="shared" ca="1" si="89"/>
        <v>0</v>
      </c>
      <c r="V223" s="359">
        <f t="shared" ca="1" si="90"/>
        <v>1.2024787546057805</v>
      </c>
      <c r="W223" s="357">
        <f t="shared" ca="1" si="91"/>
        <v>77.806863013977775</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185.55256437560192</v>
      </c>
      <c r="AF223" s="344"/>
      <c r="AG223" s="359">
        <f t="shared" ca="1" si="114"/>
        <v>66.870016121874485</v>
      </c>
      <c r="AH223" s="357">
        <f t="shared" ca="1" si="115"/>
        <v>76.446303210335174</v>
      </c>
    </row>
    <row r="224" spans="1:34" x14ac:dyDescent="0.25">
      <c r="A224" s="402">
        <f t="shared" ca="1" si="93"/>
        <v>0.01</v>
      </c>
      <c r="B224" s="357">
        <f t="shared" ca="1" si="94"/>
        <v>2.1999999999999971</v>
      </c>
      <c r="C224" s="342"/>
      <c r="D224" s="359">
        <f t="shared" ca="1" si="95"/>
        <v>16.561572065133536</v>
      </c>
      <c r="E224" s="360">
        <f t="shared" ca="1" si="96"/>
        <v>64.654963160932041</v>
      </c>
      <c r="F224" s="357">
        <f t="shared" ca="1" si="97"/>
        <v>66.742414779584436</v>
      </c>
      <c r="G224" s="359">
        <f t="shared" ca="1" si="98"/>
        <v>36.872372241262838</v>
      </c>
      <c r="H224" s="360">
        <f t="shared" ca="1" si="99"/>
        <v>165.68929203038766</v>
      </c>
      <c r="I224" s="357">
        <f t="shared" ca="1" si="100"/>
        <v>169.7424912278282</v>
      </c>
      <c r="J224" s="359">
        <f t="shared" ca="1" si="101"/>
        <v>39.224787969730279</v>
      </c>
      <c r="K224" s="360">
        <f t="shared" ca="1" si="102"/>
        <v>187.20622454774775</v>
      </c>
      <c r="L224" s="357">
        <f t="shared" ca="1" si="87"/>
        <v>191.27141579622412</v>
      </c>
      <c r="M224" s="359">
        <f t="shared" ca="1" si="103"/>
        <v>1.35182528399275</v>
      </c>
      <c r="N224" s="357">
        <f t="shared" ca="1" si="104"/>
        <v>77.453883411858499</v>
      </c>
      <c r="O224" s="343"/>
      <c r="P224" s="363">
        <f t="shared" ca="1" si="105"/>
        <v>8</v>
      </c>
      <c r="Q224" s="357">
        <f t="shared" ca="1" si="106"/>
        <v>880.5361111111115</v>
      </c>
      <c r="R224" s="359">
        <f t="shared" ca="1" si="107"/>
        <v>0.44108894492542972</v>
      </c>
      <c r="S224" s="360">
        <f t="shared" ca="1" si="108"/>
        <v>10.522843258950825</v>
      </c>
      <c r="T224" s="357">
        <f t="shared" ca="1" si="88"/>
        <v>103.2290923703076</v>
      </c>
      <c r="U224" s="364">
        <f t="shared" ca="1" si="89"/>
        <v>0</v>
      </c>
      <c r="V224" s="359">
        <f t="shared" ca="1" si="90"/>
        <v>1.202279904656433</v>
      </c>
      <c r="W224" s="357">
        <f t="shared" ca="1" si="91"/>
        <v>78.409078473615793</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187.20622454774775</v>
      </c>
      <c r="AF224" s="344"/>
      <c r="AG224" s="359">
        <f t="shared" ca="1" si="114"/>
        <v>66.708425039023027</v>
      </c>
      <c r="AH224" s="357">
        <f t="shared" ca="1" si="115"/>
        <v>76.284444074972313</v>
      </c>
    </row>
    <row r="225" spans="1:34" x14ac:dyDescent="0.25">
      <c r="A225" s="402">
        <f t="shared" ca="1" si="93"/>
        <v>0.01</v>
      </c>
      <c r="B225" s="357">
        <f t="shared" ca="1" si="94"/>
        <v>2.2099999999999969</v>
      </c>
      <c r="C225" s="342"/>
      <c r="D225" s="359">
        <f t="shared" ca="1" si="95"/>
        <v>16.535700168282229</v>
      </c>
      <c r="E225" s="360">
        <f t="shared" ca="1" si="96"/>
        <v>64.494642950079125</v>
      </c>
      <c r="F225" s="357">
        <f t="shared" ca="1" si="97"/>
        <v>66.580690513943452</v>
      </c>
      <c r="G225" s="359">
        <f t="shared" ca="1" si="98"/>
        <v>37.037729242945659</v>
      </c>
      <c r="H225" s="360">
        <f t="shared" ca="1" si="99"/>
        <v>166.33423845988844</v>
      </c>
      <c r="I225" s="357">
        <f t="shared" ca="1" si="100"/>
        <v>170.40795835730438</v>
      </c>
      <c r="J225" s="359">
        <f t="shared" ca="1" si="101"/>
        <v>39.594338477151325</v>
      </c>
      <c r="K225" s="360">
        <f t="shared" ca="1" si="102"/>
        <v>188.86634220019914</v>
      </c>
      <c r="L225" s="357">
        <f t="shared" ca="1" si="87"/>
        <v>192.97203646001651</v>
      </c>
      <c r="M225" s="359">
        <f t="shared" ca="1" si="103"/>
        <v>1.3517002322803959</v>
      </c>
      <c r="N225" s="357">
        <f t="shared" ca="1" si="104"/>
        <v>77.44671847651972</v>
      </c>
      <c r="O225" s="343"/>
      <c r="P225" s="363">
        <f t="shared" ca="1" si="105"/>
        <v>8</v>
      </c>
      <c r="Q225" s="357">
        <f t="shared" ca="1" si="106"/>
        <v>879.09722222222263</v>
      </c>
      <c r="R225" s="359">
        <f t="shared" ca="1" si="107"/>
        <v>0.44036815906116339</v>
      </c>
      <c r="S225" s="360">
        <f t="shared" ca="1" si="108"/>
        <v>10.518439577360214</v>
      </c>
      <c r="T225" s="357">
        <f t="shared" ca="1" si="88"/>
        <v>103.1858922539037</v>
      </c>
      <c r="U225" s="364">
        <f t="shared" ca="1" si="89"/>
        <v>0</v>
      </c>
      <c r="V225" s="359">
        <f t="shared" ca="1" si="90"/>
        <v>1.2020803109720295</v>
      </c>
      <c r="W225" s="357">
        <f t="shared" ca="1" si="91"/>
        <v>79.011962361684311</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188.86634220019914</v>
      </c>
      <c r="AF225" s="344"/>
      <c r="AG225" s="359">
        <f t="shared" ca="1" si="114"/>
        <v>66.546579706226112</v>
      </c>
      <c r="AH225" s="357">
        <f t="shared" ca="1" si="115"/>
        <v>76.122331440872671</v>
      </c>
    </row>
    <row r="226" spans="1:34" x14ac:dyDescent="0.25">
      <c r="A226" s="402">
        <f t="shared" ca="1" si="93"/>
        <v>0.01</v>
      </c>
      <c r="B226" s="357">
        <f t="shared" ca="1" si="94"/>
        <v>2.2199999999999966</v>
      </c>
      <c r="C226" s="342"/>
      <c r="D226" s="359">
        <f t="shared" ca="1" si="95"/>
        <v>16.509702548504794</v>
      </c>
      <c r="E226" s="360">
        <f t="shared" ca="1" si="96"/>
        <v>64.334091895910731</v>
      </c>
      <c r="F226" s="357">
        <f t="shared" ca="1" si="97"/>
        <v>66.41871466922251</v>
      </c>
      <c r="G226" s="359">
        <f t="shared" ca="1" si="98"/>
        <v>37.202826268430705</v>
      </c>
      <c r="H226" s="360">
        <f t="shared" ca="1" si="99"/>
        <v>166.97757937884754</v>
      </c>
      <c r="I226" s="357">
        <f t="shared" ca="1" si="100"/>
        <v>171.07180450786848</v>
      </c>
      <c r="J226" s="359">
        <f t="shared" ca="1" si="101"/>
        <v>39.965541254708207</v>
      </c>
      <c r="K226" s="360">
        <f t="shared" ca="1" si="102"/>
        <v>190.53290128939281</v>
      </c>
      <c r="L226" s="357">
        <f t="shared" ca="1" si="87"/>
        <v>194.67930285866365</v>
      </c>
      <c r="M226" s="359">
        <f t="shared" ca="1" si="103"/>
        <v>1.3515755958359088</v>
      </c>
      <c r="N226" s="357">
        <f t="shared" ca="1" si="104"/>
        <v>77.439577334277104</v>
      </c>
      <c r="O226" s="343"/>
      <c r="P226" s="363">
        <f t="shared" ca="1" si="105"/>
        <v>8</v>
      </c>
      <c r="Q226" s="357">
        <f t="shared" ca="1" si="106"/>
        <v>877.65833333333376</v>
      </c>
      <c r="R226" s="359">
        <f t="shared" ca="1" si="107"/>
        <v>0.43964737319689712</v>
      </c>
      <c r="S226" s="360">
        <f t="shared" ca="1" si="108"/>
        <v>10.514043103628245</v>
      </c>
      <c r="T226" s="357">
        <f t="shared" ca="1" si="88"/>
        <v>103.14276284659309</v>
      </c>
      <c r="U226" s="364">
        <f t="shared" ca="1" si="89"/>
        <v>0</v>
      </c>
      <c r="V226" s="359">
        <f t="shared" ca="1" si="90"/>
        <v>1.2018799758559517</v>
      </c>
      <c r="W226" s="357">
        <f t="shared" ca="1" si="91"/>
        <v>79.61549330157051</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190.53290128939281</v>
      </c>
      <c r="AF226" s="344"/>
      <c r="AG226" s="359">
        <f t="shared" ca="1" si="114"/>
        <v>66.384482182859188</v>
      </c>
      <c r="AH226" s="357">
        <f t="shared" ca="1" si="115"/>
        <v>75.959967359849244</v>
      </c>
    </row>
    <row r="227" spans="1:34" x14ac:dyDescent="0.25">
      <c r="A227" s="402">
        <f t="shared" ca="1" si="93"/>
        <v>0.01</v>
      </c>
      <c r="B227" s="357">
        <f t="shared" ca="1" si="94"/>
        <v>2.2299999999999964</v>
      </c>
      <c r="C227" s="342"/>
      <c r="D227" s="359">
        <f t="shared" ca="1" si="95"/>
        <v>16.483580074929723</v>
      </c>
      <c r="E227" s="360">
        <f t="shared" ca="1" si="96"/>
        <v>64.173311927695352</v>
      </c>
      <c r="F227" s="357">
        <f t="shared" ca="1" si="97"/>
        <v>66.256489311281101</v>
      </c>
      <c r="G227" s="359">
        <f t="shared" ca="1" si="98"/>
        <v>37.36766206918</v>
      </c>
      <c r="H227" s="360">
        <f t="shared" ca="1" si="99"/>
        <v>167.61931249812449</v>
      </c>
      <c r="I227" s="357">
        <f t="shared" ca="1" si="100"/>
        <v>171.73402717825127</v>
      </c>
      <c r="J227" s="359">
        <f t="shared" ca="1" si="101"/>
        <v>40.33839369639626</v>
      </c>
      <c r="K227" s="360">
        <f t="shared" ca="1" si="102"/>
        <v>192.20588574877766</v>
      </c>
      <c r="L227" s="357">
        <f t="shared" ca="1" si="87"/>
        <v>196.39319876838309</v>
      </c>
      <c r="M227" s="359">
        <f t="shared" ca="1" si="103"/>
        <v>1.3514513705079718</v>
      </c>
      <c r="N227" s="357">
        <f t="shared" ca="1" si="104"/>
        <v>77.432459747277676</v>
      </c>
      <c r="O227" s="343"/>
      <c r="P227" s="363">
        <f t="shared" ca="1" si="105"/>
        <v>8</v>
      </c>
      <c r="Q227" s="357">
        <f t="shared" ca="1" si="106"/>
        <v>876.21944444444489</v>
      </c>
      <c r="R227" s="359">
        <f t="shared" ca="1" si="107"/>
        <v>0.43892658733263079</v>
      </c>
      <c r="S227" s="360">
        <f t="shared" ca="1" si="108"/>
        <v>10.509653837754918</v>
      </c>
      <c r="T227" s="357">
        <f t="shared" ca="1" si="88"/>
        <v>103.09970414837575</v>
      </c>
      <c r="U227" s="364">
        <f t="shared" ca="1" si="89"/>
        <v>0</v>
      </c>
      <c r="V227" s="359">
        <f t="shared" ca="1" si="90"/>
        <v>1.201678901614367</v>
      </c>
      <c r="W227" s="357">
        <f t="shared" ca="1" si="91"/>
        <v>80.219649957152313</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192.20588574877766</v>
      </c>
      <c r="AF227" s="344"/>
      <c r="AG227" s="359">
        <f t="shared" ca="1" si="114"/>
        <v>66.222134528887864</v>
      </c>
      <c r="AH227" s="357">
        <f t="shared" ca="1" si="115"/>
        <v>75.797353884402128</v>
      </c>
    </row>
    <row r="228" spans="1:34" x14ac:dyDescent="0.25">
      <c r="A228" s="402">
        <f t="shared" ca="1" si="93"/>
        <v>0.01</v>
      </c>
      <c r="B228" s="357">
        <f t="shared" ca="1" si="94"/>
        <v>2.2399999999999962</v>
      </c>
      <c r="C228" s="342"/>
      <c r="D228" s="359">
        <f t="shared" ca="1" si="95"/>
        <v>16.457333611536693</v>
      </c>
      <c r="E228" s="360">
        <f t="shared" ca="1" si="96"/>
        <v>64.012304976185831</v>
      </c>
      <c r="F228" s="357">
        <f t="shared" ca="1" si="97"/>
        <v>66.094016506531361</v>
      </c>
      <c r="G228" s="359">
        <f t="shared" ca="1" si="98"/>
        <v>37.532235405295367</v>
      </c>
      <c r="H228" s="360">
        <f t="shared" ca="1" si="99"/>
        <v>168.25943554788634</v>
      </c>
      <c r="I228" s="357">
        <f t="shared" ca="1" si="100"/>
        <v>172.39462388778782</v>
      </c>
      <c r="J228" s="359">
        <f t="shared" ca="1" si="101"/>
        <v>40.712893183768635</v>
      </c>
      <c r="K228" s="360">
        <f t="shared" ca="1" si="102"/>
        <v>193.8852794890077</v>
      </c>
      <c r="L228" s="357">
        <f t="shared" ca="1" si="87"/>
        <v>198.1137079404744</v>
      </c>
      <c r="M228" s="359">
        <f t="shared" ca="1" si="103"/>
        <v>1.351327552200617</v>
      </c>
      <c r="N228" s="357">
        <f t="shared" ca="1" si="104"/>
        <v>77.425365480839787</v>
      </c>
      <c r="O228" s="343"/>
      <c r="P228" s="363">
        <f t="shared" ca="1" si="105"/>
        <v>8</v>
      </c>
      <c r="Q228" s="357">
        <f t="shared" ca="1" si="106"/>
        <v>874.78055555555613</v>
      </c>
      <c r="R228" s="359">
        <f t="shared" ca="1" si="107"/>
        <v>0.43820580146836452</v>
      </c>
      <c r="S228" s="360">
        <f t="shared" ca="1" si="108"/>
        <v>10.505271779740234</v>
      </c>
      <c r="T228" s="357">
        <f t="shared" ca="1" si="88"/>
        <v>103.05671615925169</v>
      </c>
      <c r="U228" s="364">
        <f t="shared" ca="1" si="89"/>
        <v>0</v>
      </c>
      <c r="V228" s="359">
        <f t="shared" ca="1" si="90"/>
        <v>1.201477090556192</v>
      </c>
      <c r="W228" s="357">
        <f t="shared" ca="1" si="91"/>
        <v>80.824411033518871</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193.8852794890077</v>
      </c>
      <c r="AF228" s="344"/>
      <c r="AG228" s="359">
        <f t="shared" ca="1" si="114"/>
        <v>66.059538804787977</v>
      </c>
      <c r="AH228" s="357">
        <f t="shared" ca="1" si="115"/>
        <v>75.634493067636853</v>
      </c>
    </row>
    <row r="229" spans="1:34" x14ac:dyDescent="0.25">
      <c r="A229" s="402">
        <f t="shared" ca="1" si="93"/>
        <v>0.01</v>
      </c>
      <c r="B229" s="357">
        <f t="shared" ca="1" si="94"/>
        <v>2.249999999999996</v>
      </c>
      <c r="C229" s="342"/>
      <c r="D229" s="359">
        <f t="shared" ca="1" si="95"/>
        <v>16.430964017242658</v>
      </c>
      <c r="E229" s="360">
        <f t="shared" ca="1" si="96"/>
        <v>63.851072973522307</v>
      </c>
      <c r="F229" s="357">
        <f t="shared" ca="1" si="97"/>
        <v>65.931298321859202</v>
      </c>
      <c r="G229" s="359">
        <f t="shared" ca="1" si="98"/>
        <v>37.696545045467793</v>
      </c>
      <c r="H229" s="360">
        <f t="shared" ca="1" si="99"/>
        <v>168.89794627762157</v>
      </c>
      <c r="I229" s="357">
        <f t="shared" ca="1" si="100"/>
        <v>173.05359217642183</v>
      </c>
      <c r="J229" s="359">
        <f t="shared" ca="1" si="101"/>
        <v>41.089037086022451</v>
      </c>
      <c r="K229" s="360">
        <f t="shared" ca="1" si="102"/>
        <v>195.57106639813523</v>
      </c>
      <c r="L229" s="357">
        <f t="shared" ca="1" si="87"/>
        <v>199.84081410152518</v>
      </c>
      <c r="M229" s="359">
        <f t="shared" ca="1" si="103"/>
        <v>1.3512041368722176</v>
      </c>
      <c r="N229" s="357">
        <f t="shared" ca="1" si="104"/>
        <v>77.418294303395285</v>
      </c>
      <c r="O229" s="343"/>
      <c r="P229" s="363">
        <f t="shared" ca="1" si="105"/>
        <v>8</v>
      </c>
      <c r="Q229" s="357">
        <f t="shared" ca="1" si="106"/>
        <v>873.34166666666727</v>
      </c>
      <c r="R229" s="359">
        <f t="shared" ca="1" si="107"/>
        <v>0.43748501560409825</v>
      </c>
      <c r="S229" s="360">
        <f t="shared" ca="1" si="108"/>
        <v>10.500896929584194</v>
      </c>
      <c r="T229" s="357">
        <f t="shared" ca="1" si="88"/>
        <v>103.01379887922094</v>
      </c>
      <c r="U229" s="364">
        <f t="shared" ca="1" si="89"/>
        <v>0</v>
      </c>
      <c r="V229" s="359">
        <f t="shared" ca="1" si="90"/>
        <v>1.2012745449930531</v>
      </c>
      <c r="W229" s="357">
        <f t="shared" ca="1" si="91"/>
        <v>81.429755277685857</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195.57106639813523</v>
      </c>
      <c r="AF229" s="344"/>
      <c r="AG229" s="359">
        <f t="shared" ca="1" si="114"/>
        <v>65.896697071465894</v>
      </c>
      <c r="AH229" s="357">
        <f t="shared" ca="1" si="115"/>
        <v>75.471386963182951</v>
      </c>
    </row>
    <row r="230" spans="1:34" x14ac:dyDescent="0.25">
      <c r="A230" s="402">
        <f t="shared" ca="1" si="93"/>
        <v>0.01</v>
      </c>
      <c r="B230" s="357">
        <f t="shared" ca="1" si="94"/>
        <v>2.2599999999999958</v>
      </c>
      <c r="C230" s="342"/>
      <c r="D230" s="359">
        <f t="shared" ca="1" si="95"/>
        <v>16.404472145985508</v>
      </c>
      <c r="E230" s="360">
        <f t="shared" ca="1" si="96"/>
        <v>63.689617853135744</v>
      </c>
      <c r="F230" s="357">
        <f t="shared" ca="1" si="97"/>
        <v>65.768336824545599</v>
      </c>
      <c r="G230" s="359">
        <f t="shared" ca="1" si="98"/>
        <v>37.860589766927646</v>
      </c>
      <c r="H230" s="360">
        <f t="shared" ca="1" si="99"/>
        <v>169.53484245615292</v>
      </c>
      <c r="I230" s="357">
        <f t="shared" ca="1" si="100"/>
        <v>173.71092960470904</v>
      </c>
      <c r="J230" s="359">
        <f t="shared" ca="1" si="101"/>
        <v>41.466822760084426</v>
      </c>
      <c r="K230" s="360">
        <f t="shared" ca="1" si="102"/>
        <v>197.2632303418041</v>
      </c>
      <c r="L230" s="357">
        <f t="shared" ca="1" si="87"/>
        <v>201.57450095361745</v>
      </c>
      <c r="M230" s="359">
        <f t="shared" ca="1" si="103"/>
        <v>1.3510811205345019</v>
      </c>
      <c r="N230" s="357">
        <f t="shared" ca="1" si="104"/>
        <v>77.411245986433016</v>
      </c>
      <c r="O230" s="343"/>
      <c r="P230" s="363">
        <f t="shared" ca="1" si="105"/>
        <v>8</v>
      </c>
      <c r="Q230" s="357">
        <f t="shared" ca="1" si="106"/>
        <v>871.9027777777784</v>
      </c>
      <c r="R230" s="359">
        <f t="shared" ca="1" si="107"/>
        <v>0.43676422973983192</v>
      </c>
      <c r="S230" s="360">
        <f t="shared" ca="1" si="108"/>
        <v>10.496529287286796</v>
      </c>
      <c r="T230" s="357">
        <f t="shared" ca="1" si="88"/>
        <v>102.97095230828347</v>
      </c>
      <c r="U230" s="364">
        <f t="shared" ca="1" si="89"/>
        <v>0</v>
      </c>
      <c r="V230" s="359">
        <f t="shared" ca="1" si="90"/>
        <v>1.2010712672392478</v>
      </c>
      <c r="W230" s="357">
        <f t="shared" ca="1" si="91"/>
        <v>82.035661479306185</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197.2632303418041</v>
      </c>
      <c r="AF230" s="344"/>
      <c r="AG230" s="359">
        <f t="shared" ca="1" si="114"/>
        <v>65.733611390179007</v>
      </c>
      <c r="AH230" s="357">
        <f t="shared" ca="1" si="115"/>
        <v>75.308037625112803</v>
      </c>
    </row>
    <row r="231" spans="1:34" x14ac:dyDescent="0.25">
      <c r="A231" s="402">
        <f t="shared" ca="1" si="93"/>
        <v>0.01</v>
      </c>
      <c r="B231" s="357">
        <f t="shared" ca="1" si="94"/>
        <v>2.2699999999999956</v>
      </c>
      <c r="C231" s="342"/>
      <c r="D231" s="359">
        <f t="shared" ca="1" si="95"/>
        <v>16.377858846805601</v>
      </c>
      <c r="E231" s="360">
        <f t="shared" ca="1" si="96"/>
        <v>63.527941549652112</v>
      </c>
      <c r="F231" s="357">
        <f t="shared" ca="1" si="97"/>
        <v>65.605134082188286</v>
      </c>
      <c r="G231" s="359">
        <f t="shared" ca="1" si="98"/>
        <v>38.024368355395701</v>
      </c>
      <c r="H231" s="360">
        <f t="shared" ca="1" si="99"/>
        <v>170.17012187164943</v>
      </c>
      <c r="I231" s="357">
        <f t="shared" ca="1" si="100"/>
        <v>174.36663375382011</v>
      </c>
      <c r="J231" s="359">
        <f t="shared" ca="1" si="101"/>
        <v>41.846247550696042</v>
      </c>
      <c r="K231" s="360">
        <f t="shared" ca="1" si="102"/>
        <v>198.96175516344312</v>
      </c>
      <c r="L231" s="357">
        <f t="shared" ca="1" si="87"/>
        <v>203.3147521745336</v>
      </c>
      <c r="M231" s="359">
        <f t="shared" ca="1" si="103"/>
        <v>1.3509584992515919</v>
      </c>
      <c r="N231" s="357">
        <f t="shared" ca="1" si="104"/>
        <v>77.404220304443797</v>
      </c>
      <c r="O231" s="343"/>
      <c r="P231" s="363">
        <f t="shared" ca="1" si="105"/>
        <v>8</v>
      </c>
      <c r="Q231" s="357">
        <f t="shared" ca="1" si="106"/>
        <v>870.46388888888953</v>
      </c>
      <c r="R231" s="359">
        <f t="shared" ca="1" si="107"/>
        <v>0.43604344387556565</v>
      </c>
      <c r="S231" s="360">
        <f t="shared" ca="1" si="108"/>
        <v>10.492168852848041</v>
      </c>
      <c r="T231" s="357">
        <f t="shared" ca="1" si="88"/>
        <v>102.92817644643928</v>
      </c>
      <c r="U231" s="364">
        <f t="shared" ca="1" si="89"/>
        <v>0</v>
      </c>
      <c r="V231" s="359">
        <f t="shared" ca="1" si="90"/>
        <v>1.200867259611706</v>
      </c>
      <c r="W231" s="357">
        <f t="shared" ca="1" si="91"/>
        <v>82.642108471376091</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198.96175516344312</v>
      </c>
      <c r="AF231" s="344"/>
      <c r="AG231" s="359">
        <f t="shared" ca="1" si="114"/>
        <v>65.570283822456403</v>
      </c>
      <c r="AH231" s="357">
        <f t="shared" ca="1" si="115"/>
        <v>75.144447107860728</v>
      </c>
    </row>
    <row r="232" spans="1:34" x14ac:dyDescent="0.25">
      <c r="A232" s="402">
        <f t="shared" ca="1" si="93"/>
        <v>0.01</v>
      </c>
      <c r="B232" s="357">
        <f t="shared" ca="1" si="94"/>
        <v>2.2799999999999954</v>
      </c>
      <c r="C232" s="342"/>
      <c r="D232" s="359">
        <f t="shared" ca="1" si="95"/>
        <v>16.351124963924732</v>
      </c>
      <c r="E232" s="360">
        <f t="shared" ca="1" si="96"/>
        <v>63.366045998797119</v>
      </c>
      <c r="F232" s="357">
        <f t="shared" ca="1" si="97"/>
        <v>65.441692162623326</v>
      </c>
      <c r="G232" s="359">
        <f t="shared" ca="1" si="98"/>
        <v>38.187879605034951</v>
      </c>
      <c r="H232" s="360">
        <f t="shared" ca="1" si="99"/>
        <v>170.80378233163739</v>
      </c>
      <c r="I232" s="357">
        <f t="shared" ca="1" si="100"/>
        <v>175.02070222554249</v>
      </c>
      <c r="J232" s="359">
        <f t="shared" ca="1" si="101"/>
        <v>42.227308790498192</v>
      </c>
      <c r="K232" s="360">
        <f t="shared" ca="1" si="102"/>
        <v>200.66662468445955</v>
      </c>
      <c r="L232" s="357">
        <f t="shared" ca="1" si="87"/>
        <v>205.06155141796287</v>
      </c>
      <c r="M232" s="359">
        <f t="shared" ca="1" si="103"/>
        <v>1.3508362691390603</v>
      </c>
      <c r="N232" s="357">
        <f t="shared" ca="1" si="104"/>
        <v>77.39721703486633</v>
      </c>
      <c r="O232" s="343"/>
      <c r="P232" s="363">
        <f t="shared" ca="1" si="105"/>
        <v>8</v>
      </c>
      <c r="Q232" s="357">
        <f t="shared" ca="1" si="106"/>
        <v>869.02500000000066</v>
      </c>
      <c r="R232" s="359">
        <f t="shared" ca="1" si="107"/>
        <v>0.43532265801129932</v>
      </c>
      <c r="S232" s="360">
        <f t="shared" ca="1" si="108"/>
        <v>10.487815626267928</v>
      </c>
      <c r="T232" s="357">
        <f t="shared" ca="1" si="88"/>
        <v>102.88547129368837</v>
      </c>
      <c r="U232" s="364">
        <f t="shared" ca="1" si="89"/>
        <v>0</v>
      </c>
      <c r="V232" s="359">
        <f t="shared" ca="1" si="90"/>
        <v>1.2006625244299531</v>
      </c>
      <c r="W232" s="357">
        <f t="shared" ca="1" si="91"/>
        <v>83.249075130936319</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200.66662468445955</v>
      </c>
      <c r="AF232" s="344"/>
      <c r="AG232" s="359">
        <f t="shared" ca="1" si="114"/>
        <v>65.406716430019799</v>
      </c>
      <c r="AH232" s="357">
        <f t="shared" ca="1" si="115"/>
        <v>74.980617466142249</v>
      </c>
    </row>
    <row r="233" spans="1:34" x14ac:dyDescent="0.25">
      <c r="A233" s="402">
        <f t="shared" ca="1" si="93"/>
        <v>0.01</v>
      </c>
      <c r="B233" s="357">
        <f t="shared" ca="1" si="94"/>
        <v>2.2899999999999952</v>
      </c>
      <c r="C233" s="342"/>
      <c r="D233" s="359">
        <f t="shared" ca="1" si="95"/>
        <v>16.324271336823273</v>
      </c>
      <c r="E233" s="360">
        <f t="shared" ca="1" si="96"/>
        <v>63.203933137301703</v>
      </c>
      <c r="F233" s="357">
        <f t="shared" ca="1" si="97"/>
        <v>65.278013133847253</v>
      </c>
      <c r="G233" s="359">
        <f t="shared" ca="1" si="98"/>
        <v>38.351122318403185</v>
      </c>
      <c r="H233" s="360">
        <f t="shared" ca="1" si="99"/>
        <v>171.43582166301042</v>
      </c>
      <c r="I233" s="357">
        <f t="shared" ca="1" si="100"/>
        <v>175.6731326422815</v>
      </c>
      <c r="J233" s="359">
        <f t="shared" ca="1" si="101"/>
        <v>42.610003800115386</v>
      </c>
      <c r="K233" s="360">
        <f t="shared" ca="1" si="102"/>
        <v>202.37782270443279</v>
      </c>
      <c r="L233" s="357">
        <f t="shared" ca="1" si="87"/>
        <v>206.8148823137075</v>
      </c>
      <c r="M233" s="359">
        <f t="shared" ca="1" si="103"/>
        <v>1.350714426363012</v>
      </c>
      <c r="N233" s="357">
        <f t="shared" ca="1" si="104"/>
        <v>77.390235958034609</v>
      </c>
      <c r="O233" s="343"/>
      <c r="P233" s="363">
        <f t="shared" ca="1" si="105"/>
        <v>8</v>
      </c>
      <c r="Q233" s="357">
        <f t="shared" ca="1" si="106"/>
        <v>867.58611111111179</v>
      </c>
      <c r="R233" s="359">
        <f t="shared" ca="1" si="107"/>
        <v>0.434601872147033</v>
      </c>
      <c r="S233" s="360">
        <f t="shared" ca="1" si="108"/>
        <v>10.483469607546457</v>
      </c>
      <c r="T233" s="357">
        <f t="shared" ca="1" si="88"/>
        <v>102.84283685003075</v>
      </c>
      <c r="U233" s="364">
        <f t="shared" ca="1" si="89"/>
        <v>0</v>
      </c>
      <c r="V233" s="359">
        <f t="shared" ca="1" si="90"/>
        <v>1.2004570640160674</v>
      </c>
      <c r="W233" s="357">
        <f t="shared" ca="1" si="91"/>
        <v>83.856540379768063</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202.37782270443279</v>
      </c>
      <c r="AF233" s="344"/>
      <c r="AG233" s="359">
        <f t="shared" ca="1" si="114"/>
        <v>65.242911274704667</v>
      </c>
      <c r="AH233" s="357">
        <f t="shared" ca="1" si="115"/>
        <v>74.816550754873703</v>
      </c>
    </row>
    <row r="234" spans="1:34" x14ac:dyDescent="0.25">
      <c r="A234" s="402">
        <f t="shared" ca="1" si="93"/>
        <v>0.01</v>
      </c>
      <c r="B234" s="357">
        <f t="shared" ca="1" si="94"/>
        <v>2.2999999999999949</v>
      </c>
      <c r="C234" s="342"/>
      <c r="D234" s="359">
        <f t="shared" ca="1" si="95"/>
        <v>16.297298800314866</v>
      </c>
      <c r="E234" s="360">
        <f t="shared" ca="1" si="96"/>
        <v>63.041604902808018</v>
      </c>
      <c r="F234" s="357">
        <f t="shared" ca="1" si="97"/>
        <v>65.114099063939236</v>
      </c>
      <c r="G234" s="359">
        <f t="shared" ca="1" si="98"/>
        <v>38.514095306406332</v>
      </c>
      <c r="H234" s="360">
        <f t="shared" ca="1" si="99"/>
        <v>172.06623771203849</v>
      </c>
      <c r="I234" s="357">
        <f t="shared" ca="1" si="100"/>
        <v>176.32392264706081</v>
      </c>
      <c r="J234" s="359">
        <f t="shared" ca="1" si="101"/>
        <v>42.994329888239434</v>
      </c>
      <c r="K234" s="360">
        <f t="shared" ca="1" si="102"/>
        <v>204.09533300130803</v>
      </c>
      <c r="L234" s="357">
        <f t="shared" ca="1" si="87"/>
        <v>208.57472846788886</v>
      </c>
      <c r="M234" s="359">
        <f t="shared" ca="1" si="103"/>
        <v>1.3505929671391834</v>
      </c>
      <c r="N234" s="357">
        <f t="shared" ca="1" si="104"/>
        <v>77.38327685712629</v>
      </c>
      <c r="O234" s="343"/>
      <c r="P234" s="363">
        <f t="shared" ca="1" si="105"/>
        <v>8</v>
      </c>
      <c r="Q234" s="357">
        <f t="shared" ca="1" si="106"/>
        <v>866.14722222222292</v>
      </c>
      <c r="R234" s="359">
        <f t="shared" ca="1" si="107"/>
        <v>0.43388108628276673</v>
      </c>
      <c r="S234" s="360">
        <f t="shared" ca="1" si="108"/>
        <v>10.479130796683629</v>
      </c>
      <c r="T234" s="357">
        <f t="shared" ca="1" si="88"/>
        <v>102.80027311546641</v>
      </c>
      <c r="U234" s="364">
        <f t="shared" ca="1" si="89"/>
        <v>0</v>
      </c>
      <c r="V234" s="359">
        <f t="shared" ca="1" si="90"/>
        <v>1.2002508806946457</v>
      </c>
      <c r="W234" s="357">
        <f t="shared" ca="1" si="91"/>
        <v>84.464483185084688</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204.09533300130803</v>
      </c>
      <c r="AF234" s="344"/>
      <c r="AG234" s="359">
        <f t="shared" ca="1" si="114"/>
        <v>65.078870418381598</v>
      </c>
      <c r="AH234" s="357">
        <f t="shared" ca="1" si="115"/>
        <v>74.652249029092133</v>
      </c>
    </row>
    <row r="235" spans="1:34" x14ac:dyDescent="0.25">
      <c r="A235" s="402">
        <f t="shared" ca="1" si="93"/>
        <v>0.01</v>
      </c>
      <c r="B235" s="357">
        <f t="shared" ca="1" si="94"/>
        <v>2.3099999999999947</v>
      </c>
      <c r="C235" s="342"/>
      <c r="D235" s="359">
        <f t="shared" ca="1" si="95"/>
        <v>16.270208184619257</v>
      </c>
      <c r="E235" s="360">
        <f t="shared" ca="1" si="96"/>
        <v>62.879063233776165</v>
      </c>
      <c r="F235" s="357">
        <f t="shared" ca="1" si="97"/>
        <v>64.949952020983616</v>
      </c>
      <c r="G235" s="359">
        <f t="shared" ca="1" si="98"/>
        <v>38.676797388252524</v>
      </c>
      <c r="H235" s="360">
        <f t="shared" ca="1" si="99"/>
        <v>172.69502834437625</v>
      </c>
      <c r="I235" s="357">
        <f t="shared" ca="1" si="100"/>
        <v>176.97306990352192</v>
      </c>
      <c r="J235" s="359">
        <f t="shared" ca="1" si="101"/>
        <v>43.380284351712731</v>
      </c>
      <c r="K235" s="360">
        <f t="shared" ca="1" si="102"/>
        <v>205.81913933159012</v>
      </c>
      <c r="L235" s="357">
        <f t="shared" ca="1" si="87"/>
        <v>210.34107346315403</v>
      </c>
      <c r="M235" s="359">
        <f t="shared" ca="1" si="103"/>
        <v>1.3504718877320629</v>
      </c>
      <c r="N235" s="357">
        <f t="shared" ca="1" si="104"/>
        <v>77.376339518112346</v>
      </c>
      <c r="O235" s="343"/>
      <c r="P235" s="363">
        <f t="shared" ca="1" si="105"/>
        <v>8</v>
      </c>
      <c r="Q235" s="357">
        <f t="shared" ca="1" si="106"/>
        <v>864.70833333333405</v>
      </c>
      <c r="R235" s="359">
        <f t="shared" ca="1" si="107"/>
        <v>0.4331603004185004</v>
      </c>
      <c r="S235" s="360">
        <f t="shared" ca="1" si="108"/>
        <v>10.474799193679443</v>
      </c>
      <c r="T235" s="357">
        <f t="shared" ca="1" si="88"/>
        <v>102.75778008999534</v>
      </c>
      <c r="U235" s="364">
        <f t="shared" ca="1" si="89"/>
        <v>0</v>
      </c>
      <c r="V235" s="359">
        <f t="shared" ca="1" si="90"/>
        <v>1.2000439767927629</v>
      </c>
      <c r="W235" s="357">
        <f t="shared" ca="1" si="91"/>
        <v>85.072882560218119</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205.81913933159012</v>
      </c>
      <c r="AF235" s="344"/>
      <c r="AG235" s="359">
        <f t="shared" ca="1" si="114"/>
        <v>64.914595922877879</v>
      </c>
      <c r="AH235" s="357">
        <f t="shared" ca="1" si="115"/>
        <v>74.487714343875268</v>
      </c>
    </row>
    <row r="236" spans="1:34" x14ac:dyDescent="0.25">
      <c r="A236" s="402">
        <f t="shared" ca="1" si="93"/>
        <v>0.01</v>
      </c>
      <c r="B236" s="357">
        <f t="shared" ca="1" si="94"/>
        <v>2.3199999999999945</v>
      </c>
      <c r="C236" s="342"/>
      <c r="D236" s="359">
        <f t="shared" ca="1" si="95"/>
        <v>16.24300031543309</v>
      </c>
      <c r="E236" s="360">
        <f t="shared" ca="1" si="96"/>
        <v>62.716310069391369</v>
      </c>
      <c r="F236" s="357">
        <f t="shared" ca="1" si="97"/>
        <v>64.785574072992517</v>
      </c>
      <c r="G236" s="359">
        <f t="shared" ca="1" si="98"/>
        <v>38.839227391406858</v>
      </c>
      <c r="H236" s="360">
        <f t="shared" ca="1" si="99"/>
        <v>173.32219144507016</v>
      </c>
      <c r="I236" s="357">
        <f t="shared" ca="1" si="100"/>
        <v>177.62057209592294</v>
      </c>
      <c r="J236" s="359">
        <f t="shared" ca="1" si="101"/>
        <v>43.767864475611027</v>
      </c>
      <c r="K236" s="360">
        <f t="shared" ca="1" si="102"/>
        <v>207.54922543053735</v>
      </c>
      <c r="L236" s="357">
        <f t="shared" ca="1" si="87"/>
        <v>212.11390085888164</v>
      </c>
      <c r="M236" s="359">
        <f t="shared" ca="1" si="103"/>
        <v>1.3503511844540315</v>
      </c>
      <c r="N236" s="357">
        <f t="shared" ca="1" si="104"/>
        <v>77.369423729707748</v>
      </c>
      <c r="O236" s="343"/>
      <c r="P236" s="363">
        <f t="shared" ca="1" si="105"/>
        <v>8</v>
      </c>
      <c r="Q236" s="357">
        <f t="shared" ca="1" si="106"/>
        <v>863.2694444444453</v>
      </c>
      <c r="R236" s="359">
        <f t="shared" ca="1" si="107"/>
        <v>0.43243951455423413</v>
      </c>
      <c r="S236" s="360">
        <f t="shared" ca="1" si="108"/>
        <v>10.470474798533902</v>
      </c>
      <c r="T236" s="357">
        <f t="shared" ca="1" si="88"/>
        <v>102.71535777361758</v>
      </c>
      <c r="U236" s="364">
        <f t="shared" ca="1" si="89"/>
        <v>0</v>
      </c>
      <c r="V236" s="359">
        <f t="shared" ca="1" si="90"/>
        <v>1.1998363546399335</v>
      </c>
      <c r="W236" s="357">
        <f t="shared" ca="1" si="91"/>
        <v>85.681717565300232</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207.54922543053735</v>
      </c>
      <c r="AF236" s="344"/>
      <c r="AG236" s="359">
        <f t="shared" ca="1" si="114"/>
        <v>64.750089849899339</v>
      </c>
      <c r="AH236" s="357">
        <f t="shared" ca="1" si="115"/>
        <v>74.322948754262029</v>
      </c>
    </row>
    <row r="237" spans="1:34" x14ac:dyDescent="0.25">
      <c r="A237" s="402">
        <f t="shared" ca="1" si="93"/>
        <v>0.01</v>
      </c>
      <c r="B237" s="357">
        <f t="shared" ca="1" si="94"/>
        <v>2.3299999999999943</v>
      </c>
      <c r="C237" s="342"/>
      <c r="D237" s="359">
        <f t="shared" ca="1" si="95"/>
        <v>16.21567601399861</v>
      </c>
      <c r="E237" s="360">
        <f t="shared" ca="1" si="96"/>
        <v>62.553347349471949</v>
      </c>
      <c r="F237" s="357">
        <f t="shared" ca="1" si="97"/>
        <v>64.620967287828947</v>
      </c>
      <c r="G237" s="359">
        <f t="shared" ca="1" si="98"/>
        <v>39.001384151546844</v>
      </c>
      <c r="H237" s="360">
        <f t="shared" ca="1" si="99"/>
        <v>173.94772491856489</v>
      </c>
      <c r="I237" s="357">
        <f t="shared" ca="1" si="100"/>
        <v>178.26642692913674</v>
      </c>
      <c r="J237" s="359">
        <f t="shared" ca="1" si="101"/>
        <v>44.157067533325794</v>
      </c>
      <c r="K237" s="360">
        <f t="shared" ca="1" si="102"/>
        <v>209.28557501235554</v>
      </c>
      <c r="L237" s="357">
        <f t="shared" ca="1" si="87"/>
        <v>213.8931941913884</v>
      </c>
      <c r="M237" s="359">
        <f t="shared" ca="1" si="103"/>
        <v>1.3502308536645196</v>
      </c>
      <c r="N237" s="357">
        <f t="shared" ca="1" si="104"/>
        <v>77.362529283323241</v>
      </c>
      <c r="O237" s="343"/>
      <c r="P237" s="363">
        <f t="shared" ca="1" si="105"/>
        <v>8</v>
      </c>
      <c r="Q237" s="357">
        <f t="shared" ca="1" si="106"/>
        <v>861.83055555555643</v>
      </c>
      <c r="R237" s="359">
        <f t="shared" ca="1" si="107"/>
        <v>0.43171872868996786</v>
      </c>
      <c r="S237" s="360">
        <f t="shared" ca="1" si="108"/>
        <v>10.466157611247002</v>
      </c>
      <c r="T237" s="357">
        <f t="shared" ca="1" si="88"/>
        <v>102.6730061663331</v>
      </c>
      <c r="U237" s="364">
        <f t="shared" ca="1" si="89"/>
        <v>0</v>
      </c>
      <c r="V237" s="359">
        <f t="shared" ca="1" si="90"/>
        <v>1.1996280165680742</v>
      </c>
      <c r="W237" s="357">
        <f t="shared" ca="1" si="91"/>
        <v>86.290967307939709</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209.28557501235554</v>
      </c>
      <c r="AF237" s="344"/>
      <c r="AG237" s="359">
        <f t="shared" ca="1" si="114"/>
        <v>64.585354260952414</v>
      </c>
      <c r="AH237" s="357">
        <f t="shared" ca="1" si="115"/>
        <v>74.157954315173086</v>
      </c>
    </row>
    <row r="238" spans="1:34" x14ac:dyDescent="0.25">
      <c r="A238" s="402">
        <f t="shared" ca="1" si="93"/>
        <v>0.01</v>
      </c>
      <c r="B238" s="357">
        <f t="shared" ca="1" si="94"/>
        <v>2.3399999999999941</v>
      </c>
      <c r="C238" s="342"/>
      <c r="D238" s="359">
        <f t="shared" ca="1" si="95"/>
        <v>16.188236097170687</v>
      </c>
      <c r="E238" s="360">
        <f t="shared" ca="1" si="96"/>
        <v>62.390177014377713</v>
      </c>
      <c r="F238" s="357">
        <f t="shared" ca="1" si="97"/>
        <v>64.456133733129889</v>
      </c>
      <c r="G238" s="359">
        <f t="shared" ca="1" si="98"/>
        <v>39.163266512518554</v>
      </c>
      <c r="H238" s="360">
        <f t="shared" ca="1" si="99"/>
        <v>174.57162668870868</v>
      </c>
      <c r="I238" s="357">
        <f t="shared" ca="1" si="100"/>
        <v>178.91063212864802</v>
      </c>
      <c r="J238" s="359">
        <f t="shared" ca="1" si="101"/>
        <v>44.547890786646121</v>
      </c>
      <c r="K238" s="360">
        <f t="shared" ca="1" si="102"/>
        <v>211.02817177039191</v>
      </c>
      <c r="L238" s="357">
        <f t="shared" ca="1" si="87"/>
        <v>215.67893697413521</v>
      </c>
      <c r="M238" s="359">
        <f t="shared" ca="1" si="103"/>
        <v>1.3501108917691864</v>
      </c>
      <c r="N238" s="357">
        <f t="shared" ca="1" si="104"/>
        <v>77.355655973018258</v>
      </c>
      <c r="O238" s="343"/>
      <c r="P238" s="363">
        <f t="shared" ca="1" si="105"/>
        <v>8</v>
      </c>
      <c r="Q238" s="357">
        <f t="shared" ca="1" si="106"/>
        <v>860.39166666666756</v>
      </c>
      <c r="R238" s="359">
        <f t="shared" ca="1" si="107"/>
        <v>0.43099794282570153</v>
      </c>
      <c r="S238" s="360">
        <f t="shared" ca="1" si="108"/>
        <v>10.461847631818745</v>
      </c>
      <c r="T238" s="357">
        <f t="shared" ca="1" si="88"/>
        <v>102.6307252681419</v>
      </c>
      <c r="U238" s="364">
        <f t="shared" ca="1" si="89"/>
        <v>0</v>
      </c>
      <c r="V238" s="359">
        <f t="shared" ca="1" si="90"/>
        <v>1.1994189649114635</v>
      </c>
      <c r="W238" s="357">
        <f t="shared" ca="1" si="91"/>
        <v>86.900610943893298</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211.02817177039191</v>
      </c>
      <c r="AF238" s="344"/>
      <c r="AG238" s="359">
        <f t="shared" ca="1" si="114"/>
        <v>64.42039121726647</v>
      </c>
      <c r="AH238" s="357">
        <f t="shared" ca="1" si="115"/>
        <v>73.992733081331821</v>
      </c>
    </row>
    <row r="239" spans="1:34" x14ac:dyDescent="0.25">
      <c r="A239" s="402">
        <f t="shared" ca="1" si="93"/>
        <v>0.01</v>
      </c>
      <c r="B239" s="357">
        <f t="shared" ca="1" si="94"/>
        <v>2.3499999999999939</v>
      </c>
      <c r="C239" s="342"/>
      <c r="D239" s="359">
        <f t="shared" ca="1" si="95"/>
        <v>16.160681377481765</v>
      </c>
      <c r="E239" s="360">
        <f t="shared" ca="1" si="96"/>
        <v>62.226801004919153</v>
      </c>
      <c r="F239" s="357">
        <f t="shared" ca="1" si="97"/>
        <v>64.291075476229935</v>
      </c>
      <c r="G239" s="359">
        <f t="shared" ca="1" si="98"/>
        <v>39.324873326293371</v>
      </c>
      <c r="H239" s="360">
        <f t="shared" ca="1" si="99"/>
        <v>175.19389469875787</v>
      </c>
      <c r="I239" s="357">
        <f t="shared" ca="1" si="100"/>
        <v>179.55318544054984</v>
      </c>
      <c r="J239" s="359">
        <f t="shared" ca="1" si="101"/>
        <v>44.940331485840183</v>
      </c>
      <c r="K239" s="360">
        <f t="shared" ca="1" si="102"/>
        <v>212.77699937732925</v>
      </c>
      <c r="L239" s="357">
        <f t="shared" ca="1" si="87"/>
        <v>217.47111269793322</v>
      </c>
      <c r="M239" s="359">
        <f t="shared" ca="1" si="103"/>
        <v>1.3499912952191129</v>
      </c>
      <c r="N239" s="357">
        <f t="shared" ca="1" si="104"/>
        <v>77.348803595454712</v>
      </c>
      <c r="O239" s="343"/>
      <c r="P239" s="363">
        <f t="shared" ca="1" si="105"/>
        <v>8</v>
      </c>
      <c r="Q239" s="357">
        <f t="shared" ca="1" si="106"/>
        <v>858.95277777777869</v>
      </c>
      <c r="R239" s="359">
        <f t="shared" ca="1" si="107"/>
        <v>0.43027715696143526</v>
      </c>
      <c r="S239" s="360">
        <f t="shared" ca="1" si="108"/>
        <v>10.457544860249131</v>
      </c>
      <c r="T239" s="357">
        <f t="shared" ca="1" si="88"/>
        <v>102.58851507904399</v>
      </c>
      <c r="U239" s="364">
        <f t="shared" ca="1" si="89"/>
        <v>0</v>
      </c>
      <c r="V239" s="359">
        <f t="shared" ca="1" si="90"/>
        <v>1.1992092020067053</v>
      </c>
      <c r="W239" s="357">
        <f t="shared" ca="1" si="91"/>
        <v>87.510627677732529</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212.77699937732925</v>
      </c>
      <c r="AF239" s="344"/>
      <c r="AG239" s="359">
        <f t="shared" ca="1" si="114"/>
        <v>64.255202779716413</v>
      </c>
      <c r="AH239" s="357">
        <f t="shared" ca="1" si="115"/>
        <v>73.827287107185569</v>
      </c>
    </row>
    <row r="240" spans="1:34" x14ac:dyDescent="0.25">
      <c r="A240" s="402">
        <f t="shared" ca="1" si="93"/>
        <v>0.01</v>
      </c>
      <c r="B240" s="357">
        <f t="shared" ca="1" si="94"/>
        <v>2.3599999999999937</v>
      </c>
      <c r="C240" s="342"/>
      <c r="D240" s="359">
        <f t="shared" ca="1" si="95"/>
        <v>16.133012663205232</v>
      </c>
      <c r="E240" s="360">
        <f t="shared" ca="1" si="96"/>
        <v>62.063221262267021</v>
      </c>
      <c r="F240" s="357">
        <f t="shared" ca="1" si="97"/>
        <v>64.1257945840849</v>
      </c>
      <c r="G240" s="359">
        <f t="shared" ca="1" si="98"/>
        <v>39.486203452925423</v>
      </c>
      <c r="H240" s="360">
        <f t="shared" ca="1" si="99"/>
        <v>175.81452691138054</v>
      </c>
      <c r="I240" s="357">
        <f t="shared" ca="1" si="100"/>
        <v>180.19408463153937</v>
      </c>
      <c r="J240" s="359">
        <f t="shared" ca="1" si="101"/>
        <v>45.334386869736278</v>
      </c>
      <c r="K240" s="360">
        <f t="shared" ca="1" si="102"/>
        <v>214.53204148537995</v>
      </c>
      <c r="L240" s="357">
        <f t="shared" ca="1" si="87"/>
        <v>219.26970483115014</v>
      </c>
      <c r="M240" s="359">
        <f t="shared" ca="1" si="103"/>
        <v>1.3498720605100152</v>
      </c>
      <c r="N240" s="357">
        <f t="shared" ca="1" si="104"/>
        <v>77.341971949851953</v>
      </c>
      <c r="O240" s="343"/>
      <c r="P240" s="363">
        <f t="shared" ca="1" si="105"/>
        <v>8</v>
      </c>
      <c r="Q240" s="357">
        <f t="shared" ca="1" si="106"/>
        <v>857.51388888888982</v>
      </c>
      <c r="R240" s="359">
        <f t="shared" ca="1" si="107"/>
        <v>0.42955637109716893</v>
      </c>
      <c r="S240" s="360">
        <f t="shared" ca="1" si="108"/>
        <v>10.453249296538159</v>
      </c>
      <c r="T240" s="357">
        <f t="shared" ca="1" si="88"/>
        <v>102.54637559903935</v>
      </c>
      <c r="U240" s="364">
        <f t="shared" ca="1" si="89"/>
        <v>0</v>
      </c>
      <c r="V240" s="359">
        <f t="shared" ca="1" si="90"/>
        <v>1.1989987301926894</v>
      </c>
      <c r="W240" s="357">
        <f t="shared" ca="1" si="91"/>
        <v>88.12099676350519</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214.53204148537995</v>
      </c>
      <c r="AF240" s="344"/>
      <c r="AG240" s="359">
        <f t="shared" ca="1" si="114"/>
        <v>64.089791008745422</v>
      </c>
      <c r="AH240" s="357">
        <f t="shared" ca="1" si="115"/>
        <v>73.661618446827063</v>
      </c>
    </row>
    <row r="241" spans="1:34" x14ac:dyDescent="0.25">
      <c r="A241" s="402">
        <f t="shared" ca="1" si="93"/>
        <v>0.01</v>
      </c>
      <c r="B241" s="357">
        <f t="shared" ca="1" si="94"/>
        <v>2.3699999999999934</v>
      </c>
      <c r="C241" s="342"/>
      <c r="D241" s="359">
        <f t="shared" ca="1" si="95"/>
        <v>16.105230758416862</v>
      </c>
      <c r="E241" s="360">
        <f t="shared" ca="1" si="96"/>
        <v>61.8994397278626</v>
      </c>
      <c r="F241" s="357">
        <f t="shared" ca="1" si="97"/>
        <v>63.960293123195981</v>
      </c>
      <c r="G241" s="359">
        <f t="shared" ca="1" si="98"/>
        <v>39.647255760509594</v>
      </c>
      <c r="H241" s="360">
        <f t="shared" ca="1" si="99"/>
        <v>176.43352130865915</v>
      </c>
      <c r="I241" s="357">
        <f t="shared" ca="1" si="100"/>
        <v>180.83332748891269</v>
      </c>
      <c r="J241" s="359">
        <f t="shared" ca="1" si="101"/>
        <v>45.730054165803452</v>
      </c>
      <c r="K241" s="360">
        <f t="shared" ca="1" si="102"/>
        <v>216.29328172648016</v>
      </c>
      <c r="L241" s="357">
        <f t="shared" ca="1" si="87"/>
        <v>221.07469681991611</v>
      </c>
      <c r="M241" s="359">
        <f t="shared" ca="1" si="103"/>
        <v>1.3497531841814743</v>
      </c>
      <c r="N241" s="357">
        <f t="shared" ca="1" si="104"/>
        <v>77.335160837942539</v>
      </c>
      <c r="O241" s="343"/>
      <c r="P241" s="363">
        <f t="shared" ca="1" si="105"/>
        <v>8</v>
      </c>
      <c r="Q241" s="357">
        <f t="shared" ca="1" si="106"/>
        <v>856.07500000000095</v>
      </c>
      <c r="R241" s="359">
        <f t="shared" ca="1" si="107"/>
        <v>0.42883558523290261</v>
      </c>
      <c r="S241" s="360">
        <f t="shared" ca="1" si="108"/>
        <v>10.448960940685829</v>
      </c>
      <c r="T241" s="357">
        <f t="shared" ca="1" si="88"/>
        <v>102.50430682812799</v>
      </c>
      <c r="U241" s="364">
        <f t="shared" ca="1" si="89"/>
        <v>0</v>
      </c>
      <c r="V241" s="359">
        <f t="shared" ca="1" si="90"/>
        <v>1.1987875518105551</v>
      </c>
      <c r="W241" s="357">
        <f t="shared" ca="1" si="91"/>
        <v>88.731697505391736</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216.29328172648016</v>
      </c>
      <c r="AF241" s="344"/>
      <c r="AG241" s="359">
        <f t="shared" ca="1" si="114"/>
        <v>63.924157964288199</v>
      </c>
      <c r="AH241" s="357">
        <f t="shared" ca="1" si="115"/>
        <v>73.495729153916258</v>
      </c>
    </row>
    <row r="242" spans="1:34" x14ac:dyDescent="0.25">
      <c r="A242" s="402">
        <f t="shared" ca="1" si="93"/>
        <v>0.01</v>
      </c>
      <c r="B242" s="357">
        <f t="shared" ca="1" si="94"/>
        <v>2.3799999999999932</v>
      </c>
      <c r="C242" s="342"/>
      <c r="D242" s="359">
        <f t="shared" ca="1" si="95"/>
        <v>16.077336463054635</v>
      </c>
      <c r="E242" s="360">
        <f t="shared" ca="1" si="96"/>
        <v>61.735458343328602</v>
      </c>
      <c r="F242" s="357">
        <f t="shared" ca="1" si="97"/>
        <v>63.794573159533932</v>
      </c>
      <c r="G242" s="359">
        <f t="shared" ca="1" si="98"/>
        <v>39.808029125140138</v>
      </c>
      <c r="H242" s="360">
        <f t="shared" ca="1" si="99"/>
        <v>177.05087589209245</v>
      </c>
      <c r="I242" s="357">
        <f t="shared" ca="1" si="100"/>
        <v>181.47091182055908</v>
      </c>
      <c r="J242" s="359">
        <f t="shared" ca="1" si="101"/>
        <v>46.127330590231701</v>
      </c>
      <c r="K242" s="360">
        <f t="shared" ca="1" si="102"/>
        <v>218.06070371248393</v>
      </c>
      <c r="L242" s="357">
        <f t="shared" ca="1" si="87"/>
        <v>222.88607208832997</v>
      </c>
      <c r="M242" s="359">
        <f t="shared" ca="1" si="103"/>
        <v>1.3496346628161811</v>
      </c>
      <c r="N242" s="357">
        <f t="shared" ca="1" si="104"/>
        <v>77.328370063929114</v>
      </c>
      <c r="O242" s="343"/>
      <c r="P242" s="363">
        <f t="shared" ca="1" si="105"/>
        <v>8</v>
      </c>
      <c r="Q242" s="357">
        <f t="shared" ca="1" si="106"/>
        <v>854.63611111111209</v>
      </c>
      <c r="R242" s="359">
        <f t="shared" ca="1" si="107"/>
        <v>0.42811479936863633</v>
      </c>
      <c r="S242" s="360">
        <f t="shared" ca="1" si="108"/>
        <v>10.444679792692144</v>
      </c>
      <c r="T242" s="357">
        <f t="shared" ca="1" si="88"/>
        <v>102.46230876630993</v>
      </c>
      <c r="U242" s="364">
        <f t="shared" ca="1" si="89"/>
        <v>0</v>
      </c>
      <c r="V242" s="359">
        <f t="shared" ca="1" si="90"/>
        <v>1.19857566920365</v>
      </c>
      <c r="W242" s="357">
        <f t="shared" ca="1" si="91"/>
        <v>89.342709258356606</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218.06070371248393</v>
      </c>
      <c r="AF242" s="344"/>
      <c r="AG242" s="359">
        <f t="shared" ca="1" si="114"/>
        <v>63.758305705694156</v>
      </c>
      <c r="AH242" s="357">
        <f t="shared" ca="1" si="115"/>
        <v>73.3296212816024</v>
      </c>
    </row>
    <row r="243" spans="1:34" x14ac:dyDescent="0.25">
      <c r="A243" s="402">
        <f t="shared" ca="1" si="93"/>
        <v>0.01</v>
      </c>
      <c r="B243" s="357">
        <f t="shared" ca="1" si="94"/>
        <v>2.389999999999993</v>
      </c>
      <c r="C243" s="342"/>
      <c r="D243" s="359">
        <f t="shared" ca="1" si="95"/>
        <v>16.049330572976956</v>
      </c>
      <c r="E243" s="360">
        <f t="shared" ca="1" si="96"/>
        <v>61.571279050380596</v>
      </c>
      <c r="F243" s="357">
        <f t="shared" ca="1" si="97"/>
        <v>63.628636758463792</v>
      </c>
      <c r="G243" s="359">
        <f t="shared" ca="1" si="98"/>
        <v>39.968522430869911</v>
      </c>
      <c r="H243" s="360">
        <f t="shared" ca="1" si="99"/>
        <v>177.66658868259626</v>
      </c>
      <c r="I243" s="357">
        <f t="shared" ca="1" si="100"/>
        <v>182.10683545495428</v>
      </c>
      <c r="J243" s="359">
        <f t="shared" ca="1" si="101"/>
        <v>46.526213348011751</v>
      </c>
      <c r="K243" s="360">
        <f t="shared" ca="1" si="102"/>
        <v>219.83429103535738</v>
      </c>
      <c r="L243" s="357">
        <f t="shared" ca="1" si="87"/>
        <v>224.70381403866494</v>
      </c>
      <c r="M243" s="359">
        <f t="shared" ca="1" si="103"/>
        <v>1.3495164930391998</v>
      </c>
      <c r="N243" s="357">
        <f t="shared" ca="1" si="104"/>
        <v>77.321599434442092</v>
      </c>
      <c r="O243" s="343"/>
      <c r="P243" s="363">
        <f t="shared" ca="1" si="105"/>
        <v>8</v>
      </c>
      <c r="Q243" s="357">
        <f t="shared" ca="1" si="106"/>
        <v>853.19722222222322</v>
      </c>
      <c r="R243" s="359">
        <f t="shared" ca="1" si="107"/>
        <v>0.42739401350437001</v>
      </c>
      <c r="S243" s="360">
        <f t="shared" ca="1" si="108"/>
        <v>10.440405852557101</v>
      </c>
      <c r="T243" s="357">
        <f t="shared" ca="1" si="88"/>
        <v>102.42038141358516</v>
      </c>
      <c r="U243" s="364">
        <f t="shared" ca="1" si="89"/>
        <v>0</v>
      </c>
      <c r="V243" s="359">
        <f t="shared" ca="1" si="90"/>
        <v>1.1983630847174938</v>
      </c>
      <c r="W243" s="357">
        <f t="shared" ca="1" si="91"/>
        <v>89.95401142879426</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219.83429103535738</v>
      </c>
      <c r="AF243" s="344"/>
      <c r="AG243" s="359">
        <f t="shared" ca="1" si="114"/>
        <v>63.592236291651233</v>
      </c>
      <c r="AH243" s="357">
        <f t="shared" ca="1" si="115"/>
        <v>73.163296882446446</v>
      </c>
    </row>
    <row r="244" spans="1:34" x14ac:dyDescent="0.25">
      <c r="A244" s="402">
        <f t="shared" ca="1" si="93"/>
        <v>0.01</v>
      </c>
      <c r="B244" s="357">
        <f t="shared" ca="1" si="94"/>
        <v>2.3999999999999928</v>
      </c>
      <c r="C244" s="342"/>
      <c r="D244" s="359">
        <f t="shared" ca="1" si="95"/>
        <v>16.021213880019122</v>
      </c>
      <c r="E244" s="360">
        <f t="shared" ca="1" si="96"/>
        <v>61.406903790739079</v>
      </c>
      <c r="F244" s="357">
        <f t="shared" ca="1" si="97"/>
        <v>63.462485984669733</v>
      </c>
      <c r="G244" s="359">
        <f t="shared" ca="1" si="98"/>
        <v>40.128734569670101</v>
      </c>
      <c r="H244" s="360">
        <f t="shared" ca="1" si="99"/>
        <v>178.28065772050365</v>
      </c>
      <c r="I244" s="357">
        <f t="shared" ca="1" si="100"/>
        <v>182.7410962411532</v>
      </c>
      <c r="J244" s="359">
        <f t="shared" ca="1" si="101"/>
        <v>46.926699633014451</v>
      </c>
      <c r="K244" s="360">
        <f t="shared" ca="1" si="102"/>
        <v>221.61402726737288</v>
      </c>
      <c r="L244" s="357">
        <f t="shared" ca="1" si="87"/>
        <v>226.52790605157469</v>
      </c>
      <c r="M244" s="359">
        <f t="shared" ca="1" si="103"/>
        <v>1.3493986715172448</v>
      </c>
      <c r="N244" s="357">
        <f t="shared" ca="1" si="104"/>
        <v>77.314848758498258</v>
      </c>
      <c r="O244" s="343"/>
      <c r="P244" s="363">
        <f t="shared" ca="1" si="105"/>
        <v>8</v>
      </c>
      <c r="Q244" s="357">
        <f t="shared" ca="1" si="106"/>
        <v>851.75833333333435</v>
      </c>
      <c r="R244" s="359">
        <f t="shared" ca="1" si="107"/>
        <v>0.42667322764010368</v>
      </c>
      <c r="S244" s="360">
        <f t="shared" ca="1" si="108"/>
        <v>10.4361391202807</v>
      </c>
      <c r="T244" s="357">
        <f t="shared" ca="1" si="88"/>
        <v>102.37852476995367</v>
      </c>
      <c r="U244" s="364">
        <f t="shared" ca="1" si="89"/>
        <v>0</v>
      </c>
      <c r="V244" s="359">
        <f t="shared" ca="1" si="90"/>
        <v>1.19814980069974</v>
      </c>
      <c r="W244" s="357">
        <f t="shared" ca="1" si="91"/>
        <v>90.565583475170371</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221.61402726737288</v>
      </c>
      <c r="AF244" s="344"/>
      <c r="AG244" s="359">
        <f t="shared" ca="1" si="114"/>
        <v>63.425951780109742</v>
      </c>
      <c r="AH244" s="357">
        <f t="shared" ca="1" si="115"/>
        <v>72.996758008343789</v>
      </c>
    </row>
    <row r="245" spans="1:34" x14ac:dyDescent="0.25">
      <c r="A245" s="402">
        <f t="shared" ca="1" si="93"/>
        <v>0.01</v>
      </c>
      <c r="B245" s="357">
        <f t="shared" ca="1" si="94"/>
        <v>2.4099999999999926</v>
      </c>
      <c r="C245" s="342"/>
      <c r="D245" s="359">
        <f t="shared" ca="1" si="95"/>
        <v>15.99298717204841</v>
      </c>
      <c r="E245" s="360">
        <f t="shared" ca="1" si="96"/>
        <v>61.242334506041942</v>
      </c>
      <c r="F245" s="357">
        <f t="shared" ca="1" si="97"/>
        <v>63.296122902080192</v>
      </c>
      <c r="G245" s="359">
        <f t="shared" ca="1" si="98"/>
        <v>40.288664441390587</v>
      </c>
      <c r="H245" s="360">
        <f t="shared" ca="1" si="99"/>
        <v>178.89308106556408</v>
      </c>
      <c r="I245" s="357">
        <f t="shared" ca="1" si="100"/>
        <v>183.37369204878178</v>
      </c>
      <c r="J245" s="359">
        <f t="shared" ca="1" si="101"/>
        <v>47.328786628069757</v>
      </c>
      <c r="K245" s="360">
        <f t="shared" ca="1" si="102"/>
        <v>223.3998959613032</v>
      </c>
      <c r="L245" s="357">
        <f t="shared" ca="1" si="87"/>
        <v>228.35833148629908</v>
      </c>
      <c r="M245" s="359">
        <f t="shared" ca="1" si="103"/>
        <v>1.3492811949579737</v>
      </c>
      <c r="N245" s="357">
        <f t="shared" ca="1" si="104"/>
        <v>77.308117847460309</v>
      </c>
      <c r="O245" s="343"/>
      <c r="P245" s="363">
        <f t="shared" ca="1" si="105"/>
        <v>8</v>
      </c>
      <c r="Q245" s="357">
        <f t="shared" ca="1" si="106"/>
        <v>850.31944444444548</v>
      </c>
      <c r="R245" s="359">
        <f t="shared" ca="1" si="107"/>
        <v>0.42595244177583741</v>
      </c>
      <c r="S245" s="360">
        <f t="shared" ca="1" si="108"/>
        <v>10.431879595862942</v>
      </c>
      <c r="T245" s="357">
        <f t="shared" ca="1" si="88"/>
        <v>102.33673883541546</v>
      </c>
      <c r="U245" s="364">
        <f t="shared" ca="1" si="89"/>
        <v>0</v>
      </c>
      <c r="V245" s="359">
        <f t="shared" ca="1" si="90"/>
        <v>1.1979358195001379</v>
      </c>
      <c r="W245" s="357">
        <f t="shared" ca="1" si="91"/>
        <v>91.17740490865765</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223.3998959613032</v>
      </c>
      <c r="AF245" s="344"/>
      <c r="AG245" s="359">
        <f t="shared" ca="1" si="114"/>
        <v>63.259454228206572</v>
      </c>
      <c r="AH245" s="357">
        <f t="shared" ca="1" si="115"/>
        <v>72.830006710447194</v>
      </c>
    </row>
    <row r="246" spans="1:34" x14ac:dyDescent="0.25">
      <c r="A246" s="402">
        <f t="shared" ca="1" si="93"/>
        <v>0.01</v>
      </c>
      <c r="B246" s="357">
        <f t="shared" ca="1" si="94"/>
        <v>2.4199999999999924</v>
      </c>
      <c r="C246" s="342"/>
      <c r="D246" s="359">
        <f t="shared" ca="1" si="95"/>
        <v>15.958210897188954</v>
      </c>
      <c r="E246" s="360">
        <f t="shared" ca="1" si="96"/>
        <v>61.048976222584741</v>
      </c>
      <c r="F246" s="357">
        <f t="shared" ca="1" si="97"/>
        <v>63.10025350872116</v>
      </c>
      <c r="G246" s="359">
        <f t="shared" ca="1" si="98"/>
        <v>40.448246550362477</v>
      </c>
      <c r="H246" s="360">
        <f t="shared" ca="1" si="99"/>
        <v>179.50357082778993</v>
      </c>
      <c r="I246" s="357">
        <f t="shared" ca="1" si="100"/>
        <v>184.00432763640725</v>
      </c>
      <c r="J246" s="359">
        <f t="shared" ca="1" si="101"/>
        <v>47.732471183028522</v>
      </c>
      <c r="K246" s="360">
        <f t="shared" ca="1" si="102"/>
        <v>225.19187922076998</v>
      </c>
      <c r="L246" s="357">
        <f t="shared" ca="1" si="87"/>
        <v>230.19507221532891</v>
      </c>
      <c r="M246" s="359">
        <f t="shared" ca="1" si="103"/>
        <v>1.3491640599226928</v>
      </c>
      <c r="N246" s="357">
        <f t="shared" ca="1" si="104"/>
        <v>77.301406504305589</v>
      </c>
      <c r="O246" s="343"/>
      <c r="P246" s="363">
        <f t="shared" ca="1" si="105"/>
        <v>9</v>
      </c>
      <c r="Q246" s="357">
        <f t="shared" ca="1" si="106"/>
        <v>848.57500000000164</v>
      </c>
      <c r="R246" s="359">
        <f t="shared" ca="1" si="107"/>
        <v>0.42507859327630249</v>
      </c>
      <c r="S246" s="360">
        <f t="shared" ca="1" si="108"/>
        <v>10.427628809930178</v>
      </c>
      <c r="T246" s="357">
        <f t="shared" ca="1" si="88"/>
        <v>102.29503862541506</v>
      </c>
      <c r="U246" s="364">
        <f t="shared" ca="1" si="89"/>
        <v>0</v>
      </c>
      <c r="V246" s="359">
        <f t="shared" ca="1" si="90"/>
        <v>1.1977211436417712</v>
      </c>
      <c r="W246" s="357">
        <f t="shared" ca="1" si="91"/>
        <v>91.789162853689234</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225.19187922076998</v>
      </c>
      <c r="AF246" s="344"/>
      <c r="AG246" s="359">
        <f t="shared" ca="1" si="114"/>
        <v>63.063432529907232</v>
      </c>
      <c r="AH246" s="357">
        <f t="shared" ca="1" si="115"/>
        <v>72.633731876807701</v>
      </c>
    </row>
    <row r="247" spans="1:34" x14ac:dyDescent="0.25">
      <c r="A247" s="402">
        <f t="shared" ca="1" si="93"/>
        <v>0.01</v>
      </c>
      <c r="B247" s="357">
        <f t="shared" ca="1" si="94"/>
        <v>2.4299999999999922</v>
      </c>
      <c r="C247" s="342"/>
      <c r="D247" s="359">
        <f t="shared" ca="1" si="95"/>
        <v>15.916871778756034</v>
      </c>
      <c r="E247" s="360">
        <f t="shared" ca="1" si="96"/>
        <v>60.826815297724707</v>
      </c>
      <c r="F247" s="357">
        <f t="shared" ca="1" si="97"/>
        <v>62.874861959966772</v>
      </c>
      <c r="G247" s="359">
        <f t="shared" ca="1" si="98"/>
        <v>40.607415268150035</v>
      </c>
      <c r="H247" s="360">
        <f t="shared" ca="1" si="99"/>
        <v>180.11183898076717</v>
      </c>
      <c r="I247" s="357">
        <f t="shared" ca="1" si="100"/>
        <v>184.63270760023477</v>
      </c>
      <c r="J247" s="359">
        <f t="shared" ca="1" si="101"/>
        <v>48.137749492121088</v>
      </c>
      <c r="K247" s="360">
        <f t="shared" ca="1" si="102"/>
        <v>226.98995626981275</v>
      </c>
      <c r="L247" s="357">
        <f t="shared" ca="1" si="87"/>
        <v>232.03810715815129</v>
      </c>
      <c r="M247" s="359">
        <f t="shared" ca="1" si="103"/>
        <v>1.349047262830156</v>
      </c>
      <c r="N247" s="357">
        <f t="shared" ca="1" si="104"/>
        <v>77.294714523843837</v>
      </c>
      <c r="O247" s="343"/>
      <c r="P247" s="363">
        <f t="shared" ca="1" si="105"/>
        <v>9</v>
      </c>
      <c r="Q247" s="357">
        <f t="shared" ca="1" si="106"/>
        <v>846.52500000000168</v>
      </c>
      <c r="R247" s="359">
        <f t="shared" ca="1" si="107"/>
        <v>0.42405168214149835</v>
      </c>
      <c r="S247" s="360">
        <f t="shared" ca="1" si="108"/>
        <v>10.423388293108763</v>
      </c>
      <c r="T247" s="357">
        <f t="shared" ca="1" si="88"/>
        <v>102.25343915539698</v>
      </c>
      <c r="U247" s="364">
        <f t="shared" ca="1" si="89"/>
        <v>0</v>
      </c>
      <c r="V247" s="359">
        <f t="shared" ca="1" si="90"/>
        <v>1.1975057759922081</v>
      </c>
      <c r="W247" s="357">
        <f t="shared" ca="1" si="91"/>
        <v>92.400540545695932</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226.98995626981275</v>
      </c>
      <c r="AF247" s="344"/>
      <c r="AG247" s="359">
        <f t="shared" ca="1" si="114"/>
        <v>62.837870448835574</v>
      </c>
      <c r="AH247" s="357">
        <f t="shared" ca="1" si="115"/>
        <v>72.407917264800787</v>
      </c>
    </row>
    <row r="248" spans="1:34" x14ac:dyDescent="0.25">
      <c r="A248" s="402">
        <f t="shared" ca="1" si="93"/>
        <v>0.01</v>
      </c>
      <c r="B248" s="357">
        <f t="shared" ca="1" si="94"/>
        <v>2.439999999999992</v>
      </c>
      <c r="C248" s="342"/>
      <c r="D248" s="359">
        <f t="shared" ca="1" si="95"/>
        <v>15.875408991655107</v>
      </c>
      <c r="E248" s="360">
        <f t="shared" ca="1" si="96"/>
        <v>60.604457290058178</v>
      </c>
      <c r="F248" s="357">
        <f t="shared" ca="1" si="97"/>
        <v>62.649252621837476</v>
      </c>
      <c r="G248" s="359">
        <f t="shared" ca="1" si="98"/>
        <v>40.766169358066584</v>
      </c>
      <c r="H248" s="360">
        <f t="shared" ca="1" si="99"/>
        <v>180.71788355366775</v>
      </c>
      <c r="I248" s="357">
        <f t="shared" ca="1" si="100"/>
        <v>185.25882974975195</v>
      </c>
      <c r="J248" s="359">
        <f t="shared" ca="1" si="101"/>
        <v>48.544617415252169</v>
      </c>
      <c r="K248" s="360">
        <f t="shared" ca="1" si="102"/>
        <v>228.79410488248493</v>
      </c>
      <c r="L248" s="357">
        <f t="shared" ca="1" si="87"/>
        <v>233.88741374638079</v>
      </c>
      <c r="M248" s="359">
        <f t="shared" ca="1" si="103"/>
        <v>1.3489308001446629</v>
      </c>
      <c r="N248" s="357">
        <f t="shared" ca="1" si="104"/>
        <v>77.288041703494329</v>
      </c>
      <c r="O248" s="343"/>
      <c r="P248" s="363">
        <f t="shared" ca="1" si="105"/>
        <v>9</v>
      </c>
      <c r="Q248" s="357">
        <f t="shared" ca="1" si="106"/>
        <v>844.47500000000173</v>
      </c>
      <c r="R248" s="359">
        <f t="shared" ca="1" si="107"/>
        <v>0.42302477100669422</v>
      </c>
      <c r="S248" s="360">
        <f t="shared" ca="1" si="108"/>
        <v>10.419158045398696</v>
      </c>
      <c r="T248" s="357">
        <f t="shared" ca="1" si="88"/>
        <v>102.21194042536121</v>
      </c>
      <c r="U248" s="364">
        <f t="shared" ca="1" si="89"/>
        <v>0</v>
      </c>
      <c r="V248" s="359">
        <f t="shared" ca="1" si="90"/>
        <v>1.1972897195919954</v>
      </c>
      <c r="W248" s="357">
        <f t="shared" ca="1" si="91"/>
        <v>93.011511940793795</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228.79410488248493</v>
      </c>
      <c r="AF248" s="344"/>
      <c r="AG248" s="359">
        <f t="shared" ca="1" si="114"/>
        <v>62.612089313285381</v>
      </c>
      <c r="AH248" s="357">
        <f t="shared" ca="1" si="115"/>
        <v>72.181884196145447</v>
      </c>
    </row>
    <row r="249" spans="1:34" x14ac:dyDescent="0.25">
      <c r="A249" s="402">
        <f t="shared" ca="1" si="93"/>
        <v>0.01</v>
      </c>
      <c r="B249" s="357">
        <f t="shared" ca="1" si="94"/>
        <v>2.4499999999999917</v>
      </c>
      <c r="C249" s="342"/>
      <c r="D249" s="359">
        <f t="shared" ca="1" si="95"/>
        <v>15.833823575559494</v>
      </c>
      <c r="E249" s="360">
        <f t="shared" ca="1" si="96"/>
        <v>60.381904959328025</v>
      </c>
      <c r="F249" s="357">
        <f t="shared" ca="1" si="97"/>
        <v>62.423428418657579</v>
      </c>
      <c r="G249" s="359">
        <f t="shared" ca="1" si="98"/>
        <v>40.924507593822177</v>
      </c>
      <c r="H249" s="360">
        <f t="shared" ca="1" si="99"/>
        <v>181.32170260326103</v>
      </c>
      <c r="I249" s="357">
        <f t="shared" ca="1" si="100"/>
        <v>185.8826919235415</v>
      </c>
      <c r="J249" s="359">
        <f t="shared" ca="1" si="101"/>
        <v>48.953070800011616</v>
      </c>
      <c r="K249" s="360">
        <f t="shared" ca="1" si="102"/>
        <v>230.60430281326958</v>
      </c>
      <c r="L249" s="357">
        <f t="shared" ca="1" si="87"/>
        <v>235.74296938985282</v>
      </c>
      <c r="M249" s="359">
        <f t="shared" ca="1" si="103"/>
        <v>1.3488146683752438</v>
      </c>
      <c r="N249" s="357">
        <f t="shared" ca="1" si="104"/>
        <v>77.281387843239216</v>
      </c>
      <c r="O249" s="343"/>
      <c r="P249" s="363">
        <f t="shared" ca="1" si="105"/>
        <v>9</v>
      </c>
      <c r="Q249" s="357">
        <f t="shared" ca="1" si="106"/>
        <v>842.42500000000177</v>
      </c>
      <c r="R249" s="359">
        <f t="shared" ca="1" si="107"/>
        <v>0.42199785987189015</v>
      </c>
      <c r="S249" s="360">
        <f t="shared" ca="1" si="108"/>
        <v>10.414938066799976</v>
      </c>
      <c r="T249" s="357">
        <f t="shared" ca="1" si="88"/>
        <v>102.17054243530778</v>
      </c>
      <c r="U249" s="364">
        <f t="shared" ca="1" si="89"/>
        <v>0</v>
      </c>
      <c r="V249" s="359">
        <f t="shared" ca="1" si="90"/>
        <v>1.1970729774832309</v>
      </c>
      <c r="W249" s="357">
        <f t="shared" ca="1" si="91"/>
        <v>93.622051102629385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230.60430281326958</v>
      </c>
      <c r="AF249" s="344"/>
      <c r="AG249" s="359">
        <f t="shared" ca="1" si="114"/>
        <v>62.386092032792604</v>
      </c>
      <c r="AH249" s="357">
        <f t="shared" ca="1" si="115"/>
        <v>71.955635573881793</v>
      </c>
    </row>
    <row r="250" spans="1:34" x14ac:dyDescent="0.25">
      <c r="A250" s="402">
        <f t="shared" ca="1" si="93"/>
        <v>0.01</v>
      </c>
      <c r="B250" s="357">
        <f t="shared" ca="1" si="94"/>
        <v>2.4599999999999915</v>
      </c>
      <c r="C250" s="342"/>
      <c r="D250" s="359">
        <f t="shared" ca="1" si="95"/>
        <v>15.792116564632733</v>
      </c>
      <c r="E250" s="360">
        <f t="shared" ca="1" si="96"/>
        <v>60.159161061833444</v>
      </c>
      <c r="F250" s="357">
        <f t="shared" ca="1" si="97"/>
        <v>62.197392270533051</v>
      </c>
      <c r="G250" s="359">
        <f t="shared" ca="1" si="98"/>
        <v>41.082428759468506</v>
      </c>
      <c r="H250" s="360">
        <f t="shared" ca="1" si="99"/>
        <v>181.92329421387936</v>
      </c>
      <c r="I250" s="357">
        <f t="shared" ca="1" si="100"/>
        <v>186.50429198923683</v>
      </c>
      <c r="J250" s="359">
        <f t="shared" ca="1" si="101"/>
        <v>49.363105481778071</v>
      </c>
      <c r="K250" s="360">
        <f t="shared" ca="1" si="102"/>
        <v>232.42052779735528</v>
      </c>
      <c r="L250" s="357">
        <f t="shared" ca="1" si="87"/>
        <v>237.60475147691457</v>
      </c>
      <c r="M250" s="359">
        <f t="shared" ca="1" si="103"/>
        <v>1.3486988640748625</v>
      </c>
      <c r="N250" s="357">
        <f t="shared" ca="1" si="104"/>
        <v>77.274752745577914</v>
      </c>
      <c r="O250" s="343"/>
      <c r="P250" s="363">
        <f t="shared" ca="1" si="105"/>
        <v>9</v>
      </c>
      <c r="Q250" s="357">
        <f t="shared" ca="1" si="106"/>
        <v>840.37500000000182</v>
      </c>
      <c r="R250" s="359">
        <f t="shared" ca="1" si="107"/>
        <v>0.42097094873708601</v>
      </c>
      <c r="S250" s="360">
        <f t="shared" ca="1" si="108"/>
        <v>10.410728357312605</v>
      </c>
      <c r="T250" s="357">
        <f t="shared" ca="1" si="88"/>
        <v>102.12924518523666</v>
      </c>
      <c r="U250" s="364">
        <f t="shared" ca="1" si="89"/>
        <v>0</v>
      </c>
      <c r="V250" s="359">
        <f t="shared" ca="1" si="90"/>
        <v>1.1968555527095148</v>
      </c>
      <c r="W250" s="357">
        <f t="shared" ca="1" si="91"/>
        <v>94.232132203159907</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232.42052779735528</v>
      </c>
      <c r="AF250" s="344"/>
      <c r="AG250" s="359">
        <f t="shared" ca="1" si="114"/>
        <v>62.159881512475259</v>
      </c>
      <c r="AH250" s="357">
        <f t="shared" ca="1" si="115"/>
        <v>71.729174296709544</v>
      </c>
    </row>
    <row r="251" spans="1:34" x14ac:dyDescent="0.25">
      <c r="A251" s="402">
        <f t="shared" ca="1" si="93"/>
        <v>0.01</v>
      </c>
      <c r="B251" s="357">
        <f t="shared" ca="1" si="94"/>
        <v>2.4699999999999913</v>
      </c>
      <c r="C251" s="342"/>
      <c r="D251" s="359">
        <f t="shared" ca="1" si="95"/>
        <v>15.750288987590416</v>
      </c>
      <c r="E251" s="360">
        <f t="shared" ca="1" si="96"/>
        <v>59.936228350305171</v>
      </c>
      <c r="F251" s="357">
        <f t="shared" ca="1" si="97"/>
        <v>61.971147093244426</v>
      </c>
      <c r="G251" s="359">
        <f t="shared" ca="1" si="98"/>
        <v>41.239931649344413</v>
      </c>
      <c r="H251" s="360">
        <f t="shared" ca="1" si="99"/>
        <v>182.5226564973824</v>
      </c>
      <c r="I251" s="357">
        <f t="shared" ca="1" si="100"/>
        <v>187.12362784347692</v>
      </c>
      <c r="J251" s="359">
        <f t="shared" ca="1" si="101"/>
        <v>49.774717283822135</v>
      </c>
      <c r="K251" s="360">
        <f t="shared" ca="1" si="102"/>
        <v>234.24275755091159</v>
      </c>
      <c r="L251" s="357">
        <f t="shared" ca="1" si="87"/>
        <v>239.47273737471573</v>
      </c>
      <c r="M251" s="359">
        <f t="shared" ca="1" si="103"/>
        <v>1.3485833838396384</v>
      </c>
      <c r="N251" s="357">
        <f t="shared" ca="1" si="104"/>
        <v>77.268136215482386</v>
      </c>
      <c r="O251" s="343"/>
      <c r="P251" s="363">
        <f t="shared" ca="1" si="105"/>
        <v>9</v>
      </c>
      <c r="Q251" s="357">
        <f t="shared" ca="1" si="106"/>
        <v>838.32500000000175</v>
      </c>
      <c r="R251" s="359">
        <f t="shared" ca="1" si="107"/>
        <v>0.41994403760228183</v>
      </c>
      <c r="S251" s="360">
        <f t="shared" ca="1" si="108"/>
        <v>10.406528916936582</v>
      </c>
      <c r="T251" s="357">
        <f t="shared" ca="1" si="88"/>
        <v>102.08804867514787</v>
      </c>
      <c r="U251" s="364">
        <f t="shared" ca="1" si="89"/>
        <v>0</v>
      </c>
      <c r="V251" s="359">
        <f t="shared" ca="1" si="90"/>
        <v>1.1966374483158968</v>
      </c>
      <c r="W251" s="357">
        <f t="shared" ca="1" si="91"/>
        <v>94.841729523423183</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234.24275755091159</v>
      </c>
      <c r="AF251" s="344"/>
      <c r="AG251" s="359">
        <f t="shared" ca="1" si="114"/>
        <v>61.933460652922392</v>
      </c>
      <c r="AH251" s="357">
        <f t="shared" ca="1" si="115"/>
        <v>71.502503258875663</v>
      </c>
    </row>
    <row r="252" spans="1:34" x14ac:dyDescent="0.25">
      <c r="A252" s="402">
        <f t="shared" ca="1" si="93"/>
        <v>0.01</v>
      </c>
      <c r="B252" s="357">
        <f t="shared" ca="1" si="94"/>
        <v>2.4799999999999911</v>
      </c>
      <c r="C252" s="342"/>
      <c r="D252" s="359">
        <f t="shared" ca="1" si="95"/>
        <v>15.708341867760222</v>
      </c>
      <c r="E252" s="360">
        <f t="shared" ca="1" si="96"/>
        <v>59.713109573781935</v>
      </c>
      <c r="F252" s="357">
        <f t="shared" ca="1" si="97"/>
        <v>61.744695798140562</v>
      </c>
      <c r="G252" s="359">
        <f t="shared" ca="1" si="98"/>
        <v>41.397015068022014</v>
      </c>
      <c r="H252" s="360">
        <f t="shared" ca="1" si="99"/>
        <v>183.11978759312021</v>
      </c>
      <c r="I252" s="357">
        <f t="shared" ca="1" si="100"/>
        <v>187.74069741185983</v>
      </c>
      <c r="J252" s="359">
        <f t="shared" ca="1" si="101"/>
        <v>50.187902017408966</v>
      </c>
      <c r="K252" s="360">
        <f t="shared" ca="1" si="102"/>
        <v>236.0709697713641</v>
      </c>
      <c r="L252" s="357">
        <f t="shared" ca="1" si="87"/>
        <v>241.34690442949824</v>
      </c>
      <c r="M252" s="359">
        <f t="shared" ca="1" si="103"/>
        <v>1.3484682243080826</v>
      </c>
      <c r="N252" s="357">
        <f t="shared" ca="1" si="104"/>
        <v>77.26153806035353</v>
      </c>
      <c r="O252" s="343"/>
      <c r="P252" s="363">
        <f t="shared" ca="1" si="105"/>
        <v>9</v>
      </c>
      <c r="Q252" s="357">
        <f t="shared" ca="1" si="106"/>
        <v>836.2750000000018</v>
      </c>
      <c r="R252" s="359">
        <f t="shared" ca="1" si="107"/>
        <v>0.41891712646747775</v>
      </c>
      <c r="S252" s="360">
        <f t="shared" ca="1" si="108"/>
        <v>10.402339745671906</v>
      </c>
      <c r="T252" s="357">
        <f t="shared" ca="1" si="88"/>
        <v>102.04695290504141</v>
      </c>
      <c r="U252" s="364">
        <f t="shared" ca="1" si="89"/>
        <v>0</v>
      </c>
      <c r="V252" s="359">
        <f t="shared" ca="1" si="90"/>
        <v>1.196418667348824</v>
      </c>
      <c r="W252" s="357">
        <f t="shared" ca="1" si="91"/>
        <v>95.450817454297223</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236.0709697713641</v>
      </c>
      <c r="AF252" s="344"/>
      <c r="AG252" s="359">
        <f t="shared" ca="1" si="114"/>
        <v>61.706832350083907</v>
      </c>
      <c r="AH252" s="357">
        <f t="shared" ca="1" si="115"/>
        <v>71.275625350062825</v>
      </c>
    </row>
    <row r="253" spans="1:34" x14ac:dyDescent="0.25">
      <c r="A253" s="402">
        <f t="shared" ca="1" si="93"/>
        <v>0.01</v>
      </c>
      <c r="B253" s="357">
        <f t="shared" ca="1" si="94"/>
        <v>2.4899999999999909</v>
      </c>
      <c r="C253" s="342"/>
      <c r="D253" s="359">
        <f t="shared" ca="1" si="95"/>
        <v>15.666276223140205</v>
      </c>
      <c r="E253" s="360">
        <f t="shared" ca="1" si="96"/>
        <v>59.48980747748773</v>
      </c>
      <c r="F253" s="357">
        <f t="shared" ca="1" si="97"/>
        <v>61.518041292033054</v>
      </c>
      <c r="G253" s="359">
        <f t="shared" ca="1" si="98"/>
        <v>41.553677830253413</v>
      </c>
      <c r="H253" s="360">
        <f t="shared" ca="1" si="99"/>
        <v>183.71468566789508</v>
      </c>
      <c r="I253" s="357">
        <f t="shared" ca="1" si="100"/>
        <v>188.35549864889526</v>
      </c>
      <c r="J253" s="359">
        <f t="shared" ca="1" si="101"/>
        <v>50.602655481900342</v>
      </c>
      <c r="K253" s="360">
        <f t="shared" ca="1" si="102"/>
        <v>237.90514213766917</v>
      </c>
      <c r="L253" s="357">
        <f t="shared" ca="1" si="87"/>
        <v>243.22722996688606</v>
      </c>
      <c r="M253" s="359">
        <f t="shared" ca="1" si="103"/>
        <v>1.3483533821603531</v>
      </c>
      <c r="N253" s="357">
        <f t="shared" ca="1" si="104"/>
        <v>77.254958089978416</v>
      </c>
      <c r="O253" s="343"/>
      <c r="P253" s="363">
        <f t="shared" ca="1" si="105"/>
        <v>9</v>
      </c>
      <c r="Q253" s="357">
        <f t="shared" ca="1" si="106"/>
        <v>834.22500000000184</v>
      </c>
      <c r="R253" s="359">
        <f t="shared" ca="1" si="107"/>
        <v>0.41789021533267362</v>
      </c>
      <c r="S253" s="360">
        <f t="shared" ca="1" si="108"/>
        <v>10.398160843518578</v>
      </c>
      <c r="T253" s="357">
        <f t="shared" ca="1" si="88"/>
        <v>102.00595787491726</v>
      </c>
      <c r="U253" s="364">
        <f t="shared" ca="1" si="89"/>
        <v>0</v>
      </c>
      <c r="V253" s="359">
        <f t="shared" ca="1" si="90"/>
        <v>1.1961992128560932</v>
      </c>
      <c r="W253" s="357">
        <f t="shared" ca="1" si="91"/>
        <v>96.059370497250526</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237.90514213766917</v>
      </c>
      <c r="AF253" s="344"/>
      <c r="AG253" s="359">
        <f t="shared" ca="1" si="114"/>
        <v>61.479999495160904</v>
      </c>
      <c r="AH253" s="357">
        <f t="shared" ca="1" si="115"/>
        <v>71.048543455278462</v>
      </c>
    </row>
    <row r="254" spans="1:34" x14ac:dyDescent="0.25">
      <c r="A254" s="402">
        <f t="shared" ca="1" si="93"/>
        <v>0.01</v>
      </c>
      <c r="B254" s="357">
        <f t="shared" ca="1" si="94"/>
        <v>2.4999999999999907</v>
      </c>
      <c r="C254" s="342"/>
      <c r="D254" s="359">
        <f t="shared" ca="1" si="95"/>
        <v>15.624093066455275</v>
      </c>
      <c r="E254" s="360">
        <f t="shared" ca="1" si="96"/>
        <v>59.266324802710344</v>
      </c>
      <c r="F254" s="357">
        <f t="shared" ca="1" si="97"/>
        <v>61.291186477091593</v>
      </c>
      <c r="G254" s="359">
        <f t="shared" ca="1" si="98"/>
        <v>41.709918760917965</v>
      </c>
      <c r="H254" s="360">
        <f t="shared" ca="1" si="99"/>
        <v>184.30734891592218</v>
      </c>
      <c r="I254" s="357">
        <f t="shared" ca="1" si="100"/>
        <v>188.96802953795611</v>
      </c>
      <c r="J254" s="359">
        <f t="shared" ca="1" si="101"/>
        <v>51.018973464856202</v>
      </c>
      <c r="K254" s="360">
        <f t="shared" ca="1" si="102"/>
        <v>239.74525231058826</v>
      </c>
      <c r="L254" s="357">
        <f t="shared" ca="1" si="87"/>
        <v>245.11369129217431</v>
      </c>
      <c r="M254" s="359">
        <f t="shared" ca="1" si="103"/>
        <v>1.3482388541175254</v>
      </c>
      <c r="N254" s="357">
        <f t="shared" ca="1" si="104"/>
        <v>77.248396116488493</v>
      </c>
      <c r="O254" s="343"/>
      <c r="P254" s="363">
        <f t="shared" ca="1" si="105"/>
        <v>9</v>
      </c>
      <c r="Q254" s="357">
        <f t="shared" ca="1" si="106"/>
        <v>832.17500000000189</v>
      </c>
      <c r="R254" s="359">
        <f t="shared" ca="1" si="107"/>
        <v>0.41686330419786954</v>
      </c>
      <c r="S254" s="360">
        <f t="shared" ca="1" si="108"/>
        <v>10.3939922104766</v>
      </c>
      <c r="T254" s="357">
        <f t="shared" ca="1" si="88"/>
        <v>101.96506358477545</v>
      </c>
      <c r="U254" s="364">
        <f t="shared" ca="1" si="89"/>
        <v>0</v>
      </c>
      <c r="V254" s="359">
        <f t="shared" ca="1" si="90"/>
        <v>1.1959790878867962</v>
      </c>
      <c r="W254" s="357">
        <f t="shared" ca="1" si="91"/>
        <v>96.667363265081647</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239.74525231058826</v>
      </c>
      <c r="AF254" s="344"/>
      <c r="AG254" s="359">
        <f t="shared" ca="1" si="114"/>
        <v>61.252964974496919</v>
      </c>
      <c r="AH254" s="357">
        <f t="shared" ca="1" si="115"/>
        <v>70.821260454744746</v>
      </c>
    </row>
    <row r="255" spans="1:34" x14ac:dyDescent="0.25">
      <c r="A255" s="402">
        <f t="shared" ca="1" si="93"/>
        <v>0.01</v>
      </c>
      <c r="B255" s="357">
        <f t="shared" ca="1" si="94"/>
        <v>2.5099999999999905</v>
      </c>
      <c r="C255" s="342"/>
      <c r="D255" s="359">
        <f t="shared" ca="1" si="95"/>
        <v>15.581793405212011</v>
      </c>
      <c r="E255" s="360">
        <f t="shared" ca="1" si="96"/>
        <v>59.042664286681045</v>
      </c>
      <c r="F255" s="357">
        <f t="shared" ca="1" si="97"/>
        <v>61.06413425074026</v>
      </c>
      <c r="G255" s="359">
        <f t="shared" ca="1" si="98"/>
        <v>41.865736694970089</v>
      </c>
      <c r="H255" s="360">
        <f t="shared" ca="1" si="99"/>
        <v>184.89777555878899</v>
      </c>
      <c r="I255" s="357">
        <f t="shared" ca="1" si="100"/>
        <v>189.57828809122861</v>
      </c>
      <c r="J255" s="359">
        <f t="shared" ca="1" si="101"/>
        <v>51.436851742135644</v>
      </c>
      <c r="K255" s="360">
        <f t="shared" ca="1" si="102"/>
        <v>241.59127793296182</v>
      </c>
      <c r="L255" s="357">
        <f t="shared" ca="1" si="87"/>
        <v>247.00626569061774</v>
      </c>
      <c r="M255" s="359">
        <f t="shared" ca="1" si="103"/>
        <v>1.3481246369408786</v>
      </c>
      <c r="N255" s="357">
        <f t="shared" ca="1" si="104"/>
        <v>77.241851954318733</v>
      </c>
      <c r="O255" s="343"/>
      <c r="P255" s="363">
        <f t="shared" ca="1" si="105"/>
        <v>9</v>
      </c>
      <c r="Q255" s="357">
        <f t="shared" ca="1" si="106"/>
        <v>830.12500000000193</v>
      </c>
      <c r="R255" s="359">
        <f t="shared" ca="1" si="107"/>
        <v>0.41583639306306541</v>
      </c>
      <c r="S255" s="360">
        <f t="shared" ca="1" si="108"/>
        <v>10.389833846545971</v>
      </c>
      <c r="T255" s="357">
        <f t="shared" ca="1" si="88"/>
        <v>101.92427003461597</v>
      </c>
      <c r="U255" s="364">
        <f t="shared" ca="1" si="89"/>
        <v>0</v>
      </c>
      <c r="V255" s="359">
        <f t="shared" ca="1" si="90"/>
        <v>1.1957582954912722</v>
      </c>
      <c r="W255" s="357">
        <f t="shared" ca="1" si="91"/>
        <v>97.274770482648933</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241.59127793296182</v>
      </c>
      <c r="AF255" s="344"/>
      <c r="AG255" s="359">
        <f t="shared" ca="1" si="114"/>
        <v>61.025731669469948</v>
      </c>
      <c r="AH255" s="357">
        <f t="shared" ca="1" si="115"/>
        <v>70.59377922378934</v>
      </c>
    </row>
    <row r="256" spans="1:34" x14ac:dyDescent="0.25">
      <c r="A256" s="402">
        <f t="shared" ca="1" si="93"/>
        <v>0.01</v>
      </c>
      <c r="B256" s="357">
        <f t="shared" ca="1" si="94"/>
        <v>2.5199999999999902</v>
      </c>
      <c r="C256" s="342"/>
      <c r="D256" s="359">
        <f t="shared" ca="1" si="95"/>
        <v>15.539378241751857</v>
      </c>
      <c r="E256" s="360">
        <f t="shared" ca="1" si="96"/>
        <v>58.818828662455147</v>
      </c>
      <c r="F256" s="357">
        <f t="shared" ca="1" si="97"/>
        <v>60.836887505554444</v>
      </c>
      <c r="G256" s="359">
        <f t="shared" ca="1" si="98"/>
        <v>42.021130477387608</v>
      </c>
      <c r="H256" s="360">
        <f t="shared" ca="1" si="99"/>
        <v>185.48596384541355</v>
      </c>
      <c r="I256" s="357">
        <f t="shared" ca="1" si="100"/>
        <v>190.18627234966172</v>
      </c>
      <c r="J256" s="359">
        <f t="shared" ca="1" si="101"/>
        <v>51.856286077997432</v>
      </c>
      <c r="K256" s="360">
        <f t="shared" ca="1" si="102"/>
        <v>243.44319662998282</v>
      </c>
      <c r="L256" s="357">
        <f t="shared" ca="1" si="87"/>
        <v>248.90493042771891</v>
      </c>
      <c r="M256" s="359">
        <f t="shared" ca="1" si="103"/>
        <v>1.3480107274311965</v>
      </c>
      <c r="N256" s="357">
        <f t="shared" ca="1" si="104"/>
        <v>77.235325420167555</v>
      </c>
      <c r="O256" s="343"/>
      <c r="P256" s="363">
        <f t="shared" ca="1" si="105"/>
        <v>9</v>
      </c>
      <c r="Q256" s="357">
        <f t="shared" ca="1" si="106"/>
        <v>828.07500000000198</v>
      </c>
      <c r="R256" s="359">
        <f t="shared" ca="1" si="107"/>
        <v>0.41480948192826128</v>
      </c>
      <c r="S256" s="360">
        <f t="shared" ca="1" si="108"/>
        <v>10.385685751726689</v>
      </c>
      <c r="T256" s="357">
        <f t="shared" ca="1" si="88"/>
        <v>101.88357722443882</v>
      </c>
      <c r="U256" s="364">
        <f t="shared" ca="1" si="89"/>
        <v>0</v>
      </c>
      <c r="V256" s="359">
        <f t="shared" ca="1" si="90"/>
        <v>1.1955368387210559</v>
      </c>
      <c r="W256" s="357">
        <f t="shared" ca="1" si="91"/>
        <v>97.88156698759029</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243.44319662998282</v>
      </c>
      <c r="AF256" s="344"/>
      <c r="AG256" s="359">
        <f t="shared" ca="1" si="114"/>
        <v>60.798302456385102</v>
      </c>
      <c r="AH256" s="357">
        <f t="shared" ca="1" si="115"/>
        <v>70.366102632736855</v>
      </c>
    </row>
    <row r="257" spans="1:34" x14ac:dyDescent="0.25">
      <c r="A257" s="402">
        <f t="shared" ca="1" si="93"/>
        <v>0.01</v>
      </c>
      <c r="B257" s="357">
        <f t="shared" ca="1" si="94"/>
        <v>2.52999999999999</v>
      </c>
      <c r="C257" s="342"/>
      <c r="D257" s="359">
        <f t="shared" ca="1" si="95"/>
        <v>15.496848573302696</v>
      </c>
      <c r="E257" s="360">
        <f t="shared" ca="1" si="96"/>
        <v>58.594820658793765</v>
      </c>
      <c r="F257" s="357">
        <f t="shared" ca="1" si="97"/>
        <v>60.609449129158719</v>
      </c>
      <c r="G257" s="359">
        <f t="shared" ca="1" si="98"/>
        <v>42.176098963120637</v>
      </c>
      <c r="H257" s="360">
        <f t="shared" ca="1" si="99"/>
        <v>186.07191205200149</v>
      </c>
      <c r="I257" s="357">
        <f t="shared" ca="1" si="100"/>
        <v>190.79198038291526</v>
      </c>
      <c r="J257" s="359">
        <f t="shared" ca="1" si="101"/>
        <v>52.277272225199972</v>
      </c>
      <c r="K257" s="360">
        <f t="shared" ca="1" si="102"/>
        <v>245.30098600946991</v>
      </c>
      <c r="L257" s="357">
        <f t="shared" ca="1" si="87"/>
        <v>250.80966274951572</v>
      </c>
      <c r="M257" s="359">
        <f t="shared" ca="1" si="103"/>
        <v>1.3478971224280849</v>
      </c>
      <c r="N257" s="357">
        <f t="shared" ca="1" si="104"/>
        <v>77.228816332957678</v>
      </c>
      <c r="O257" s="343"/>
      <c r="P257" s="363">
        <f t="shared" ca="1" si="105"/>
        <v>9</v>
      </c>
      <c r="Q257" s="357">
        <f t="shared" ca="1" si="106"/>
        <v>826.02500000000202</v>
      </c>
      <c r="R257" s="359">
        <f t="shared" ca="1" si="107"/>
        <v>0.41378257079345721</v>
      </c>
      <c r="S257" s="360">
        <f t="shared" ca="1" si="108"/>
        <v>10.381547926018754</v>
      </c>
      <c r="T257" s="357">
        <f t="shared" ca="1" si="88"/>
        <v>101.84298515424399</v>
      </c>
      <c r="U257" s="364">
        <f t="shared" ca="1" si="89"/>
        <v>0</v>
      </c>
      <c r="V257" s="359">
        <f t="shared" ca="1" si="90"/>
        <v>1.1953147206288255</v>
      </c>
      <c r="W257" s="357">
        <f t="shared" ca="1" si="91"/>
        <v>98.487727731032464</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245.30098600946991</v>
      </c>
      <c r="AF257" s="344"/>
      <c r="AG257" s="359">
        <f t="shared" ca="1" si="114"/>
        <v>60.570680206368067</v>
      </c>
      <c r="AH257" s="357">
        <f t="shared" ca="1" si="115"/>
        <v>70.138233546801075</v>
      </c>
    </row>
    <row r="258" spans="1:34" x14ac:dyDescent="0.25">
      <c r="A258" s="402">
        <f t="shared" ca="1" si="93"/>
        <v>0.01</v>
      </c>
      <c r="B258" s="357">
        <f t="shared" ca="1" si="94"/>
        <v>2.5399999999999898</v>
      </c>
      <c r="C258" s="342"/>
      <c r="D258" s="359">
        <f t="shared" ca="1" si="95"/>
        <v>15.45420539202887</v>
      </c>
      <c r="E258" s="360">
        <f t="shared" ca="1" si="96"/>
        <v>58.370643000046599</v>
      </c>
      <c r="F258" s="357">
        <f t="shared" ca="1" si="97"/>
        <v>60.381822004125574</v>
      </c>
      <c r="G258" s="359">
        <f t="shared" ca="1" si="98"/>
        <v>42.330641017040925</v>
      </c>
      <c r="H258" s="360">
        <f t="shared" ca="1" si="99"/>
        <v>186.65561848200196</v>
      </c>
      <c r="I258" s="357">
        <f t="shared" ca="1" si="100"/>
        <v>191.39541028930722</v>
      </c>
      <c r="J258" s="359">
        <f t="shared" ca="1" si="101"/>
        <v>52.699805925100783</v>
      </c>
      <c r="K258" s="360">
        <f t="shared" ca="1" si="102"/>
        <v>247.16462366213992</v>
      </c>
      <c r="L258" s="357">
        <f t="shared" ca="1" si="87"/>
        <v>252.7204398828685</v>
      </c>
      <c r="M258" s="359">
        <f t="shared" ca="1" si="103"/>
        <v>1.3477838188093019</v>
      </c>
      <c r="N258" s="357">
        <f t="shared" ca="1" si="104"/>
        <v>77.222324513797858</v>
      </c>
      <c r="O258" s="343"/>
      <c r="P258" s="363">
        <f t="shared" ca="1" si="105"/>
        <v>9</v>
      </c>
      <c r="Q258" s="357">
        <f t="shared" ca="1" si="106"/>
        <v>823.97500000000207</v>
      </c>
      <c r="R258" s="359">
        <f t="shared" ca="1" si="107"/>
        <v>0.41275565965865307</v>
      </c>
      <c r="S258" s="360">
        <f t="shared" ca="1" si="108"/>
        <v>10.377420369422168</v>
      </c>
      <c r="T258" s="357">
        <f t="shared" ca="1" si="88"/>
        <v>101.80249382403147</v>
      </c>
      <c r="U258" s="364">
        <f t="shared" ca="1" si="89"/>
        <v>0</v>
      </c>
      <c r="V258" s="359">
        <f t="shared" ca="1" si="90"/>
        <v>1.195091944268357</v>
      </c>
      <c r="W258" s="357">
        <f t="shared" ca="1" si="91"/>
        <v>99.093227778291094</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247.16462366213992</v>
      </c>
      <c r="AF258" s="344"/>
      <c r="AG258" s="359">
        <f t="shared" ca="1" si="114"/>
        <v>60.34286778525933</v>
      </c>
      <c r="AH258" s="357">
        <f t="shared" ca="1" si="115"/>
        <v>69.910174825978061</v>
      </c>
    </row>
    <row r="259" spans="1:34" x14ac:dyDescent="0.25">
      <c r="A259" s="402">
        <f t="shared" ca="1" si="93"/>
        <v>0.01</v>
      </c>
      <c r="B259" s="357">
        <f t="shared" ca="1" si="94"/>
        <v>2.5499999999999896</v>
      </c>
      <c r="C259" s="342"/>
      <c r="D259" s="359">
        <f t="shared" ca="1" si="95"/>
        <v>15.411449685079734</v>
      </c>
      <c r="E259" s="360">
        <f t="shared" ca="1" si="96"/>
        <v>58.146298406035797</v>
      </c>
      <c r="F259" s="357">
        <f t="shared" ca="1" si="97"/>
        <v>60.15400900787499</v>
      </c>
      <c r="G259" s="359">
        <f t="shared" ca="1" si="98"/>
        <v>42.48475551389172</v>
      </c>
      <c r="H259" s="360">
        <f t="shared" ca="1" si="99"/>
        <v>187.23708146606231</v>
      </c>
      <c r="I259" s="357">
        <f t="shared" ca="1" si="100"/>
        <v>191.99656019575977</v>
      </c>
      <c r="J259" s="359">
        <f t="shared" ca="1" si="101"/>
        <v>53.123882907755444</v>
      </c>
      <c r="K259" s="360">
        <f t="shared" ca="1" si="102"/>
        <v>249.03408716188025</v>
      </c>
      <c r="L259" s="357">
        <f t="shared" ca="1" si="87"/>
        <v>254.63723903574646</v>
      </c>
      <c r="M259" s="359">
        <f t="shared" ca="1" si="103"/>
        <v>1.3476708134901036</v>
      </c>
      <c r="N259" s="357">
        <f t="shared" ca="1" si="104"/>
        <v>77.215849785945267</v>
      </c>
      <c r="O259" s="343"/>
      <c r="P259" s="363">
        <f t="shared" ca="1" si="105"/>
        <v>9</v>
      </c>
      <c r="Q259" s="357">
        <f t="shared" ca="1" si="106"/>
        <v>821.92500000000211</v>
      </c>
      <c r="R259" s="359">
        <f t="shared" ca="1" si="107"/>
        <v>0.41172874852384894</v>
      </c>
      <c r="S259" s="360">
        <f t="shared" ca="1" si="108"/>
        <v>10.37330308193693</v>
      </c>
      <c r="T259" s="357">
        <f t="shared" ca="1" si="88"/>
        <v>101.76210323380128</v>
      </c>
      <c r="U259" s="364">
        <f t="shared" ca="1" si="89"/>
        <v>0</v>
      </c>
      <c r="V259" s="359">
        <f t="shared" ca="1" si="90"/>
        <v>1.194868512694468</v>
      </c>
      <c r="W259" s="357">
        <f t="shared" ca="1" si="91"/>
        <v>99.698042309559582</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249.03408716188025</v>
      </c>
      <c r="AF259" s="344"/>
      <c r="AG259" s="359">
        <f t="shared" ca="1" si="114"/>
        <v>60.114868053509156</v>
      </c>
      <c r="AH259" s="357">
        <f t="shared" ca="1" si="115"/>
        <v>69.681929324939958</v>
      </c>
    </row>
    <row r="260" spans="1:34" x14ac:dyDescent="0.25">
      <c r="A260" s="402">
        <f t="shared" ca="1" si="93"/>
        <v>0.01</v>
      </c>
      <c r="B260" s="357">
        <f t="shared" ca="1" si="94"/>
        <v>2.5599999999999894</v>
      </c>
      <c r="C260" s="342"/>
      <c r="D260" s="359">
        <f t="shared" ca="1" si="95"/>
        <v>15.368582434636709</v>
      </c>
      <c r="E260" s="360">
        <f t="shared" ca="1" si="96"/>
        <v>57.92178959194095</v>
      </c>
      <c r="F260" s="357">
        <f t="shared" ca="1" si="97"/>
        <v>59.926013012574955</v>
      </c>
      <c r="G260" s="359">
        <f t="shared" ca="1" si="98"/>
        <v>42.638441338238088</v>
      </c>
      <c r="H260" s="360">
        <f t="shared" ca="1" si="99"/>
        <v>187.81629936198172</v>
      </c>
      <c r="I260" s="357">
        <f t="shared" ca="1" si="100"/>
        <v>192.59542825774423</v>
      </c>
      <c r="J260" s="359">
        <f t="shared" ca="1" si="101"/>
        <v>53.549498892016096</v>
      </c>
      <c r="K260" s="360">
        <f t="shared" ca="1" si="102"/>
        <v>250.90935406602048</v>
      </c>
      <c r="L260" s="357">
        <f t="shared" ref="L260:L323" ca="1" si="116">SQRT(pos_x^2+pos_z^2)</f>
        <v>256.56003739751378</v>
      </c>
      <c r="M260" s="359">
        <f t="shared" ca="1" si="103"/>
        <v>1.347558103422603</v>
      </c>
      <c r="N260" s="357">
        <f t="shared" ca="1" si="104"/>
        <v>77.209391974768849</v>
      </c>
      <c r="O260" s="343"/>
      <c r="P260" s="363">
        <f t="shared" ca="1" si="105"/>
        <v>9</v>
      </c>
      <c r="Q260" s="357">
        <f t="shared" ca="1" si="106"/>
        <v>819.87500000000216</v>
      </c>
      <c r="R260" s="359">
        <f t="shared" ca="1" si="107"/>
        <v>0.41070183738904487</v>
      </c>
      <c r="S260" s="360">
        <f t="shared" ca="1" si="108"/>
        <v>10.36919606356304</v>
      </c>
      <c r="T260" s="357">
        <f t="shared" ref="T260:T323" ca="1" si="117">m*g</f>
        <v>101.72181338355342</v>
      </c>
      <c r="U260" s="364">
        <f t="shared" ref="U260:U323" ca="1" si="118">IF(pos_xz&lt;L_rampe,Poids*COS(Beta),0)</f>
        <v>0</v>
      </c>
      <c r="V260" s="359">
        <f t="shared" ref="V260:V323" ca="1" si="119">Rho_moyen*(20000-Alt_rampe-pos_z)/(20000+Alt_rampe+pos_z)</f>
        <v>1.1946444289629727</v>
      </c>
      <c r="W260" s="357">
        <f t="shared" ref="W260:W323" ca="1" si="120">1/2*Rho*Sref*Cx*vit_xz^2</f>
        <v>100.30214662058869</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250.90935406602048</v>
      </c>
      <c r="AF260" s="344"/>
      <c r="AG260" s="359">
        <f t="shared" ca="1" si="114"/>
        <v>59.886683866073419</v>
      </c>
      <c r="AH260" s="357">
        <f t="shared" ca="1" si="115"/>
        <v>69.453499892929699</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15.325604617958968</v>
      </c>
      <c r="E261" s="360">
        <f t="shared" ref="E261:E324" ca="1" si="125">IF(AND(L260&lt;L_rampe,Poussee&lt;Poids*SIN(M260)),0,(-W260+Poussee)/m*SIN(M260)+U260/m*COS(M260)-Poids/m)</f>
        <v>57.697119268185034</v>
      </c>
      <c r="F261" s="357">
        <f t="shared" ref="F261:F324" ca="1" si="126">SQRT(acc_x^2+acc_z^2)</f>
        <v>59.697836885042776</v>
      </c>
      <c r="G261" s="359">
        <f t="shared" ref="G261:G324" ca="1" si="127">G260+acc_x*pas</f>
        <v>42.791697384417681</v>
      </c>
      <c r="H261" s="360">
        <f t="shared" ref="H261:H324" ca="1" si="128">H260+acc_z*pas</f>
        <v>188.39327055466356</v>
      </c>
      <c r="I261" s="357">
        <f t="shared" ref="I261:I324" ca="1" si="129">SQRT(vit_x^2+vit_z^2)</f>
        <v>193.19201265922524</v>
      </c>
      <c r="J261" s="359">
        <f t="shared" ref="J261:J324" ca="1" si="130">J260+0.5*(vit_x+G260)*pas*(K260&gt;=0)</f>
        <v>53.976649585629374</v>
      </c>
      <c r="K261" s="360">
        <f t="shared" ref="K261:K324" ca="1" si="131">K260+0.5*(vit_z+H260)*pas</f>
        <v>252.79040191560372</v>
      </c>
      <c r="L261" s="357">
        <f t="shared" ca="1" si="116"/>
        <v>258.48881213921482</v>
      </c>
      <c r="M261" s="359">
        <f t="shared" ref="M261:M324" ca="1" si="132">IF(AND(L260&gt;L_rampe,G261&gt;0),ATAN2(G261,H261),$M$4)</f>
        <v>1.3474456855951422</v>
      </c>
      <c r="N261" s="357">
        <f t="shared" ref="N261:N324" ca="1" si="133">DEGREES(Beta)</f>
        <v>77.202950907713316</v>
      </c>
      <c r="O261" s="343"/>
      <c r="P261" s="363">
        <f t="shared" ref="P261:P324" ca="1" si="134">MATCH(t-pas/2-T_ini,CdP_t)</f>
        <v>9</v>
      </c>
      <c r="Q261" s="357">
        <f t="shared" ref="Q261:Q324" ca="1" si="135">(INDEX(CdP,2,i_P+1)-INDEX(CdP,2,i_P+0))/(INDEX(CdP,1,i_P+1)-INDEX(CdP,1,i_P+0))*(t-pas/2-T_ini-INDEX(CdP,1,i_P+0))+INDEX(CdP,2,i_P+0)</f>
        <v>817.82500000000221</v>
      </c>
      <c r="R261" s="359">
        <f t="shared" ref="R261:R324" ca="1" si="136">Poussee/(g*ISP)</f>
        <v>0.40967492625424073</v>
      </c>
      <c r="S261" s="360">
        <f t="shared" ref="S261:S324" ca="1" si="137">S260-Débit*pas</f>
        <v>10.365099314300497</v>
      </c>
      <c r="T261" s="357">
        <f t="shared" ca="1" si="117"/>
        <v>101.68162427328788</v>
      </c>
      <c r="U261" s="364">
        <f t="shared" ca="1" si="118"/>
        <v>0</v>
      </c>
      <c r="V261" s="359">
        <f t="shared" ca="1" si="119"/>
        <v>1.1944196961306304</v>
      </c>
      <c r="W261" s="357">
        <f t="shared" ca="1" si="120"/>
        <v>100.90551612335581</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252.79040191560372</v>
      </c>
      <c r="AF261" s="344"/>
      <c r="AG261" s="359">
        <f t="shared" ref="AG261:AG324" ca="1" si="143">IF(AND(L260&lt;L_rampe,Poussee&lt;Poids*SIN(M260)),0,(-W260+Poussee)/m-Poids*SIN(M260)/m)</f>
        <v>59.65831807231006</v>
      </c>
      <c r="AH261" s="357">
        <f t="shared" ref="AH261:AH324" ca="1" si="144">IF(AND(L260&lt;L_rampe,Poussee&lt;Poids*SIN(M260)), g*SIN(M260), (-W260+Poussee)/m)</f>
        <v>69.224889373656382</v>
      </c>
    </row>
    <row r="262" spans="1:34" x14ac:dyDescent="0.25">
      <c r="A262" s="402">
        <f t="shared" ca="1" si="122"/>
        <v>0.01</v>
      </c>
      <c r="B262" s="357">
        <f t="shared" ca="1" si="123"/>
        <v>2.579999999999989</v>
      </c>
      <c r="C262" s="342"/>
      <c r="D262" s="359">
        <f t="shared" ca="1" si="124"/>
        <v>15.282517207427681</v>
      </c>
      <c r="E262" s="360">
        <f t="shared" ca="1" si="125"/>
        <v>57.472290140321419</v>
      </c>
      <c r="F262" s="357">
        <f t="shared" ca="1" si="126"/>
        <v>59.469483486647249</v>
      </c>
      <c r="G262" s="359">
        <f t="shared" ca="1" si="127"/>
        <v>42.944522556491961</v>
      </c>
      <c r="H262" s="360">
        <f t="shared" ca="1" si="128"/>
        <v>188.96799345606678</v>
      </c>
      <c r="I262" s="357">
        <f t="shared" ca="1" si="129"/>
        <v>193.7863116126037</v>
      </c>
      <c r="J262" s="359">
        <f t="shared" ca="1" si="130"/>
        <v>54.405330685333922</v>
      </c>
      <c r="K262" s="360">
        <f t="shared" ca="1" si="131"/>
        <v>254.67720823565739</v>
      </c>
      <c r="L262" s="357">
        <f t="shared" ca="1" si="116"/>
        <v>260.42354041385914</v>
      </c>
      <c r="M262" s="359">
        <f t="shared" ca="1" si="132"/>
        <v>1.3473335570316785</v>
      </c>
      <c r="N262" s="357">
        <f t="shared" ca="1" si="133"/>
        <v>77.196526414263971</v>
      </c>
      <c r="O262" s="343"/>
      <c r="P262" s="363">
        <f t="shared" ca="1" si="134"/>
        <v>9</v>
      </c>
      <c r="Q262" s="357">
        <f t="shared" ca="1" si="135"/>
        <v>815.77500000000225</v>
      </c>
      <c r="R262" s="359">
        <f t="shared" ca="1" si="136"/>
        <v>0.4086480151194366</v>
      </c>
      <c r="S262" s="360">
        <f t="shared" ca="1" si="137"/>
        <v>10.361012834149303</v>
      </c>
      <c r="T262" s="357">
        <f t="shared" ca="1" si="117"/>
        <v>101.64153590300467</v>
      </c>
      <c r="U262" s="364">
        <f t="shared" ca="1" si="118"/>
        <v>0</v>
      </c>
      <c r="V262" s="359">
        <f t="shared" ca="1" si="119"/>
        <v>1.1941943172550953</v>
      </c>
      <c r="W262" s="357">
        <f t="shared" ca="1" si="120"/>
        <v>101.50812634672404</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254.67720823565739</v>
      </c>
      <c r="AF262" s="344"/>
      <c r="AG262" s="359">
        <f t="shared" ca="1" si="143"/>
        <v>59.429773515876484</v>
      </c>
      <c r="AH262" s="357">
        <f t="shared" ca="1" si="144"/>
        <v>68.996100605191572</v>
      </c>
    </row>
    <row r="263" spans="1:34" x14ac:dyDescent="0.25">
      <c r="A263" s="402">
        <f t="shared" ca="1" si="122"/>
        <v>0.01</v>
      </c>
      <c r="B263" s="357">
        <f t="shared" ca="1" si="123"/>
        <v>2.5899999999999888</v>
      </c>
      <c r="C263" s="342"/>
      <c r="D263" s="359">
        <f t="shared" ca="1" si="124"/>
        <v>15.239321170589017</v>
      </c>
      <c r="E263" s="360">
        <f t="shared" ca="1" si="125"/>
        <v>57.247304908922118</v>
      </c>
      <c r="F263" s="357">
        <f t="shared" ca="1" si="126"/>
        <v>59.240955673211936</v>
      </c>
      <c r="G263" s="359">
        <f t="shared" ca="1" si="127"/>
        <v>43.096915768197853</v>
      </c>
      <c r="H263" s="360">
        <f t="shared" ca="1" si="128"/>
        <v>189.54046650515599</v>
      </c>
      <c r="I263" s="357">
        <f t="shared" ca="1" si="129"/>
        <v>194.37832335865875</v>
      </c>
      <c r="J263" s="359">
        <f t="shared" ca="1" si="130"/>
        <v>54.835537876957375</v>
      </c>
      <c r="K263" s="360">
        <f t="shared" ca="1" si="131"/>
        <v>256.56975053546353</v>
      </c>
      <c r="L263" s="357">
        <f t="shared" ca="1" si="116"/>
        <v>262.36419935670574</v>
      </c>
      <c r="M263" s="359">
        <f t="shared" ca="1" si="132"/>
        <v>1.347221714791182</v>
      </c>
      <c r="N263" s="357">
        <f t="shared" ca="1" si="133"/>
        <v>77.190118325912238</v>
      </c>
      <c r="O263" s="343"/>
      <c r="P263" s="363">
        <f t="shared" ca="1" si="134"/>
        <v>9</v>
      </c>
      <c r="Q263" s="357">
        <f t="shared" ca="1" si="135"/>
        <v>813.7250000000023</v>
      </c>
      <c r="R263" s="359">
        <f t="shared" ca="1" si="136"/>
        <v>0.40762110398463253</v>
      </c>
      <c r="S263" s="360">
        <f t="shared" ca="1" si="137"/>
        <v>10.356936623109457</v>
      </c>
      <c r="T263" s="357">
        <f t="shared" ca="1" si="117"/>
        <v>101.60154827270378</v>
      </c>
      <c r="U263" s="364">
        <f t="shared" ca="1" si="118"/>
        <v>0</v>
      </c>
      <c r="V263" s="359">
        <f t="shared" ca="1" si="119"/>
        <v>1.1939682953948676</v>
      </c>
      <c r="W263" s="357">
        <f t="shared" ca="1" si="120"/>
        <v>102.10995293709129</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256.56975053546353</v>
      </c>
      <c r="AF263" s="344"/>
      <c r="AG263" s="359">
        <f t="shared" ca="1" si="143"/>
        <v>59.201053034627705</v>
      </c>
      <c r="AH263" s="357">
        <f t="shared" ca="1" si="144"/>
        <v>68.767136419866389</v>
      </c>
    </row>
    <row r="264" spans="1:34" x14ac:dyDescent="0.25">
      <c r="A264" s="402">
        <f t="shared" ca="1" si="122"/>
        <v>0.01</v>
      </c>
      <c r="B264" s="357">
        <f t="shared" ca="1" si="123"/>
        <v>2.5999999999999885</v>
      </c>
      <c r="C264" s="342"/>
      <c r="D264" s="359">
        <f t="shared" ca="1" si="124"/>
        <v>15.196017470195748</v>
      </c>
      <c r="E264" s="360">
        <f t="shared" ca="1" si="125"/>
        <v>57.02216626946678</v>
      </c>
      <c r="F264" s="357">
        <f t="shared" ca="1" si="126"/>
        <v>59.01225629491902</v>
      </c>
      <c r="G264" s="359">
        <f t="shared" ca="1" si="127"/>
        <v>43.248875942899808</v>
      </c>
      <c r="H264" s="360">
        <f t="shared" ca="1" si="128"/>
        <v>190.11068816785067</v>
      </c>
      <c r="I264" s="357">
        <f t="shared" ca="1" si="129"/>
        <v>194.96804616648876</v>
      </c>
      <c r="J264" s="359">
        <f t="shared" ca="1" si="130"/>
        <v>55.267266835512864</v>
      </c>
      <c r="K264" s="360">
        <f t="shared" ca="1" si="131"/>
        <v>258.46800630882854</v>
      </c>
      <c r="L264" s="357">
        <f t="shared" ca="1" si="116"/>
        <v>264.31076608554639</v>
      </c>
      <c r="M264" s="359">
        <f t="shared" ca="1" si="132"/>
        <v>1.3471101559670473</v>
      </c>
      <c r="N264" s="357">
        <f t="shared" ca="1" si="133"/>
        <v>77.183726476121876</v>
      </c>
      <c r="O264" s="343"/>
      <c r="P264" s="363">
        <f t="shared" ca="1" si="134"/>
        <v>9</v>
      </c>
      <c r="Q264" s="357">
        <f t="shared" ca="1" si="135"/>
        <v>811.67500000000234</v>
      </c>
      <c r="R264" s="359">
        <f t="shared" ca="1" si="136"/>
        <v>0.4065941928498284</v>
      </c>
      <c r="S264" s="360">
        <f t="shared" ca="1" si="137"/>
        <v>10.352870681180958</v>
      </c>
      <c r="T264" s="357">
        <f t="shared" ca="1" si="117"/>
        <v>101.56166138238521</v>
      </c>
      <c r="U264" s="364">
        <f t="shared" ca="1" si="118"/>
        <v>0</v>
      </c>
      <c r="V264" s="359">
        <f t="shared" ca="1" si="119"/>
        <v>1.1937416336092432</v>
      </c>
      <c r="W264" s="357">
        <f t="shared" ca="1" si="120"/>
        <v>102.71097165902908</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258.46800630882854</v>
      </c>
      <c r="AF264" s="344"/>
      <c r="AG264" s="359">
        <f t="shared" ca="1" si="143"/>
        <v>58.972159460515115</v>
      </c>
      <c r="AH264" s="357">
        <f t="shared" ca="1" si="144"/>
        <v>68.537999644169275</v>
      </c>
    </row>
    <row r="265" spans="1:34" x14ac:dyDescent="0.25">
      <c r="A265" s="402">
        <f t="shared" ca="1" si="122"/>
        <v>0.01</v>
      </c>
      <c r="B265" s="357">
        <f t="shared" ca="1" si="123"/>
        <v>2.6099999999999883</v>
      </c>
      <c r="C265" s="342"/>
      <c r="D265" s="359">
        <f t="shared" ca="1" si="124"/>
        <v>15.152607064247695</v>
      </c>
      <c r="E265" s="360">
        <f t="shared" ca="1" si="125"/>
        <v>56.79687691223306</v>
      </c>
      <c r="F265" s="357">
        <f t="shared" ca="1" si="126"/>
        <v>58.783388196214432</v>
      </c>
      <c r="G265" s="359">
        <f t="shared" ca="1" si="127"/>
        <v>43.400402013542283</v>
      </c>
      <c r="H265" s="360">
        <f t="shared" ca="1" si="128"/>
        <v>190.678656936973</v>
      </c>
      <c r="I265" s="357">
        <f t="shared" ca="1" si="129"/>
        <v>195.55547833345128</v>
      </c>
      <c r="J265" s="359">
        <f t="shared" ca="1" si="130"/>
        <v>55.700513225295076</v>
      </c>
      <c r="K265" s="360">
        <f t="shared" ca="1" si="131"/>
        <v>260.37195303435266</v>
      </c>
      <c r="L265" s="357">
        <f t="shared" ca="1" si="116"/>
        <v>266.26321770098929</v>
      </c>
      <c r="M265" s="359">
        <f t="shared" ca="1" si="132"/>
        <v>1.346998877686516</v>
      </c>
      <c r="N265" s="357">
        <f t="shared" ca="1" si="133"/>
        <v>77.177350700295975</v>
      </c>
      <c r="O265" s="343"/>
      <c r="P265" s="363">
        <f t="shared" ca="1" si="134"/>
        <v>9</v>
      </c>
      <c r="Q265" s="357">
        <f t="shared" ca="1" si="135"/>
        <v>809.62500000000239</v>
      </c>
      <c r="R265" s="359">
        <f t="shared" ca="1" si="136"/>
        <v>0.40556728171502426</v>
      </c>
      <c r="S265" s="360">
        <f t="shared" ca="1" si="137"/>
        <v>10.348815008363808</v>
      </c>
      <c r="T265" s="357">
        <f t="shared" ca="1" si="117"/>
        <v>101.52187523204896</v>
      </c>
      <c r="U265" s="364">
        <f t="shared" ca="1" si="118"/>
        <v>0</v>
      </c>
      <c r="V265" s="359">
        <f t="shared" ca="1" si="119"/>
        <v>1.1935143349582671</v>
      </c>
      <c r="W265" s="357">
        <f t="shared" ca="1" si="120"/>
        <v>103.31115839591183</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260.37195303435266</v>
      </c>
      <c r="AF265" s="344"/>
      <c r="AG265" s="359">
        <f t="shared" ca="1" si="143"/>
        <v>58.743095619486425</v>
      </c>
      <c r="AH265" s="357">
        <f t="shared" ca="1" si="144"/>
        <v>68.308693098644881</v>
      </c>
    </row>
    <row r="266" spans="1:34" x14ac:dyDescent="0.25">
      <c r="A266" s="402">
        <f t="shared" ca="1" si="122"/>
        <v>0.01</v>
      </c>
      <c r="B266" s="357">
        <f t="shared" ca="1" si="123"/>
        <v>2.6199999999999881</v>
      </c>
      <c r="C266" s="342"/>
      <c r="D266" s="359">
        <f t="shared" ca="1" si="124"/>
        <v>15.109090906030836</v>
      </c>
      <c r="E266" s="360">
        <f t="shared" ca="1" si="125"/>
        <v>56.571439522187774</v>
      </c>
      <c r="F266" s="357">
        <f t="shared" ca="1" si="126"/>
        <v>58.554354215713559</v>
      </c>
      <c r="G266" s="359">
        <f t="shared" ca="1" si="127"/>
        <v>43.551492922602591</v>
      </c>
      <c r="H266" s="360">
        <f t="shared" ca="1" si="128"/>
        <v>191.24437133219487</v>
      </c>
      <c r="I266" s="357">
        <f t="shared" ca="1" si="129"/>
        <v>196.14061818510194</v>
      </c>
      <c r="J266" s="359">
        <f t="shared" ca="1" si="130"/>
        <v>56.1352726999758</v>
      </c>
      <c r="K266" s="360">
        <f t="shared" ca="1" si="131"/>
        <v>262.28156817569851</v>
      </c>
      <c r="L266" s="357">
        <f t="shared" ca="1" si="116"/>
        <v>268.22153128674108</v>
      </c>
      <c r="M266" s="359">
        <f t="shared" ca="1" si="132"/>
        <v>1.3468878771101116</v>
      </c>
      <c r="N266" s="357">
        <f t="shared" ca="1" si="133"/>
        <v>77.170990835744476</v>
      </c>
      <c r="O266" s="343"/>
      <c r="P266" s="363">
        <f t="shared" ca="1" si="134"/>
        <v>9</v>
      </c>
      <c r="Q266" s="357">
        <f t="shared" ca="1" si="135"/>
        <v>807.57500000000243</v>
      </c>
      <c r="R266" s="359">
        <f t="shared" ca="1" si="136"/>
        <v>0.40454037058022019</v>
      </c>
      <c r="S266" s="360">
        <f t="shared" ca="1" si="137"/>
        <v>10.344769604658005</v>
      </c>
      <c r="T266" s="357">
        <f t="shared" ca="1" si="117"/>
        <v>101.48218982169503</v>
      </c>
      <c r="U266" s="364">
        <f t="shared" ca="1" si="118"/>
        <v>0</v>
      </c>
      <c r="V266" s="359">
        <f t="shared" ca="1" si="119"/>
        <v>1.1932864025026815</v>
      </c>
      <c r="W266" s="357">
        <f t="shared" ca="1" si="120"/>
        <v>103.91048915053528</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262.28156817569851</v>
      </c>
      <c r="AF266" s="344"/>
      <c r="AG266" s="359">
        <f t="shared" ca="1" si="143"/>
        <v>58.513864331385953</v>
      </c>
      <c r="AH266" s="357">
        <f t="shared" ca="1" si="144"/>
        <v>68.079219597793397</v>
      </c>
    </row>
    <row r="267" spans="1:34" x14ac:dyDescent="0.25">
      <c r="A267" s="402">
        <f t="shared" ca="1" si="122"/>
        <v>0.01</v>
      </c>
      <c r="B267" s="357">
        <f t="shared" ca="1" si="123"/>
        <v>2.6299999999999879</v>
      </c>
      <c r="C267" s="342"/>
      <c r="D267" s="359">
        <f t="shared" ca="1" si="124"/>
        <v>15.065469944155369</v>
      </c>
      <c r="E267" s="360">
        <f t="shared" ca="1" si="125"/>
        <v>56.345856778879281</v>
      </c>
      <c r="F267" s="357">
        <f t="shared" ca="1" si="126"/>
        <v>58.325157186108164</v>
      </c>
      <c r="G267" s="359">
        <f t="shared" ca="1" si="127"/>
        <v>43.702147622044144</v>
      </c>
      <c r="H267" s="360">
        <f t="shared" ca="1" si="128"/>
        <v>191.80782989998366</v>
      </c>
      <c r="I267" s="357">
        <f t="shared" ca="1" si="129"/>
        <v>196.72346407513265</v>
      </c>
      <c r="J267" s="359">
        <f t="shared" ca="1" si="130"/>
        <v>56.571540902699034</v>
      </c>
      <c r="K267" s="360">
        <f t="shared" ca="1" si="131"/>
        <v>264.19682918185941</v>
      </c>
      <c r="L267" s="357">
        <f t="shared" ca="1" si="116"/>
        <v>270.18568390988884</v>
      </c>
      <c r="M267" s="359">
        <f t="shared" ca="1" si="132"/>
        <v>1.3467771514310858</v>
      </c>
      <c r="N267" s="357">
        <f t="shared" ca="1" si="133"/>
        <v>77.164646721652574</v>
      </c>
      <c r="O267" s="343"/>
      <c r="P267" s="363">
        <f t="shared" ca="1" si="134"/>
        <v>9</v>
      </c>
      <c r="Q267" s="357">
        <f t="shared" ca="1" si="135"/>
        <v>805.52500000000248</v>
      </c>
      <c r="R267" s="359">
        <f t="shared" ca="1" si="136"/>
        <v>0.40351345944541606</v>
      </c>
      <c r="S267" s="360">
        <f t="shared" ca="1" si="137"/>
        <v>10.34073447006355</v>
      </c>
      <c r="T267" s="357">
        <f t="shared" ca="1" si="117"/>
        <v>101.44260515132343</v>
      </c>
      <c r="U267" s="364">
        <f t="shared" ca="1" si="118"/>
        <v>0</v>
      </c>
      <c r="V267" s="359">
        <f t="shared" ca="1" si="119"/>
        <v>1.1930578393038791</v>
      </c>
      <c r="W267" s="357">
        <f t="shared" ca="1" si="120"/>
        <v>104.50894004572559</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264.19682918185941</v>
      </c>
      <c r="AF267" s="344"/>
      <c r="AG267" s="359">
        <f t="shared" ca="1" si="143"/>
        <v>58.284468409856103</v>
      </c>
      <c r="AH267" s="357">
        <f t="shared" ca="1" si="144"/>
        <v>67.849581949971039</v>
      </c>
    </row>
    <row r="268" spans="1:34" x14ac:dyDescent="0.25">
      <c r="A268" s="402">
        <f t="shared" ca="1" si="122"/>
        <v>0.01</v>
      </c>
      <c r="B268" s="357">
        <f t="shared" ca="1" si="123"/>
        <v>2.6399999999999877</v>
      </c>
      <c r="C268" s="342"/>
      <c r="D268" s="359">
        <f t="shared" ca="1" si="124"/>
        <v>15.021745122592508</v>
      </c>
      <c r="E268" s="360">
        <f t="shared" ca="1" si="125"/>
        <v>56.12013135633083</v>
      </c>
      <c r="F268" s="357">
        <f t="shared" ca="1" si="126"/>
        <v>58.095799934074051</v>
      </c>
      <c r="G268" s="359">
        <f t="shared" ca="1" si="127"/>
        <v>43.852365073270072</v>
      </c>
      <c r="H268" s="360">
        <f t="shared" ca="1" si="128"/>
        <v>192.36903121354698</v>
      </c>
      <c r="I268" s="357">
        <f t="shared" ca="1" si="129"/>
        <v>197.30401438530836</v>
      </c>
      <c r="J268" s="359">
        <f t="shared" ca="1" si="130"/>
        <v>57.009313466175605</v>
      </c>
      <c r="K268" s="360">
        <f t="shared" ca="1" si="131"/>
        <v>266.11771348742707</v>
      </c>
      <c r="L268" s="357">
        <f t="shared" ca="1" si="116"/>
        <v>272.1556526211811</v>
      </c>
      <c r="M268" s="359">
        <f t="shared" ca="1" si="132"/>
        <v>1.3466666978748769</v>
      </c>
      <c r="N268" s="357">
        <f t="shared" ca="1" si="133"/>
        <v>77.158318199049589</v>
      </c>
      <c r="O268" s="343"/>
      <c r="P268" s="363">
        <f t="shared" ca="1" si="134"/>
        <v>9</v>
      </c>
      <c r="Q268" s="357">
        <f t="shared" ca="1" si="135"/>
        <v>803.47500000000252</v>
      </c>
      <c r="R268" s="359">
        <f t="shared" ca="1" si="136"/>
        <v>0.40248654831061198</v>
      </c>
      <c r="S268" s="360">
        <f t="shared" ca="1" si="137"/>
        <v>10.336709604580443</v>
      </c>
      <c r="T268" s="357">
        <f t="shared" ca="1" si="117"/>
        <v>101.40312122093415</v>
      </c>
      <c r="U268" s="364">
        <f t="shared" ca="1" si="118"/>
        <v>0</v>
      </c>
      <c r="V268" s="359">
        <f t="shared" ca="1" si="119"/>
        <v>1.1928286484238524</v>
      </c>
      <c r="W268" s="357">
        <f t="shared" ca="1" si="120"/>
        <v>105.10648732493765</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266.11771348742707</v>
      </c>
      <c r="AF268" s="344"/>
      <c r="AG268" s="359">
        <f t="shared" ca="1" si="143"/>
        <v>58.054910662239479</v>
      </c>
      <c r="AH268" s="357">
        <f t="shared" ca="1" si="144"/>
        <v>67.619782957291207</v>
      </c>
    </row>
    <row r="269" spans="1:34" x14ac:dyDescent="0.25">
      <c r="A269" s="402">
        <f t="shared" ca="1" si="122"/>
        <v>0.01</v>
      </c>
      <c r="B269" s="357">
        <f t="shared" ca="1" si="123"/>
        <v>2.6499999999999875</v>
      </c>
      <c r="C269" s="342"/>
      <c r="D269" s="359">
        <f t="shared" ca="1" si="124"/>
        <v>14.977917380710165</v>
      </c>
      <c r="E269" s="360">
        <f t="shared" ca="1" si="125"/>
        <v>55.894265922934977</v>
      </c>
      <c r="F269" s="357">
        <f t="shared" ca="1" si="126"/>
        <v>57.866285280179767</v>
      </c>
      <c r="G269" s="359">
        <f t="shared" ca="1" si="127"/>
        <v>44.002144247077176</v>
      </c>
      <c r="H269" s="360">
        <f t="shared" ca="1" si="128"/>
        <v>192.92797387277633</v>
      </c>
      <c r="I269" s="357">
        <f t="shared" ca="1" si="129"/>
        <v>197.88226752540322</v>
      </c>
      <c r="J269" s="359">
        <f t="shared" ca="1" si="130"/>
        <v>57.448586012777341</v>
      </c>
      <c r="K269" s="360">
        <f t="shared" ca="1" si="131"/>
        <v>268.04419851285866</v>
      </c>
      <c r="L269" s="357">
        <f t="shared" ca="1" si="116"/>
        <v>274.13141445530874</v>
      </c>
      <c r="M269" s="359">
        <f t="shared" ca="1" si="132"/>
        <v>1.3465565136985771</v>
      </c>
      <c r="N269" s="357">
        <f t="shared" ca="1" si="133"/>
        <v>77.152005110778489</v>
      </c>
      <c r="O269" s="343"/>
      <c r="P269" s="363">
        <f t="shared" ca="1" si="134"/>
        <v>9</v>
      </c>
      <c r="Q269" s="357">
        <f t="shared" ca="1" si="135"/>
        <v>801.42500000000257</v>
      </c>
      <c r="R269" s="359">
        <f t="shared" ca="1" si="136"/>
        <v>0.40145963717580785</v>
      </c>
      <c r="S269" s="360">
        <f t="shared" ca="1" si="137"/>
        <v>10.332695008208685</v>
      </c>
      <c r="T269" s="357">
        <f t="shared" ca="1" si="117"/>
        <v>101.3637380305272</v>
      </c>
      <c r="U269" s="364">
        <f t="shared" ca="1" si="118"/>
        <v>0</v>
      </c>
      <c r="V269" s="359">
        <f t="shared" ca="1" si="119"/>
        <v>1.1925988329251478</v>
      </c>
      <c r="W269" s="357">
        <f t="shared" ca="1" si="120"/>
        <v>105.70310735284401</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268.04419851285866</v>
      </c>
      <c r="AF269" s="344"/>
      <c r="AG269" s="359">
        <f t="shared" ca="1" si="143"/>
        <v>57.825193889481753</v>
      </c>
      <c r="AH269" s="357">
        <f t="shared" ca="1" si="144"/>
        <v>67.389825415526445</v>
      </c>
    </row>
    <row r="270" spans="1:34" x14ac:dyDescent="0.25">
      <c r="A270" s="402">
        <f t="shared" ca="1" si="122"/>
        <v>0.01</v>
      </c>
      <c r="B270" s="357">
        <f t="shared" ca="1" si="123"/>
        <v>2.6599999999999873</v>
      </c>
      <c r="C270" s="342"/>
      <c r="D270" s="359">
        <f t="shared" ca="1" si="124"/>
        <v>14.933987653307719</v>
      </c>
      <c r="E270" s="360">
        <f t="shared" ca="1" si="125"/>
        <v>55.668263141349016</v>
      </c>
      <c r="F270" s="357">
        <f t="shared" ca="1" si="126"/>
        <v>57.636616038796248</v>
      </c>
      <c r="G270" s="359">
        <f t="shared" ca="1" si="127"/>
        <v>44.151484123610253</v>
      </c>
      <c r="H270" s="360">
        <f t="shared" ca="1" si="128"/>
        <v>193.48465650418981</v>
      </c>
      <c r="I270" s="357">
        <f t="shared" ca="1" si="129"/>
        <v>198.45822193313566</v>
      </c>
      <c r="J270" s="359">
        <f t="shared" ca="1" si="130"/>
        <v>57.88935415463078</v>
      </c>
      <c r="K270" s="360">
        <f t="shared" ca="1" si="131"/>
        <v>269.9762616647435</v>
      </c>
      <c r="L270" s="357">
        <f t="shared" ca="1" si="116"/>
        <v>276.11294643118481</v>
      </c>
      <c r="M270" s="359">
        <f t="shared" ca="1" si="132"/>
        <v>1.3464465961904133</v>
      </c>
      <c r="N270" s="357">
        <f t="shared" ca="1" si="133"/>
        <v>77.145707301466103</v>
      </c>
      <c r="O270" s="343"/>
      <c r="P270" s="363">
        <f t="shared" ca="1" si="134"/>
        <v>9</v>
      </c>
      <c r="Q270" s="357">
        <f t="shared" ca="1" si="135"/>
        <v>799.37500000000261</v>
      </c>
      <c r="R270" s="359">
        <f t="shared" ca="1" si="136"/>
        <v>0.40043272604100372</v>
      </c>
      <c r="S270" s="360">
        <f t="shared" ca="1" si="137"/>
        <v>10.328690680948274</v>
      </c>
      <c r="T270" s="357">
        <f t="shared" ca="1" si="117"/>
        <v>101.32445558010257</v>
      </c>
      <c r="U270" s="364">
        <f t="shared" ca="1" si="118"/>
        <v>0</v>
      </c>
      <c r="V270" s="359">
        <f t="shared" ca="1" si="119"/>
        <v>1.1923683958708151</v>
      </c>
      <c r="W270" s="357">
        <f t="shared" ca="1" si="120"/>
        <v>106.29877661591335</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269.9762616647435</v>
      </c>
      <c r="AF270" s="344"/>
      <c r="AG270" s="359">
        <f t="shared" ca="1" si="143"/>
        <v>57.59532088603558</v>
      </c>
      <c r="AH270" s="357">
        <f t="shared" ca="1" si="144"/>
        <v>67.159712114011427</v>
      </c>
    </row>
    <row r="271" spans="1:34" x14ac:dyDescent="0.25">
      <c r="A271" s="402">
        <f t="shared" ca="1" si="122"/>
        <v>0.01</v>
      </c>
      <c r="B271" s="357">
        <f t="shared" ca="1" si="123"/>
        <v>2.6699999999999871</v>
      </c>
      <c r="C271" s="342"/>
      <c r="D271" s="359">
        <f t="shared" ca="1" si="124"/>
        <v>14.889956870649421</v>
      </c>
      <c r="E271" s="360">
        <f t="shared" ca="1" si="125"/>
        <v>55.442125668391427</v>
      </c>
      <c r="F271" s="357">
        <f t="shared" ca="1" si="126"/>
        <v>57.406795018007294</v>
      </c>
      <c r="G271" s="359">
        <f t="shared" ca="1" si="127"/>
        <v>44.30038369231675</v>
      </c>
      <c r="H271" s="360">
        <f t="shared" ca="1" si="128"/>
        <v>194.03907776087374</v>
      </c>
      <c r="I271" s="357">
        <f t="shared" ca="1" si="129"/>
        <v>199.03187607410248</v>
      </c>
      <c r="J271" s="359">
        <f t="shared" ca="1" si="130"/>
        <v>58.331613493710414</v>
      </c>
      <c r="K271" s="360">
        <f t="shared" ca="1" si="131"/>
        <v>271.91388033606881</v>
      </c>
      <c r="L271" s="357">
        <f t="shared" ca="1" si="116"/>
        <v>278.10022555222349</v>
      </c>
      <c r="M271" s="359">
        <f t="shared" ca="1" si="132"/>
        <v>1.346336942669236</v>
      </c>
      <c r="N271" s="357">
        <f t="shared" ca="1" si="133"/>
        <v>77.139424617493901</v>
      </c>
      <c r="O271" s="343"/>
      <c r="P271" s="363">
        <f t="shared" ca="1" si="134"/>
        <v>9</v>
      </c>
      <c r="Q271" s="357">
        <f t="shared" ca="1" si="135"/>
        <v>797.32500000000266</v>
      </c>
      <c r="R271" s="359">
        <f t="shared" ca="1" si="136"/>
        <v>0.39940581490619964</v>
      </c>
      <c r="S271" s="360">
        <f t="shared" ca="1" si="137"/>
        <v>10.324696622799213</v>
      </c>
      <c r="T271" s="357">
        <f t="shared" ca="1" si="117"/>
        <v>101.28527386966029</v>
      </c>
      <c r="U271" s="364">
        <f t="shared" ca="1" si="118"/>
        <v>0</v>
      </c>
      <c r="V271" s="359">
        <f t="shared" ca="1" si="119"/>
        <v>1.1921373403243598</v>
      </c>
      <c r="W271" s="357">
        <f t="shared" ca="1" si="120"/>
        <v>106.89347172297897</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271.91388033606881</v>
      </c>
      <c r="AF271" s="344"/>
      <c r="AG271" s="359">
        <f t="shared" ca="1" si="143"/>
        <v>57.365294439765023</v>
      </c>
      <c r="AH271" s="357">
        <f t="shared" ca="1" si="144"/>
        <v>66.92944583554646</v>
      </c>
    </row>
    <row r="272" spans="1:34" x14ac:dyDescent="0.25">
      <c r="A272" s="402">
        <f t="shared" ca="1" si="122"/>
        <v>0.01</v>
      </c>
      <c r="B272" s="357">
        <f t="shared" ca="1" si="123"/>
        <v>2.6799999999999868</v>
      </c>
      <c r="C272" s="342"/>
      <c r="D272" s="359">
        <f t="shared" ca="1" si="124"/>
        <v>14.845825958497105</v>
      </c>
      <c r="E272" s="360">
        <f t="shared" ca="1" si="125"/>
        <v>55.215856154939516</v>
      </c>
      <c r="F272" s="357">
        <f t="shared" ca="1" si="126"/>
        <v>57.176825019521317</v>
      </c>
      <c r="G272" s="359">
        <f t="shared" ca="1" si="127"/>
        <v>44.44884195190172</v>
      </c>
      <c r="H272" s="360">
        <f t="shared" ca="1" si="128"/>
        <v>194.59123632242313</v>
      </c>
      <c r="I272" s="357">
        <f t="shared" ca="1" si="129"/>
        <v>199.60322844171199</v>
      </c>
      <c r="J272" s="359">
        <f t="shared" ca="1" si="130"/>
        <v>58.775359621931507</v>
      </c>
      <c r="K272" s="360">
        <f t="shared" ca="1" si="131"/>
        <v>273.8570319064853</v>
      </c>
      <c r="L272" s="357">
        <f t="shared" ca="1" si="116"/>
        <v>280.09322880661909</v>
      </c>
      <c r="M272" s="359">
        <f t="shared" ca="1" si="132"/>
        <v>1.34622755048402</v>
      </c>
      <c r="N272" s="357">
        <f t="shared" ca="1" si="133"/>
        <v>77.133156906969305</v>
      </c>
      <c r="O272" s="343"/>
      <c r="P272" s="363">
        <f t="shared" ca="1" si="134"/>
        <v>9</v>
      </c>
      <c r="Q272" s="357">
        <f t="shared" ca="1" si="135"/>
        <v>795.27500000000271</v>
      </c>
      <c r="R272" s="359">
        <f t="shared" ca="1" si="136"/>
        <v>0.39837890377139551</v>
      </c>
      <c r="S272" s="360">
        <f t="shared" ca="1" si="137"/>
        <v>10.320712833761499</v>
      </c>
      <c r="T272" s="357">
        <f t="shared" ca="1" si="117"/>
        <v>101.24619289920031</v>
      </c>
      <c r="U272" s="364">
        <f t="shared" ca="1" si="118"/>
        <v>0</v>
      </c>
      <c r="V272" s="359">
        <f t="shared" ca="1" si="119"/>
        <v>1.1919056693496968</v>
      </c>
      <c r="W272" s="357">
        <f t="shared" ca="1" si="120"/>
        <v>107.48716940579735</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273.8570319064853</v>
      </c>
      <c r="AF272" s="344"/>
      <c r="AG272" s="359">
        <f t="shared" ca="1" si="143"/>
        <v>57.135117331851156</v>
      </c>
      <c r="AH272" s="357">
        <f t="shared" ca="1" si="144"/>
        <v>66.699029356302262</v>
      </c>
    </row>
    <row r="273" spans="1:34" x14ac:dyDescent="0.25">
      <c r="A273" s="402">
        <f t="shared" ca="1" si="122"/>
        <v>0.01</v>
      </c>
      <c r="B273" s="357">
        <f t="shared" ca="1" si="123"/>
        <v>2.6899999999999866</v>
      </c>
      <c r="C273" s="342"/>
      <c r="D273" s="359">
        <f t="shared" ca="1" si="124"/>
        <v>14.801595838141655</v>
      </c>
      <c r="E273" s="360">
        <f t="shared" ca="1" si="125"/>
        <v>54.989457245827879</v>
      </c>
      <c r="F273" s="357">
        <f t="shared" ca="1" si="126"/>
        <v>56.946708838583675</v>
      </c>
      <c r="G273" s="359">
        <f t="shared" ca="1" si="127"/>
        <v>44.596857910283134</v>
      </c>
      <c r="H273" s="360">
        <f t="shared" ca="1" si="128"/>
        <v>195.1411308948814</v>
      </c>
      <c r="I273" s="357">
        <f t="shared" ca="1" si="129"/>
        <v>200.17227755711633</v>
      </c>
      <c r="J273" s="359">
        <f t="shared" ca="1" si="130"/>
        <v>59.220588121242429</v>
      </c>
      <c r="K273" s="360">
        <f t="shared" ca="1" si="131"/>
        <v>275.8056937425718</v>
      </c>
      <c r="L273" s="357">
        <f t="shared" ca="1" si="116"/>
        <v>282.09193316762384</v>
      </c>
      <c r="M273" s="359">
        <f t="shared" ca="1" si="132"/>
        <v>1.3461184170133742</v>
      </c>
      <c r="N273" s="357">
        <f t="shared" ca="1" si="133"/>
        <v>77.12690401969769</v>
      </c>
      <c r="O273" s="343"/>
      <c r="P273" s="363">
        <f t="shared" ca="1" si="134"/>
        <v>9</v>
      </c>
      <c r="Q273" s="357">
        <f t="shared" ca="1" si="135"/>
        <v>793.22500000000275</v>
      </c>
      <c r="R273" s="359">
        <f t="shared" ca="1" si="136"/>
        <v>0.39735199263659138</v>
      </c>
      <c r="S273" s="360">
        <f t="shared" ca="1" si="137"/>
        <v>10.316739313835134</v>
      </c>
      <c r="T273" s="357">
        <f t="shared" ca="1" si="117"/>
        <v>101.20721266872268</v>
      </c>
      <c r="U273" s="364">
        <f t="shared" ca="1" si="118"/>
        <v>0</v>
      </c>
      <c r="V273" s="359">
        <f t="shared" ca="1" si="119"/>
        <v>1.1916733860111</v>
      </c>
      <c r="W273" s="357">
        <f t="shared" ca="1" si="120"/>
        <v>108.0798465195965</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275.8056937425718</v>
      </c>
      <c r="AF273" s="344"/>
      <c r="AG273" s="359">
        <f t="shared" ca="1" si="143"/>
        <v>56.904792336698229</v>
      </c>
      <c r="AH273" s="357">
        <f t="shared" ca="1" si="144"/>
        <v>66.468465445725215</v>
      </c>
    </row>
    <row r="274" spans="1:34" x14ac:dyDescent="0.25">
      <c r="A274" s="402">
        <f t="shared" ca="1" si="122"/>
        <v>0.01</v>
      </c>
      <c r="B274" s="357">
        <f t="shared" ca="1" si="123"/>
        <v>2.6999999999999864</v>
      </c>
      <c r="C274" s="342"/>
      <c r="D274" s="359">
        <f t="shared" ca="1" si="124"/>
        <v>14.757267426433652</v>
      </c>
      <c r="E274" s="360">
        <f t="shared" ca="1" si="125"/>
        <v>54.762931579748042</v>
      </c>
      <c r="F274" s="357">
        <f t="shared" ca="1" si="126"/>
        <v>56.716449263890325</v>
      </c>
      <c r="G274" s="359">
        <f t="shared" ca="1" si="127"/>
        <v>44.744430584547473</v>
      </c>
      <c r="H274" s="360">
        <f t="shared" ca="1" si="128"/>
        <v>195.68876021067888</v>
      </c>
      <c r="I274" s="357">
        <f t="shared" ca="1" si="129"/>
        <v>200.73902196914273</v>
      </c>
      <c r="J274" s="359">
        <f t="shared" ca="1" si="130"/>
        <v>59.667294563716581</v>
      </c>
      <c r="K274" s="360">
        <f t="shared" ca="1" si="131"/>
        <v>277.75984319809959</v>
      </c>
      <c r="L274" s="357">
        <f t="shared" ca="1" si="116"/>
        <v>284.09631559382495</v>
      </c>
      <c r="M274" s="359">
        <f t="shared" ca="1" si="132"/>
        <v>1.3460095396650611</v>
      </c>
      <c r="N274" s="357">
        <f t="shared" ca="1" si="133"/>
        <v>77.120665807154779</v>
      </c>
      <c r="O274" s="343"/>
      <c r="P274" s="363">
        <f t="shared" ca="1" si="134"/>
        <v>9</v>
      </c>
      <c r="Q274" s="357">
        <f t="shared" ca="1" si="135"/>
        <v>791.1750000000028</v>
      </c>
      <c r="R274" s="359">
        <f t="shared" ca="1" si="136"/>
        <v>0.3963250815017873</v>
      </c>
      <c r="S274" s="360">
        <f t="shared" ca="1" si="137"/>
        <v>10.312776063020117</v>
      </c>
      <c r="T274" s="357">
        <f t="shared" ca="1" si="117"/>
        <v>101.16833317822734</v>
      </c>
      <c r="U274" s="364">
        <f t="shared" ca="1" si="118"/>
        <v>0</v>
      </c>
      <c r="V274" s="359">
        <f t="shared" ca="1" si="119"/>
        <v>1.1914404933731568</v>
      </c>
      <c r="W274" s="357">
        <f t="shared" ca="1" si="120"/>
        <v>108.67148004361475</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277.75984319809959</v>
      </c>
      <c r="AF274" s="344"/>
      <c r="AG274" s="359">
        <f t="shared" ca="1" si="143"/>
        <v>56.674322221840782</v>
      </c>
      <c r="AH274" s="357">
        <f t="shared" ca="1" si="144"/>
        <v>66.237756866443647</v>
      </c>
    </row>
    <row r="275" spans="1:34" x14ac:dyDescent="0.25">
      <c r="A275" s="402">
        <f t="shared" ca="1" si="122"/>
        <v>0.01</v>
      </c>
      <c r="B275" s="357">
        <f t="shared" ca="1" si="123"/>
        <v>2.7099999999999862</v>
      </c>
      <c r="C275" s="342"/>
      <c r="D275" s="359">
        <f t="shared" ca="1" si="124"/>
        <v>14.712841635813044</v>
      </c>
      <c r="E275" s="360">
        <f t="shared" ca="1" si="125"/>
        <v>54.536281789149086</v>
      </c>
      <c r="F275" s="357">
        <f t="shared" ca="1" si="126"/>
        <v>56.486049077502209</v>
      </c>
      <c r="G275" s="359">
        <f t="shared" ca="1" si="127"/>
        <v>44.891559000905602</v>
      </c>
      <c r="H275" s="360">
        <f t="shared" ca="1" si="128"/>
        <v>196.23412302857037</v>
      </c>
      <c r="I275" s="357">
        <f t="shared" ca="1" si="129"/>
        <v>201.30346025422384</v>
      </c>
      <c r="J275" s="359">
        <f t="shared" ca="1" si="130"/>
        <v>60.115474511643846</v>
      </c>
      <c r="K275" s="360">
        <f t="shared" ca="1" si="131"/>
        <v>279.71945761429583</v>
      </c>
      <c r="L275" s="357">
        <f t="shared" ca="1" si="116"/>
        <v>286.10635302942143</v>
      </c>
      <c r="M275" s="359">
        <f t="shared" ca="1" si="132"/>
        <v>1.3459009158755262</v>
      </c>
      <c r="N275" s="357">
        <f t="shared" ca="1" si="133"/>
        <v>77.114442122459707</v>
      </c>
      <c r="O275" s="343"/>
      <c r="P275" s="363">
        <f t="shared" ca="1" si="134"/>
        <v>9</v>
      </c>
      <c r="Q275" s="357">
        <f t="shared" ca="1" si="135"/>
        <v>789.12500000000284</v>
      </c>
      <c r="R275" s="359">
        <f t="shared" ca="1" si="136"/>
        <v>0.39529817036698317</v>
      </c>
      <c r="S275" s="360">
        <f t="shared" ca="1" si="137"/>
        <v>10.308823081316447</v>
      </c>
      <c r="T275" s="357">
        <f t="shared" ca="1" si="117"/>
        <v>101.12955442771435</v>
      </c>
      <c r="U275" s="364">
        <f t="shared" ca="1" si="118"/>
        <v>0</v>
      </c>
      <c r="V275" s="359">
        <f t="shared" ca="1" si="119"/>
        <v>1.1912069945007193</v>
      </c>
      <c r="W275" s="357">
        <f t="shared" ca="1" si="120"/>
        <v>109.26204708162874</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279.71945761429583</v>
      </c>
      <c r="AF275" s="344"/>
      <c r="AG275" s="359">
        <f t="shared" ca="1" si="143"/>
        <v>56.443709747851543</v>
      </c>
      <c r="AH275" s="357">
        <f t="shared" ca="1" si="144"/>
        <v>66.006906374174918</v>
      </c>
    </row>
    <row r="276" spans="1:34" x14ac:dyDescent="0.25">
      <c r="A276" s="402">
        <f t="shared" ca="1" si="122"/>
        <v>0.01</v>
      </c>
      <c r="B276" s="357">
        <f t="shared" ca="1" si="123"/>
        <v>2.719999999999986</v>
      </c>
      <c r="C276" s="342"/>
      <c r="D276" s="359">
        <f t="shared" ca="1" si="124"/>
        <v>14.668319374337923</v>
      </c>
      <c r="E276" s="360">
        <f t="shared" ca="1" si="125"/>
        <v>54.309510500139311</v>
      </c>
      <c r="F276" s="357">
        <f t="shared" ca="1" si="126"/>
        <v>56.255511054760838</v>
      </c>
      <c r="G276" s="359">
        <f t="shared" ca="1" si="127"/>
        <v>45.03824219464898</v>
      </c>
      <c r="H276" s="360">
        <f t="shared" ca="1" si="128"/>
        <v>196.77721813357175</v>
      </c>
      <c r="I276" s="357">
        <f t="shared" ca="1" si="129"/>
        <v>201.86559101632736</v>
      </c>
      <c r="J276" s="359">
        <f t="shared" ca="1" si="130"/>
        <v>60.565123517621622</v>
      </c>
      <c r="K276" s="360">
        <f t="shared" ca="1" si="131"/>
        <v>281.68451432010653</v>
      </c>
      <c r="L276" s="357">
        <f t="shared" ca="1" si="116"/>
        <v>288.12202240449977</v>
      </c>
      <c r="M276" s="359">
        <f t="shared" ca="1" si="132"/>
        <v>1.3457925431094371</v>
      </c>
      <c r="N276" s="357">
        <f t="shared" ca="1" si="133"/>
        <v>77.108232820348647</v>
      </c>
      <c r="O276" s="343"/>
      <c r="P276" s="363">
        <f t="shared" ca="1" si="134"/>
        <v>9</v>
      </c>
      <c r="Q276" s="357">
        <f t="shared" ca="1" si="135"/>
        <v>787.07500000000289</v>
      </c>
      <c r="R276" s="359">
        <f t="shared" ca="1" si="136"/>
        <v>0.39427125923217904</v>
      </c>
      <c r="S276" s="360">
        <f t="shared" ca="1" si="137"/>
        <v>10.304880368724126</v>
      </c>
      <c r="T276" s="357">
        <f t="shared" ca="1" si="117"/>
        <v>101.09087641718368</v>
      </c>
      <c r="U276" s="364">
        <f t="shared" ca="1" si="118"/>
        <v>0</v>
      </c>
      <c r="V276" s="359">
        <f t="shared" ca="1" si="119"/>
        <v>1.1909728924588594</v>
      </c>
      <c r="W276" s="357">
        <f t="shared" ca="1" si="120"/>
        <v>109.85152486247249</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281.68451432010653</v>
      </c>
      <c r="AF276" s="344"/>
      <c r="AG276" s="359">
        <f t="shared" ca="1" si="143"/>
        <v>56.212957668250297</v>
      </c>
      <c r="AH276" s="357">
        <f t="shared" ca="1" si="144"/>
        <v>65.775916717633464</v>
      </c>
    </row>
    <row r="277" spans="1:34" x14ac:dyDescent="0.25">
      <c r="A277" s="402">
        <f t="shared" ca="1" si="122"/>
        <v>0.01</v>
      </c>
      <c r="B277" s="357">
        <f t="shared" ca="1" si="123"/>
        <v>2.7299999999999858</v>
      </c>
      <c r="C277" s="342"/>
      <c r="D277" s="359">
        <f t="shared" ca="1" si="124"/>
        <v>14.623701545712329</v>
      </c>
      <c r="E277" s="360">
        <f t="shared" ca="1" si="125"/>
        <v>54.082620332388935</v>
      </c>
      <c r="F277" s="357">
        <f t="shared" ca="1" si="126"/>
        <v>56.02483796420475</v>
      </c>
      <c r="G277" s="359">
        <f t="shared" ca="1" si="127"/>
        <v>45.184479210106105</v>
      </c>
      <c r="H277" s="360">
        <f t="shared" ca="1" si="128"/>
        <v>197.31804433689564</v>
      </c>
      <c r="I277" s="357">
        <f t="shared" ca="1" si="129"/>
        <v>202.4254128868844</v>
      </c>
      <c r="J277" s="359">
        <f t="shared" ca="1" si="130"/>
        <v>61.0162371246454</v>
      </c>
      <c r="K277" s="360">
        <f t="shared" ca="1" si="131"/>
        <v>283.65499063245886</v>
      </c>
      <c r="L277" s="357">
        <f t="shared" ca="1" si="116"/>
        <v>290.14330063530895</v>
      </c>
      <c r="M277" s="359">
        <f t="shared" ca="1" si="132"/>
        <v>1.3456844188592298</v>
      </c>
      <c r="N277" s="357">
        <f t="shared" ca="1" si="133"/>
        <v>77.10203775714875</v>
      </c>
      <c r="O277" s="343"/>
      <c r="P277" s="363">
        <f t="shared" ca="1" si="134"/>
        <v>9</v>
      </c>
      <c r="Q277" s="357">
        <f t="shared" ca="1" si="135"/>
        <v>785.02500000000293</v>
      </c>
      <c r="R277" s="359">
        <f t="shared" ca="1" si="136"/>
        <v>0.39324434809737496</v>
      </c>
      <c r="S277" s="360">
        <f t="shared" ca="1" si="137"/>
        <v>10.300947925243152</v>
      </c>
      <c r="T277" s="357">
        <f t="shared" ca="1" si="117"/>
        <v>101.05229914663533</v>
      </c>
      <c r="U277" s="364">
        <f t="shared" ca="1" si="118"/>
        <v>0</v>
      </c>
      <c r="V277" s="359">
        <f t="shared" ca="1" si="119"/>
        <v>1.1907381903128174</v>
      </c>
      <c r="W277" s="357">
        <f t="shared" ca="1" si="120"/>
        <v>110.43989074054528</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283.65499063245886</v>
      </c>
      <c r="AF277" s="344"/>
      <c r="AG277" s="359">
        <f t="shared" ca="1" si="143"/>
        <v>55.982068729413406</v>
      </c>
      <c r="AH277" s="357">
        <f t="shared" ca="1" si="144"/>
        <v>65.544790638439522</v>
      </c>
    </row>
    <row r="278" spans="1:34" x14ac:dyDescent="0.25">
      <c r="A278" s="402">
        <f t="shared" ca="1" si="122"/>
        <v>0.01</v>
      </c>
      <c r="B278" s="357">
        <f t="shared" ca="1" si="123"/>
        <v>2.7399999999999856</v>
      </c>
      <c r="C278" s="342"/>
      <c r="D278" s="359">
        <f t="shared" ca="1" si="124"/>
        <v>14.578989049313396</v>
      </c>
      <c r="E278" s="360">
        <f t="shared" ca="1" si="125"/>
        <v>53.855613899033813</v>
      </c>
      <c r="F278" s="357">
        <f t="shared" ca="1" si="126"/>
        <v>55.794032567487037</v>
      </c>
      <c r="G278" s="359">
        <f t="shared" ca="1" si="127"/>
        <v>45.330269100599239</v>
      </c>
      <c r="H278" s="360">
        <f t="shared" ca="1" si="128"/>
        <v>197.85660047588598</v>
      </c>
      <c r="I278" s="357">
        <f t="shared" ca="1" si="129"/>
        <v>202.98292452471736</v>
      </c>
      <c r="J278" s="359">
        <f t="shared" ca="1" si="130"/>
        <v>61.468810866198929</v>
      </c>
      <c r="K278" s="360">
        <f t="shared" ca="1" si="131"/>
        <v>285.63086385652275</v>
      </c>
      <c r="L278" s="357">
        <f t="shared" ca="1" si="116"/>
        <v>292.17016462453512</v>
      </c>
      <c r="M278" s="359">
        <f t="shared" ca="1" si="132"/>
        <v>1.3455765406446671</v>
      </c>
      <c r="N278" s="357">
        <f t="shared" ca="1" si="133"/>
        <v>77.095856790752904</v>
      </c>
      <c r="O278" s="343"/>
      <c r="P278" s="363">
        <f t="shared" ca="1" si="134"/>
        <v>9</v>
      </c>
      <c r="Q278" s="357">
        <f t="shared" ca="1" si="135"/>
        <v>782.97500000000298</v>
      </c>
      <c r="R278" s="359">
        <f t="shared" ca="1" si="136"/>
        <v>0.39221743696257083</v>
      </c>
      <c r="S278" s="360">
        <f t="shared" ca="1" si="137"/>
        <v>10.297025750873527</v>
      </c>
      <c r="T278" s="357">
        <f t="shared" ca="1" si="117"/>
        <v>101.01382261606931</v>
      </c>
      <c r="U278" s="364">
        <f t="shared" ca="1" si="118"/>
        <v>0</v>
      </c>
      <c r="V278" s="359">
        <f t="shared" ca="1" si="119"/>
        <v>1.1905028911279596</v>
      </c>
      <c r="W278" s="357">
        <f t="shared" ca="1" si="120"/>
        <v>111.02712219631087</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285.63086385652275</v>
      </c>
      <c r="AF278" s="344"/>
      <c r="AG278" s="359">
        <f t="shared" ca="1" si="143"/>
        <v>55.751045670484395</v>
      </c>
      <c r="AH278" s="357">
        <f t="shared" ca="1" si="144"/>
        <v>65.313530871028917</v>
      </c>
    </row>
    <row r="279" spans="1:34" x14ac:dyDescent="0.25">
      <c r="A279" s="402">
        <f t="shared" ca="1" si="122"/>
        <v>0.01</v>
      </c>
      <c r="B279" s="357">
        <f t="shared" ca="1" si="123"/>
        <v>2.7499999999999853</v>
      </c>
      <c r="C279" s="342"/>
      <c r="D279" s="359">
        <f t="shared" ca="1" si="124"/>
        <v>14.534182780217391</v>
      </c>
      <c r="E279" s="360">
        <f t="shared" ca="1" si="125"/>
        <v>53.628493806580117</v>
      </c>
      <c r="F279" s="357">
        <f t="shared" ca="1" si="126"/>
        <v>55.563097619293778</v>
      </c>
      <c r="G279" s="359">
        <f t="shared" ca="1" si="127"/>
        <v>45.475610928401416</v>
      </c>
      <c r="H279" s="360">
        <f t="shared" ca="1" si="128"/>
        <v>198.39288541395177</v>
      </c>
      <c r="I279" s="357">
        <f t="shared" ca="1" si="129"/>
        <v>203.53812461596658</v>
      </c>
      <c r="J279" s="359">
        <f t="shared" ca="1" si="130"/>
        <v>61.922840266343933</v>
      </c>
      <c r="K279" s="360">
        <f t="shared" ca="1" si="131"/>
        <v>287.61211128597193</v>
      </c>
      <c r="L279" s="357">
        <f t="shared" ca="1" si="116"/>
        <v>294.20259126157515</v>
      </c>
      <c r="M279" s="359">
        <f t="shared" ca="1" si="132"/>
        <v>1.345468906012401</v>
      </c>
      <c r="N279" s="357">
        <f t="shared" ca="1" si="133"/>
        <v>77.089689780594611</v>
      </c>
      <c r="O279" s="343"/>
      <c r="P279" s="363">
        <f t="shared" ca="1" si="134"/>
        <v>9</v>
      </c>
      <c r="Q279" s="357">
        <f t="shared" ca="1" si="135"/>
        <v>780.92500000000302</v>
      </c>
      <c r="R279" s="359">
        <f t="shared" ca="1" si="136"/>
        <v>0.3911905258277667</v>
      </c>
      <c r="S279" s="360">
        <f t="shared" ca="1" si="137"/>
        <v>10.293113845615249</v>
      </c>
      <c r="T279" s="357">
        <f t="shared" ca="1" si="117"/>
        <v>100.97544682548559</v>
      </c>
      <c r="U279" s="364">
        <f t="shared" ca="1" si="118"/>
        <v>0</v>
      </c>
      <c r="V279" s="359">
        <f t="shared" ca="1" si="119"/>
        <v>1.1902669979697298</v>
      </c>
      <c r="W279" s="357">
        <f t="shared" ca="1" si="120"/>
        <v>111.61319683678578</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287.61211128597193</v>
      </c>
      <c r="AF279" s="344"/>
      <c r="AG279" s="359">
        <f t="shared" ca="1" si="143"/>
        <v>55.519891223285107</v>
      </c>
      <c r="AH279" s="357">
        <f t="shared" ca="1" si="144"/>
        <v>65.082140142563475</v>
      </c>
    </row>
    <row r="280" spans="1:34" x14ac:dyDescent="0.25">
      <c r="A280" s="402">
        <f t="shared" ca="1" si="122"/>
        <v>0.01</v>
      </c>
      <c r="B280" s="357">
        <f t="shared" ca="1" si="123"/>
        <v>2.7599999999999851</v>
      </c>
      <c r="C280" s="342"/>
      <c r="D280" s="359">
        <f t="shared" ca="1" si="124"/>
        <v>14.489283629225296</v>
      </c>
      <c r="E280" s="360">
        <f t="shared" ca="1" si="125"/>
        <v>53.401262654810267</v>
      </c>
      <c r="F280" s="357">
        <f t="shared" ca="1" si="126"/>
        <v>55.332035867263819</v>
      </c>
      <c r="G280" s="359">
        <f t="shared" ca="1" si="127"/>
        <v>45.620503764693666</v>
      </c>
      <c r="H280" s="360">
        <f t="shared" ca="1" si="128"/>
        <v>198.92689804049988</v>
      </c>
      <c r="I280" s="357">
        <f t="shared" ca="1" si="129"/>
        <v>204.09101187401629</v>
      </c>
      <c r="J280" s="359">
        <f t="shared" ca="1" si="130"/>
        <v>62.378320839809405</v>
      </c>
      <c r="K280" s="360">
        <f t="shared" ca="1" si="131"/>
        <v>289.5987102032442</v>
      </c>
      <c r="L280" s="357">
        <f t="shared" ca="1" si="116"/>
        <v>296.24055742280939</v>
      </c>
      <c r="M280" s="359">
        <f t="shared" ca="1" si="132"/>
        <v>1.3453615125355483</v>
      </c>
      <c r="N280" s="357">
        <f t="shared" ca="1" si="133"/>
        <v>77.083536587623712</v>
      </c>
      <c r="O280" s="343"/>
      <c r="P280" s="363">
        <f t="shared" ca="1" si="134"/>
        <v>9</v>
      </c>
      <c r="Q280" s="357">
        <f t="shared" ca="1" si="135"/>
        <v>778.87500000000307</v>
      </c>
      <c r="R280" s="359">
        <f t="shared" ca="1" si="136"/>
        <v>0.39016361469296262</v>
      </c>
      <c r="S280" s="360">
        <f t="shared" ca="1" si="137"/>
        <v>10.289212209468319</v>
      </c>
      <c r="T280" s="357">
        <f t="shared" ca="1" si="117"/>
        <v>100.93717177488422</v>
      </c>
      <c r="U280" s="364">
        <f t="shared" ca="1" si="118"/>
        <v>0</v>
      </c>
      <c r="V280" s="359">
        <f t="shared" ca="1" si="119"/>
        <v>1.190030513903602</v>
      </c>
      <c r="W280" s="357">
        <f t="shared" ca="1" si="120"/>
        <v>112.19809239601803</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289.5987102032442</v>
      </c>
      <c r="AF280" s="344"/>
      <c r="AG280" s="359">
        <f t="shared" ca="1" si="143"/>
        <v>55.28860811222809</v>
      </c>
      <c r="AH280" s="357">
        <f t="shared" ca="1" si="144"/>
        <v>64.850621172842651</v>
      </c>
    </row>
    <row r="281" spans="1:34" x14ac:dyDescent="0.25">
      <c r="A281" s="402">
        <f t="shared" ca="1" si="122"/>
        <v>0.01</v>
      </c>
      <c r="B281" s="357">
        <f t="shared" ca="1" si="123"/>
        <v>2.7699999999999849</v>
      </c>
      <c r="C281" s="342"/>
      <c r="D281" s="359">
        <f t="shared" ca="1" si="124"/>
        <v>14.444292482887255</v>
      </c>
      <c r="E281" s="360">
        <f t="shared" ca="1" si="125"/>
        <v>53.173923036689544</v>
      </c>
      <c r="F281" s="357">
        <f t="shared" ca="1" si="126"/>
        <v>55.100850051909148</v>
      </c>
      <c r="G281" s="359">
        <f t="shared" ca="1" si="127"/>
        <v>45.764946689522539</v>
      </c>
      <c r="H281" s="360">
        <f t="shared" ca="1" si="128"/>
        <v>199.45863727086677</v>
      </c>
      <c r="I281" s="357">
        <f t="shared" ca="1" si="129"/>
        <v>204.64158503941968</v>
      </c>
      <c r="J281" s="359">
        <f t="shared" ca="1" si="130"/>
        <v>62.835248092080484</v>
      </c>
      <c r="K281" s="360">
        <f t="shared" ca="1" si="131"/>
        <v>291.59063787980102</v>
      </c>
      <c r="L281" s="357">
        <f t="shared" ca="1" si="116"/>
        <v>298.28403997187405</v>
      </c>
      <c r="M281" s="359">
        <f t="shared" ca="1" si="132"/>
        <v>1.3452543578132712</v>
      </c>
      <c r="N281" s="357">
        <f t="shared" ca="1" si="133"/>
        <v>77.077397074282345</v>
      </c>
      <c r="O281" s="343"/>
      <c r="P281" s="363">
        <f t="shared" ca="1" si="134"/>
        <v>9</v>
      </c>
      <c r="Q281" s="357">
        <f t="shared" ca="1" si="135"/>
        <v>776.82500000000312</v>
      </c>
      <c r="R281" s="359">
        <f t="shared" ca="1" si="136"/>
        <v>0.38913670355815849</v>
      </c>
      <c r="S281" s="360">
        <f t="shared" ca="1" si="137"/>
        <v>10.285320842432737</v>
      </c>
      <c r="T281" s="357">
        <f t="shared" ca="1" si="117"/>
        <v>100.89899746426516</v>
      </c>
      <c r="U281" s="364">
        <f t="shared" ca="1" si="118"/>
        <v>0</v>
      </c>
      <c r="V281" s="359">
        <f t="shared" ca="1" si="119"/>
        <v>1.1897934419950353</v>
      </c>
      <c r="W281" s="357">
        <f t="shared" ca="1" si="120"/>
        <v>112.78178673555615</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291.59063787980102</v>
      </c>
      <c r="AF281" s="344"/>
      <c r="AG281" s="359">
        <f t="shared" ca="1" si="143"/>
        <v>55.057199054229457</v>
      </c>
      <c r="AH281" s="357">
        <f t="shared" ca="1" si="144"/>
        <v>64.618976674215645</v>
      </c>
    </row>
    <row r="282" spans="1:34" x14ac:dyDescent="0.25">
      <c r="A282" s="402">
        <f t="shared" ca="1" si="122"/>
        <v>0.01</v>
      </c>
      <c r="B282" s="357">
        <f t="shared" ca="1" si="123"/>
        <v>2.7799999999999847</v>
      </c>
      <c r="C282" s="342"/>
      <c r="D282" s="359">
        <f t="shared" ca="1" si="124"/>
        <v>14.399210223526509</v>
      </c>
      <c r="E282" s="360">
        <f t="shared" ca="1" si="125"/>
        <v>52.946477538274046</v>
      </c>
      <c r="F282" s="357">
        <f t="shared" ca="1" si="126"/>
        <v>54.869542906536665</v>
      </c>
      <c r="G282" s="359">
        <f t="shared" ca="1" si="127"/>
        <v>45.908938791757805</v>
      </c>
      <c r="H282" s="360">
        <f t="shared" ca="1" si="128"/>
        <v>199.98810204624951</v>
      </c>
      <c r="I282" s="357">
        <f t="shared" ca="1" si="129"/>
        <v>205.18984287982306</v>
      </c>
      <c r="J282" s="359">
        <f t="shared" ca="1" si="130"/>
        <v>63.293617519486887</v>
      </c>
      <c r="K282" s="360">
        <f t="shared" ca="1" si="131"/>
        <v>293.58787157638659</v>
      </c>
      <c r="L282" s="357">
        <f t="shared" ca="1" si="116"/>
        <v>300.33301575993266</v>
      </c>
      <c r="M282" s="359">
        <f t="shared" ca="1" si="132"/>
        <v>1.3451474394703673</v>
      </c>
      <c r="N282" s="357">
        <f t="shared" ca="1" si="133"/>
        <v>77.071271104481411</v>
      </c>
      <c r="O282" s="343"/>
      <c r="P282" s="363">
        <f t="shared" ca="1" si="134"/>
        <v>9</v>
      </c>
      <c r="Q282" s="357">
        <f t="shared" ca="1" si="135"/>
        <v>774.77500000000316</v>
      </c>
      <c r="R282" s="359">
        <f t="shared" ca="1" si="136"/>
        <v>0.38810979242335442</v>
      </c>
      <c r="S282" s="360">
        <f t="shared" ca="1" si="137"/>
        <v>10.281439744508504</v>
      </c>
      <c r="T282" s="357">
        <f t="shared" ca="1" si="117"/>
        <v>100.86092389362842</v>
      </c>
      <c r="U282" s="364">
        <f t="shared" ca="1" si="118"/>
        <v>0</v>
      </c>
      <c r="V282" s="359">
        <f t="shared" ca="1" si="119"/>
        <v>1.1895557853094278</v>
      </c>
      <c r="W282" s="357">
        <f t="shared" ca="1" si="120"/>
        <v>113.36425784490812</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293.58787157638659</v>
      </c>
      <c r="AF282" s="344"/>
      <c r="AG282" s="359">
        <f t="shared" ca="1" si="143"/>
        <v>54.825666758622916</v>
      </c>
      <c r="AH282" s="357">
        <f t="shared" ca="1" si="144"/>
        <v>64.38720935149469</v>
      </c>
    </row>
    <row r="283" spans="1:34" x14ac:dyDescent="0.25">
      <c r="A283" s="402">
        <f t="shared" ca="1" si="122"/>
        <v>0.01</v>
      </c>
      <c r="B283" s="357">
        <f t="shared" ca="1" si="123"/>
        <v>2.7899999999999845</v>
      </c>
      <c r="C283" s="342"/>
      <c r="D283" s="359">
        <f t="shared" ca="1" si="124"/>
        <v>14.354037729262494</v>
      </c>
      <c r="E283" s="360">
        <f t="shared" ca="1" si="125"/>
        <v>52.71892873861939</v>
      </c>
      <c r="F283" s="357">
        <f t="shared" ca="1" si="126"/>
        <v>54.63811715717079</v>
      </c>
      <c r="G283" s="359">
        <f t="shared" ca="1" si="127"/>
        <v>46.052479169050429</v>
      </c>
      <c r="H283" s="360">
        <f t="shared" ca="1" si="128"/>
        <v>200.5152913336357</v>
      </c>
      <c r="I283" s="357">
        <f t="shared" ca="1" si="129"/>
        <v>205.7357841898891</v>
      </c>
      <c r="J283" s="359">
        <f t="shared" ca="1" si="130"/>
        <v>63.753424609290931</v>
      </c>
      <c r="K283" s="360">
        <f t="shared" ca="1" si="131"/>
        <v>295.590388543286</v>
      </c>
      <c r="L283" s="357">
        <f t="shared" ca="1" si="116"/>
        <v>302.38746162594657</v>
      </c>
      <c r="M283" s="359">
        <f t="shared" ca="1" si="132"/>
        <v>1.3450407551568671</v>
      </c>
      <c r="N283" s="357">
        <f t="shared" ca="1" si="133"/>
        <v>77.065158543577596</v>
      </c>
      <c r="O283" s="343"/>
      <c r="P283" s="363">
        <f t="shared" ca="1" si="134"/>
        <v>9</v>
      </c>
      <c r="Q283" s="357">
        <f t="shared" ca="1" si="135"/>
        <v>772.72500000000321</v>
      </c>
      <c r="R283" s="359">
        <f t="shared" ca="1" si="136"/>
        <v>0.38708288128855028</v>
      </c>
      <c r="S283" s="360">
        <f t="shared" ca="1" si="137"/>
        <v>10.277568915695618</v>
      </c>
      <c r="T283" s="357">
        <f t="shared" ca="1" si="117"/>
        <v>100.82295106297401</v>
      </c>
      <c r="U283" s="364">
        <f t="shared" ca="1" si="118"/>
        <v>0</v>
      </c>
      <c r="V283" s="359">
        <f t="shared" ca="1" si="119"/>
        <v>1.1893175469120696</v>
      </c>
      <c r="W283" s="357">
        <f t="shared" ca="1" si="120"/>
        <v>113.94548384199028</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295.590388543286</v>
      </c>
      <c r="AF283" s="344"/>
      <c r="AG283" s="359">
        <f t="shared" ca="1" si="143"/>
        <v>54.594013927074379</v>
      </c>
      <c r="AH283" s="357">
        <f t="shared" ca="1" si="144"/>
        <v>64.155321901869002</v>
      </c>
    </row>
    <row r="284" spans="1:34" x14ac:dyDescent="0.25">
      <c r="A284" s="402">
        <f t="shared" ca="1" si="122"/>
        <v>0.01</v>
      </c>
      <c r="B284" s="357">
        <f t="shared" ca="1" si="123"/>
        <v>2.7999999999999843</v>
      </c>
      <c r="C284" s="342"/>
      <c r="D284" s="359">
        <f t="shared" ca="1" si="124"/>
        <v>14.308775874033254</v>
      </c>
      <c r="E284" s="360">
        <f t="shared" ca="1" si="125"/>
        <v>52.491279209690688</v>
      </c>
      <c r="F284" s="357">
        <f t="shared" ca="1" si="126"/>
        <v>54.406575522477269</v>
      </c>
      <c r="G284" s="359">
        <f t="shared" ca="1" si="127"/>
        <v>46.195566927790765</v>
      </c>
      <c r="H284" s="360">
        <f t="shared" ca="1" si="128"/>
        <v>201.0402041257326</v>
      </c>
      <c r="I284" s="357">
        <f t="shared" ca="1" si="129"/>
        <v>206.27940779121948</v>
      </c>
      <c r="J284" s="359">
        <f t="shared" ca="1" si="130"/>
        <v>64.214664839775139</v>
      </c>
      <c r="K284" s="360">
        <f t="shared" ca="1" si="131"/>
        <v>297.59816602058282</v>
      </c>
      <c r="L284" s="357">
        <f t="shared" ca="1" si="116"/>
        <v>304.447354396945</v>
      </c>
      <c r="M284" s="359">
        <f t="shared" ca="1" si="132"/>
        <v>1.3449343025476388</v>
      </c>
      <c r="N284" s="357">
        <f t="shared" ca="1" si="133"/>
        <v>77.059059258350672</v>
      </c>
      <c r="O284" s="343"/>
      <c r="P284" s="363">
        <f t="shared" ca="1" si="134"/>
        <v>9</v>
      </c>
      <c r="Q284" s="357">
        <f t="shared" ca="1" si="135"/>
        <v>770.67500000000325</v>
      </c>
      <c r="R284" s="359">
        <f t="shared" ca="1" si="136"/>
        <v>0.38605597015374615</v>
      </c>
      <c r="S284" s="360">
        <f t="shared" ca="1" si="137"/>
        <v>10.27370835599408</v>
      </c>
      <c r="T284" s="357">
        <f t="shared" ca="1" si="117"/>
        <v>100.78507897230193</v>
      </c>
      <c r="U284" s="364">
        <f t="shared" ca="1" si="118"/>
        <v>0</v>
      </c>
      <c r="V284" s="359">
        <f t="shared" ca="1" si="119"/>
        <v>1.1890787298680978</v>
      </c>
      <c r="W284" s="357">
        <f t="shared" ca="1" si="120"/>
        <v>114.52544297356685</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297.59816602058282</v>
      </c>
      <c r="AF284" s="344"/>
      <c r="AG284" s="359">
        <f t="shared" ca="1" si="143"/>
        <v>54.362243253497773</v>
      </c>
      <c r="AH284" s="357">
        <f t="shared" ca="1" si="144"/>
        <v>63.92331701481983</v>
      </c>
    </row>
    <row r="285" spans="1:34" x14ac:dyDescent="0.25">
      <c r="A285" s="402">
        <f t="shared" ca="1" si="122"/>
        <v>0.01</v>
      </c>
      <c r="B285" s="357">
        <f t="shared" ca="1" si="123"/>
        <v>2.8099999999999841</v>
      </c>
      <c r="C285" s="342"/>
      <c r="D285" s="359">
        <f t="shared" ca="1" si="124"/>
        <v>14.263425527617146</v>
      </c>
      <c r="E285" s="360">
        <f t="shared" ca="1" si="125"/>
        <v>52.263531516273368</v>
      </c>
      <c r="F285" s="357">
        <f t="shared" ca="1" si="126"/>
        <v>54.174920713687989</v>
      </c>
      <c r="G285" s="359">
        <f t="shared" ca="1" si="127"/>
        <v>46.338201183066936</v>
      </c>
      <c r="H285" s="360">
        <f t="shared" ca="1" si="128"/>
        <v>201.56283944089535</v>
      </c>
      <c r="I285" s="357">
        <f t="shared" ca="1" si="129"/>
        <v>206.82071253227647</v>
      </c>
      <c r="J285" s="359">
        <f t="shared" ca="1" si="130"/>
        <v>64.677333680329426</v>
      </c>
      <c r="K285" s="360">
        <f t="shared" ca="1" si="131"/>
        <v>299.61118123841595</v>
      </c>
      <c r="L285" s="357">
        <f t="shared" ca="1" si="116"/>
        <v>306.51267088829394</v>
      </c>
      <c r="M285" s="359">
        <f t="shared" ca="1" si="132"/>
        <v>1.3448280793420018</v>
      </c>
      <c r="N285" s="357">
        <f t="shared" ca="1" si="133"/>
        <v>77.05297311698132</v>
      </c>
      <c r="O285" s="343"/>
      <c r="P285" s="363">
        <f t="shared" ca="1" si="134"/>
        <v>9</v>
      </c>
      <c r="Q285" s="357">
        <f t="shared" ca="1" si="135"/>
        <v>768.6250000000033</v>
      </c>
      <c r="R285" s="359">
        <f t="shared" ca="1" si="136"/>
        <v>0.38502905901894208</v>
      </c>
      <c r="S285" s="360">
        <f t="shared" ca="1" si="137"/>
        <v>10.26985806540389</v>
      </c>
      <c r="T285" s="357">
        <f t="shared" ca="1" si="117"/>
        <v>100.74730762161217</v>
      </c>
      <c r="U285" s="364">
        <f t="shared" ca="1" si="118"/>
        <v>0</v>
      </c>
      <c r="V285" s="359">
        <f t="shared" ca="1" si="119"/>
        <v>1.1888393372424519</v>
      </c>
      <c r="W285" s="357">
        <f t="shared" ca="1" si="120"/>
        <v>115.10411361567944</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299.61118123841595</v>
      </c>
      <c r="AF285" s="344"/>
      <c r="AG285" s="359">
        <f t="shared" ca="1" si="143"/>
        <v>54.130357423971361</v>
      </c>
      <c r="AH285" s="357">
        <f t="shared" ca="1" si="144"/>
        <v>63.691197372036143</v>
      </c>
    </row>
    <row r="286" spans="1:34" x14ac:dyDescent="0.25">
      <c r="A286" s="402">
        <f t="shared" ca="1" si="122"/>
        <v>0.01</v>
      </c>
      <c r="B286" s="357">
        <f t="shared" ca="1" si="123"/>
        <v>2.8199999999999839</v>
      </c>
      <c r="C286" s="342"/>
      <c r="D286" s="359">
        <f t="shared" ca="1" si="124"/>
        <v>14.217987555653888</v>
      </c>
      <c r="E286" s="360">
        <f t="shared" ca="1" si="125"/>
        <v>52.035688215885003</v>
      </c>
      <c r="F286" s="357">
        <f t="shared" ca="1" si="126"/>
        <v>53.943155434526837</v>
      </c>
      <c r="G286" s="359">
        <f t="shared" ca="1" si="127"/>
        <v>46.480381058623472</v>
      </c>
      <c r="H286" s="360">
        <f t="shared" ca="1" si="128"/>
        <v>202.08319632305418</v>
      </c>
      <c r="I286" s="357">
        <f t="shared" ca="1" si="129"/>
        <v>207.35969728830361</v>
      </c>
      <c r="J286" s="359">
        <f t="shared" ca="1" si="130"/>
        <v>65.141426591537879</v>
      </c>
      <c r="K286" s="360">
        <f t="shared" ca="1" si="131"/>
        <v>301.6294114172357</v>
      </c>
      <c r="L286" s="357">
        <f t="shared" ca="1" si="116"/>
        <v>308.58338790396471</v>
      </c>
      <c r="M286" s="359">
        <f t="shared" ca="1" si="132"/>
        <v>1.3447220832633457</v>
      </c>
      <c r="N286" s="357">
        <f t="shared" ca="1" si="133"/>
        <v>77.046899989029384</v>
      </c>
      <c r="O286" s="343"/>
      <c r="P286" s="363">
        <f t="shared" ca="1" si="134"/>
        <v>9</v>
      </c>
      <c r="Q286" s="357">
        <f t="shared" ca="1" si="135"/>
        <v>766.57500000000334</v>
      </c>
      <c r="R286" s="359">
        <f t="shared" ca="1" si="136"/>
        <v>0.38400214788413795</v>
      </c>
      <c r="S286" s="360">
        <f t="shared" ca="1" si="137"/>
        <v>10.266018043925047</v>
      </c>
      <c r="T286" s="357">
        <f t="shared" ca="1" si="117"/>
        <v>100.70963701090471</v>
      </c>
      <c r="U286" s="364">
        <f t="shared" ca="1" si="118"/>
        <v>0</v>
      </c>
      <c r="V286" s="359">
        <f t="shared" ca="1" si="119"/>
        <v>1.1885993720998262</v>
      </c>
      <c r="W286" s="357">
        <f t="shared" ca="1" si="120"/>
        <v>115.68147427406636</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301.6294114172357</v>
      </c>
      <c r="AF286" s="344"/>
      <c r="AG286" s="359">
        <f t="shared" ca="1" si="143"/>
        <v>53.898359116655215</v>
      </c>
      <c r="AH286" s="357">
        <f t="shared" ca="1" si="144"/>
        <v>63.458965647331397</v>
      </c>
    </row>
    <row r="287" spans="1:34" x14ac:dyDescent="0.25">
      <c r="A287" s="402">
        <f t="shared" ca="1" si="122"/>
        <v>0.01</v>
      </c>
      <c r="B287" s="357">
        <f t="shared" ca="1" si="123"/>
        <v>2.8299999999999836</v>
      </c>
      <c r="C287" s="342"/>
      <c r="D287" s="359">
        <f t="shared" ca="1" si="124"/>
        <v>14.172462819664947</v>
      </c>
      <c r="E287" s="360">
        <f t="shared" ca="1" si="125"/>
        <v>51.807751858688299</v>
      </c>
      <c r="F287" s="357">
        <f t="shared" ca="1" si="126"/>
        <v>53.711282381136705</v>
      </c>
      <c r="G287" s="359">
        <f t="shared" ca="1" si="127"/>
        <v>46.62210568682012</v>
      </c>
      <c r="H287" s="360">
        <f t="shared" ca="1" si="128"/>
        <v>202.60127384164107</v>
      </c>
      <c r="I287" s="357">
        <f t="shared" ca="1" si="129"/>
        <v>207.89636096124593</v>
      </c>
      <c r="J287" s="359">
        <f t="shared" ca="1" si="130"/>
        <v>65.606939025265092</v>
      </c>
      <c r="K287" s="360">
        <f t="shared" ca="1" si="131"/>
        <v>303.65283376805917</v>
      </c>
      <c r="L287" s="357">
        <f t="shared" ca="1" si="116"/>
        <v>310.65948223680124</v>
      </c>
      <c r="M287" s="359">
        <f t="shared" ca="1" si="132"/>
        <v>1.3446163120587582</v>
      </c>
      <c r="N287" s="357">
        <f t="shared" ca="1" si="133"/>
        <v>77.040839745412512</v>
      </c>
      <c r="O287" s="343"/>
      <c r="P287" s="363">
        <f t="shared" ca="1" si="134"/>
        <v>9</v>
      </c>
      <c r="Q287" s="357">
        <f t="shared" ca="1" si="135"/>
        <v>764.52500000000339</v>
      </c>
      <c r="R287" s="359">
        <f t="shared" ca="1" si="136"/>
        <v>0.38297523674933381</v>
      </c>
      <c r="S287" s="360">
        <f t="shared" ca="1" si="137"/>
        <v>10.262188291557553</v>
      </c>
      <c r="T287" s="357">
        <f t="shared" ca="1" si="117"/>
        <v>100.67206714017961</v>
      </c>
      <c r="U287" s="364">
        <f t="shared" ca="1" si="118"/>
        <v>0</v>
      </c>
      <c r="V287" s="359">
        <f t="shared" ca="1" si="119"/>
        <v>1.1883588375046268</v>
      </c>
      <c r="W287" s="357">
        <f t="shared" ca="1" si="120"/>
        <v>116.25750358457306</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303.65283376805917</v>
      </c>
      <c r="AF287" s="344"/>
      <c r="AG287" s="359">
        <f t="shared" ca="1" si="143"/>
        <v>53.666251001709412</v>
      </c>
      <c r="AH287" s="357">
        <f t="shared" ca="1" si="144"/>
        <v>63.226624506561087</v>
      </c>
    </row>
    <row r="288" spans="1:34" x14ac:dyDescent="0.25">
      <c r="A288" s="402">
        <f t="shared" ca="1" si="122"/>
        <v>0.01</v>
      </c>
      <c r="B288" s="357">
        <f t="shared" ca="1" si="123"/>
        <v>2.8399999999999834</v>
      </c>
      <c r="C288" s="342"/>
      <c r="D288" s="359">
        <f t="shared" ca="1" si="124"/>
        <v>14.134583983101269</v>
      </c>
      <c r="E288" s="360">
        <f t="shared" ca="1" si="125"/>
        <v>51.613324365366999</v>
      </c>
      <c r="F288" s="357">
        <f t="shared" ca="1" si="126"/>
        <v>53.513752591459422</v>
      </c>
      <c r="G288" s="359">
        <f t="shared" ca="1" si="127"/>
        <v>46.763451526651131</v>
      </c>
      <c r="H288" s="360">
        <f t="shared" ca="1" si="128"/>
        <v>203.11740708529476</v>
      </c>
      <c r="I288" s="357">
        <f t="shared" ca="1" si="129"/>
        <v>208.4310472548147</v>
      </c>
      <c r="J288" s="359">
        <f t="shared" ca="1" si="130"/>
        <v>66.073866811332451</v>
      </c>
      <c r="K288" s="360">
        <f t="shared" ca="1" si="131"/>
        <v>305.68142717269387</v>
      </c>
      <c r="L288" s="357">
        <f t="shared" ca="1" si="116"/>
        <v>312.74093239251022</v>
      </c>
      <c r="M288" s="359">
        <f t="shared" ca="1" si="132"/>
        <v>1.3445107636732512</v>
      </c>
      <c r="N288" s="357">
        <f t="shared" ca="1" si="133"/>
        <v>77.034792268388529</v>
      </c>
      <c r="O288" s="343"/>
      <c r="P288" s="363">
        <f t="shared" ca="1" si="134"/>
        <v>10</v>
      </c>
      <c r="Q288" s="357">
        <f t="shared" ca="1" si="135"/>
        <v>762.8285714285737</v>
      </c>
      <c r="R288" s="359">
        <f t="shared" ca="1" si="136"/>
        <v>0.38212544094962603</v>
      </c>
      <c r="S288" s="360">
        <f t="shared" ca="1" si="137"/>
        <v>10.258367037148057</v>
      </c>
      <c r="T288" s="357">
        <f t="shared" ca="1" si="117"/>
        <v>100.63458063442245</v>
      </c>
      <c r="U288" s="364">
        <f t="shared" ca="1" si="118"/>
        <v>0</v>
      </c>
      <c r="V288" s="359">
        <f t="shared" ca="1" si="119"/>
        <v>1.1881177363212785</v>
      </c>
      <c r="W288" s="357">
        <f t="shared" ca="1" si="120"/>
        <v>116.83256680958016</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305.68142717269387</v>
      </c>
      <c r="AF288" s="344"/>
      <c r="AG288" s="359">
        <f t="shared" ca="1" si="143"/>
        <v>53.468513255971182</v>
      </c>
      <c r="AH288" s="357">
        <f t="shared" ca="1" si="144"/>
        <v>63.028654122299251</v>
      </c>
    </row>
    <row r="289" spans="1:34" x14ac:dyDescent="0.25">
      <c r="A289" s="402">
        <f t="shared" ca="1" si="122"/>
        <v>0.01</v>
      </c>
      <c r="B289" s="357">
        <f t="shared" ca="1" si="123"/>
        <v>2.8499999999999832</v>
      </c>
      <c r="C289" s="342"/>
      <c r="D289" s="359">
        <f t="shared" ca="1" si="124"/>
        <v>14.10436510875569</v>
      </c>
      <c r="E289" s="360">
        <f t="shared" ca="1" si="125"/>
        <v>51.452417036134378</v>
      </c>
      <c r="F289" s="357">
        <f t="shared" ca="1" si="126"/>
        <v>53.350579509330323</v>
      </c>
      <c r="G289" s="359">
        <f t="shared" ca="1" si="127"/>
        <v>46.904495177738688</v>
      </c>
      <c r="H289" s="360">
        <f t="shared" ca="1" si="128"/>
        <v>203.6319312556561</v>
      </c>
      <c r="I289" s="357">
        <f t="shared" ca="1" si="129"/>
        <v>208.96410001430093</v>
      </c>
      <c r="J289" s="359">
        <f t="shared" ca="1" si="130"/>
        <v>66.542206544854395</v>
      </c>
      <c r="K289" s="360">
        <f t="shared" ca="1" si="131"/>
        <v>307.71517386439865</v>
      </c>
      <c r="L289" s="357">
        <f t="shared" ca="1" si="116"/>
        <v>314.82772031423019</v>
      </c>
      <c r="M289" s="359">
        <f t="shared" ca="1" si="132"/>
        <v>1.3444054362463038</v>
      </c>
      <c r="N289" s="357">
        <f t="shared" ca="1" si="133"/>
        <v>77.028757451357478</v>
      </c>
      <c r="O289" s="343"/>
      <c r="P289" s="363">
        <f t="shared" ca="1" si="134"/>
        <v>10</v>
      </c>
      <c r="Q289" s="357">
        <f t="shared" ca="1" si="135"/>
        <v>761.48571428571654</v>
      </c>
      <c r="R289" s="359">
        <f t="shared" ca="1" si="136"/>
        <v>0.38145276048501564</v>
      </c>
      <c r="S289" s="360">
        <f t="shared" ca="1" si="137"/>
        <v>10.254552509543206</v>
      </c>
      <c r="T289" s="357">
        <f t="shared" ca="1" si="117"/>
        <v>100.59716011861886</v>
      </c>
      <c r="U289" s="364">
        <f t="shared" ca="1" si="118"/>
        <v>0</v>
      </c>
      <c r="V289" s="359">
        <f t="shared" ca="1" si="119"/>
        <v>1.1878760710147229</v>
      </c>
      <c r="W289" s="357">
        <f t="shared" ca="1" si="120"/>
        <v>117.40703306666488</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307.71517386439865</v>
      </c>
      <c r="AF289" s="344"/>
      <c r="AG289" s="359">
        <f t="shared" ca="1" si="143"/>
        <v>53.30516003762822</v>
      </c>
      <c r="AH289" s="357">
        <f t="shared" ca="1" si="144"/>
        <v>62.865068648895409</v>
      </c>
    </row>
    <row r="290" spans="1:34" x14ac:dyDescent="0.25">
      <c r="A290" s="402">
        <f t="shared" ca="1" si="122"/>
        <v>0.01</v>
      </c>
      <c r="B290" s="357">
        <f t="shared" ca="1" si="123"/>
        <v>2.859999999999983</v>
      </c>
      <c r="C290" s="342"/>
      <c r="D290" s="359">
        <f t="shared" ca="1" si="124"/>
        <v>14.074075432778084</v>
      </c>
      <c r="E290" s="360">
        <f t="shared" ca="1" si="125"/>
        <v>51.291417895114328</v>
      </c>
      <c r="F290" s="357">
        <f t="shared" ca="1" si="126"/>
        <v>53.187302516472691</v>
      </c>
      <c r="G290" s="359">
        <f t="shared" ca="1" si="127"/>
        <v>47.045235932066468</v>
      </c>
      <c r="H290" s="360">
        <f t="shared" ca="1" si="128"/>
        <v>204.14484543460725</v>
      </c>
      <c r="I290" s="357">
        <f t="shared" ca="1" si="129"/>
        <v>209.4955181893481</v>
      </c>
      <c r="J290" s="359">
        <f t="shared" ca="1" si="130"/>
        <v>67.01195520040342</v>
      </c>
      <c r="K290" s="360">
        <f t="shared" ca="1" si="131"/>
        <v>309.75405774784997</v>
      </c>
      <c r="L290" s="357">
        <f t="shared" ca="1" si="116"/>
        <v>316.91982965892061</v>
      </c>
      <c r="M290" s="359">
        <f t="shared" ca="1" si="132"/>
        <v>1.3443003279353827</v>
      </c>
      <c r="N290" s="357">
        <f t="shared" ca="1" si="133"/>
        <v>77.022735188749948</v>
      </c>
      <c r="O290" s="343"/>
      <c r="P290" s="363">
        <f t="shared" ca="1" si="134"/>
        <v>10</v>
      </c>
      <c r="Q290" s="357">
        <f t="shared" ca="1" si="135"/>
        <v>760.14285714285938</v>
      </c>
      <c r="R290" s="359">
        <f t="shared" ca="1" si="136"/>
        <v>0.38078008002040525</v>
      </c>
      <c r="S290" s="360">
        <f t="shared" ca="1" si="137"/>
        <v>10.250744708743001</v>
      </c>
      <c r="T290" s="357">
        <f t="shared" ca="1" si="117"/>
        <v>100.55980559276885</v>
      </c>
      <c r="U290" s="364">
        <f t="shared" ca="1" si="118"/>
        <v>0</v>
      </c>
      <c r="V290" s="359">
        <f t="shared" ca="1" si="119"/>
        <v>1.1876338438503777</v>
      </c>
      <c r="W290" s="357">
        <f t="shared" ca="1" si="120"/>
        <v>117.98088668287429</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309.75405774784997</v>
      </c>
      <c r="AF290" s="344"/>
      <c r="AG290" s="359">
        <f t="shared" ca="1" si="143"/>
        <v>53.1417017819374</v>
      </c>
      <c r="AH290" s="357">
        <f t="shared" ca="1" si="144"/>
        <v>62.701378518186708</v>
      </c>
    </row>
    <row r="291" spans="1:34" x14ac:dyDescent="0.25">
      <c r="A291" s="402">
        <f t="shared" ca="1" si="122"/>
        <v>0.01</v>
      </c>
      <c r="B291" s="357">
        <f t="shared" ca="1" si="123"/>
        <v>2.8699999999999828</v>
      </c>
      <c r="C291" s="342"/>
      <c r="D291" s="359">
        <f t="shared" ca="1" si="124"/>
        <v>14.043715532769729</v>
      </c>
      <c r="E291" s="360">
        <f t="shared" ca="1" si="125"/>
        <v>51.130328600004489</v>
      </c>
      <c r="F291" s="357">
        <f t="shared" ca="1" si="126"/>
        <v>53.023923362099438</v>
      </c>
      <c r="G291" s="359">
        <f t="shared" ca="1" si="127"/>
        <v>47.185673087394164</v>
      </c>
      <c r="H291" s="360">
        <f t="shared" ca="1" si="128"/>
        <v>204.65614872060729</v>
      </c>
      <c r="I291" s="357">
        <f t="shared" ca="1" si="129"/>
        <v>210.02530074698564</v>
      </c>
      <c r="J291" s="359">
        <f t="shared" ca="1" si="130"/>
        <v>67.483109745500727</v>
      </c>
      <c r="K291" s="360">
        <f t="shared" ca="1" si="131"/>
        <v>311.79806271862606</v>
      </c>
      <c r="L291" s="357">
        <f t="shared" ca="1" si="116"/>
        <v>319.01724407312463</v>
      </c>
      <c r="M291" s="359">
        <f t="shared" ca="1" si="132"/>
        <v>1.3441954369156961</v>
      </c>
      <c r="N291" s="357">
        <f t="shared" ca="1" si="133"/>
        <v>77.016725376013085</v>
      </c>
      <c r="O291" s="343"/>
      <c r="P291" s="363">
        <f t="shared" ca="1" si="134"/>
        <v>10</v>
      </c>
      <c r="Q291" s="357">
        <f t="shared" ca="1" si="135"/>
        <v>758.80000000000234</v>
      </c>
      <c r="R291" s="359">
        <f t="shared" ca="1" si="136"/>
        <v>0.38010739955579492</v>
      </c>
      <c r="S291" s="360">
        <f t="shared" ca="1" si="137"/>
        <v>10.246943634747444</v>
      </c>
      <c r="T291" s="357">
        <f t="shared" ca="1" si="117"/>
        <v>100.52251705687243</v>
      </c>
      <c r="U291" s="364">
        <f t="shared" ca="1" si="118"/>
        <v>0</v>
      </c>
      <c r="V291" s="359">
        <f t="shared" ca="1" si="119"/>
        <v>1.187391057093919</v>
      </c>
      <c r="W291" s="357">
        <f t="shared" ca="1" si="120"/>
        <v>118.55411205383623</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311.79806271862606</v>
      </c>
      <c r="AF291" s="344"/>
      <c r="AG291" s="359">
        <f t="shared" ca="1" si="143"/>
        <v>52.978140227511993</v>
      </c>
      <c r="AH291" s="357">
        <f t="shared" ca="1" si="144"/>
        <v>62.537585465397392</v>
      </c>
    </row>
    <row r="292" spans="1:34" x14ac:dyDescent="0.25">
      <c r="A292" s="402">
        <f t="shared" ca="1" si="122"/>
        <v>0.01</v>
      </c>
      <c r="B292" s="357">
        <f t="shared" ca="1" si="123"/>
        <v>2.8799999999999826</v>
      </c>
      <c r="C292" s="342"/>
      <c r="D292" s="359">
        <f t="shared" ca="1" si="124"/>
        <v>14.013285984067236</v>
      </c>
      <c r="E292" s="360">
        <f t="shared" ca="1" si="125"/>
        <v>50.969150805116719</v>
      </c>
      <c r="F292" s="357">
        <f t="shared" ca="1" si="126"/>
        <v>52.860443791799419</v>
      </c>
      <c r="G292" s="359">
        <f t="shared" ca="1" si="127"/>
        <v>47.325805947234834</v>
      </c>
      <c r="H292" s="360">
        <f t="shared" ca="1" si="128"/>
        <v>205.16584022865845</v>
      </c>
      <c r="I292" s="357">
        <f t="shared" ca="1" si="129"/>
        <v>210.55344667159153</v>
      </c>
      <c r="J292" s="359">
        <f t="shared" ca="1" si="130"/>
        <v>67.955667140673867</v>
      </c>
      <c r="K292" s="360">
        <f t="shared" ca="1" si="131"/>
        <v>313.84717266337236</v>
      </c>
      <c r="L292" s="357">
        <f t="shared" ca="1" si="116"/>
        <v>321.11994719314265</v>
      </c>
      <c r="M292" s="359">
        <f t="shared" ca="1" si="132"/>
        <v>1.3440907613799498</v>
      </c>
      <c r="N292" s="357">
        <f t="shared" ca="1" si="133"/>
        <v>77.01072790959654</v>
      </c>
      <c r="O292" s="343"/>
      <c r="P292" s="363">
        <f t="shared" ca="1" si="134"/>
        <v>10</v>
      </c>
      <c r="Q292" s="357">
        <f t="shared" ca="1" si="135"/>
        <v>757.45714285714519</v>
      </c>
      <c r="R292" s="359">
        <f t="shared" ca="1" si="136"/>
        <v>0.37943471909118454</v>
      </c>
      <c r="S292" s="360">
        <f t="shared" ca="1" si="137"/>
        <v>10.243149287556532</v>
      </c>
      <c r="T292" s="357">
        <f t="shared" ca="1" si="117"/>
        <v>100.48529451092959</v>
      </c>
      <c r="U292" s="364">
        <f t="shared" ca="1" si="118"/>
        <v>0</v>
      </c>
      <c r="V292" s="359">
        <f t="shared" ca="1" si="119"/>
        <v>1.18714771301125</v>
      </c>
      <c r="W292" s="357">
        <f t="shared" ca="1" si="120"/>
        <v>119.12669364406757</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313.84717266337236</v>
      </c>
      <c r="AF292" s="344"/>
      <c r="AG292" s="359">
        <f t="shared" ca="1" si="143"/>
        <v>52.814477109223184</v>
      </c>
      <c r="AH292" s="357">
        <f t="shared" ca="1" si="144"/>
        <v>62.373691222039888</v>
      </c>
    </row>
    <row r="293" spans="1:34" x14ac:dyDescent="0.25">
      <c r="A293" s="402">
        <f t="shared" ca="1" si="122"/>
        <v>0.01</v>
      </c>
      <c r="B293" s="357">
        <f t="shared" ca="1" si="123"/>
        <v>2.8899999999999824</v>
      </c>
      <c r="C293" s="342"/>
      <c r="D293" s="359">
        <f t="shared" ca="1" si="124"/>
        <v>13.982787359753544</v>
      </c>
      <c r="E293" s="360">
        <f t="shared" ca="1" si="125"/>
        <v>50.807886161326337</v>
      </c>
      <c r="F293" s="357">
        <f t="shared" ca="1" si="126"/>
        <v>52.696865547491342</v>
      </c>
      <c r="G293" s="359">
        <f t="shared" ca="1" si="127"/>
        <v>47.465633820832366</v>
      </c>
      <c r="H293" s="360">
        <f t="shared" ca="1" si="128"/>
        <v>205.67391909027171</v>
      </c>
      <c r="I293" s="357">
        <f t="shared" ca="1" si="129"/>
        <v>211.07995496485444</v>
      </c>
      <c r="J293" s="359">
        <f t="shared" ca="1" si="130"/>
        <v>68.429624339514206</v>
      </c>
      <c r="K293" s="360">
        <f t="shared" ca="1" si="131"/>
        <v>315.90137145996704</v>
      </c>
      <c r="L293" s="357">
        <f t="shared" ca="1" si="116"/>
        <v>323.22792264520575</v>
      </c>
      <c r="M293" s="359">
        <f t="shared" ca="1" si="132"/>
        <v>1.3439862995381091</v>
      </c>
      <c r="N293" s="357">
        <f t="shared" ca="1" si="133"/>
        <v>77.004742686938911</v>
      </c>
      <c r="O293" s="343"/>
      <c r="P293" s="363">
        <f t="shared" ca="1" si="134"/>
        <v>10</v>
      </c>
      <c r="Q293" s="357">
        <f t="shared" ca="1" si="135"/>
        <v>756.11428571428803</v>
      </c>
      <c r="R293" s="359">
        <f t="shared" ca="1" si="136"/>
        <v>0.37876203862657415</v>
      </c>
      <c r="S293" s="360">
        <f t="shared" ca="1" si="137"/>
        <v>10.239361667170266</v>
      </c>
      <c r="T293" s="357">
        <f t="shared" ca="1" si="117"/>
        <v>100.44813795494032</v>
      </c>
      <c r="U293" s="364">
        <f t="shared" ca="1" si="118"/>
        <v>0</v>
      </c>
      <c r="V293" s="359">
        <f t="shared" ca="1" si="119"/>
        <v>1.1869038138684713</v>
      </c>
      <c r="W293" s="357">
        <f t="shared" ca="1" si="120"/>
        <v>119.69861598727731</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315.90137145996704</v>
      </c>
      <c r="AF293" s="344"/>
      <c r="AG293" s="359">
        <f t="shared" ca="1" si="143"/>
        <v>52.650714158152113</v>
      </c>
      <c r="AH293" s="357">
        <f t="shared" ca="1" si="144"/>
        <v>62.209697515866466</v>
      </c>
    </row>
    <row r="294" spans="1:34" x14ac:dyDescent="0.25">
      <c r="A294" s="402">
        <f t="shared" ca="1" si="122"/>
        <v>0.01</v>
      </c>
      <c r="B294" s="357">
        <f t="shared" ca="1" si="123"/>
        <v>2.8999999999999821</v>
      </c>
      <c r="C294" s="342"/>
      <c r="D294" s="359">
        <f t="shared" ca="1" si="124"/>
        <v>13.952220230668402</v>
      </c>
      <c r="E294" s="360">
        <f t="shared" ca="1" si="125"/>
        <v>50.64653631602183</v>
      </c>
      <c r="F294" s="357">
        <f t="shared" ca="1" si="126"/>
        <v>52.533190367378133</v>
      </c>
      <c r="G294" s="359">
        <f t="shared" ca="1" si="127"/>
        <v>47.605156023139052</v>
      </c>
      <c r="H294" s="360">
        <f t="shared" ca="1" si="128"/>
        <v>206.18038445343194</v>
      </c>
      <c r="I294" s="357">
        <f t="shared" ca="1" si="129"/>
        <v>211.60482464573536</v>
      </c>
      <c r="J294" s="359">
        <f t="shared" ca="1" si="130"/>
        <v>68.904978288734057</v>
      </c>
      <c r="K294" s="360">
        <f t="shared" ca="1" si="131"/>
        <v>317.96064297768555</v>
      </c>
      <c r="L294" s="357">
        <f t="shared" ca="1" si="116"/>
        <v>325.34115404564812</v>
      </c>
      <c r="M294" s="359">
        <f t="shared" ca="1" si="132"/>
        <v>1.3438820496171642</v>
      </c>
      <c r="N294" s="357">
        <f t="shared" ca="1" si="133"/>
        <v>76.998769606454204</v>
      </c>
      <c r="O294" s="343"/>
      <c r="P294" s="363">
        <f t="shared" ca="1" si="134"/>
        <v>10</v>
      </c>
      <c r="Q294" s="357">
        <f t="shared" ca="1" si="135"/>
        <v>754.77142857143099</v>
      </c>
      <c r="R294" s="359">
        <f t="shared" ca="1" si="136"/>
        <v>0.37808935816196387</v>
      </c>
      <c r="S294" s="360">
        <f t="shared" ca="1" si="137"/>
        <v>10.235580773588646</v>
      </c>
      <c r="T294" s="357">
        <f t="shared" ca="1" si="117"/>
        <v>100.41104738890462</v>
      </c>
      <c r="U294" s="364">
        <f t="shared" ca="1" si="118"/>
        <v>0</v>
      </c>
      <c r="V294" s="359">
        <f t="shared" ca="1" si="119"/>
        <v>1.1866593619318497</v>
      </c>
      <c r="W294" s="357">
        <f t="shared" ca="1" si="120"/>
        <v>120.26986368666529</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317.96064297768555</v>
      </c>
      <c r="AF294" s="344"/>
      <c r="AG294" s="359">
        <f t="shared" ca="1" si="143"/>
        <v>52.486853101542394</v>
      </c>
      <c r="AH294" s="357">
        <f t="shared" ca="1" si="144"/>
        <v>62.045606070821322</v>
      </c>
    </row>
    <row r="295" spans="1:34" x14ac:dyDescent="0.25">
      <c r="A295" s="402">
        <f t="shared" ca="1" si="122"/>
        <v>0.01</v>
      </c>
      <c r="B295" s="357">
        <f t="shared" ca="1" si="123"/>
        <v>2.9099999999999819</v>
      </c>
      <c r="C295" s="342"/>
      <c r="D295" s="359">
        <f t="shared" ca="1" si="124"/>
        <v>13.921585165418612</v>
      </c>
      <c r="E295" s="360">
        <f t="shared" ca="1" si="125"/>
        <v>50.485102913054902</v>
      </c>
      <c r="F295" s="357">
        <f t="shared" ca="1" si="126"/>
        <v>52.36941998590158</v>
      </c>
      <c r="G295" s="359">
        <f t="shared" ca="1" si="127"/>
        <v>47.744371874793238</v>
      </c>
      <c r="H295" s="360">
        <f t="shared" ca="1" si="128"/>
        <v>206.68523548256249</v>
      </c>
      <c r="I295" s="357">
        <f t="shared" ca="1" si="129"/>
        <v>212.12805475042865</v>
      </c>
      <c r="J295" s="359">
        <f t="shared" ca="1" si="130"/>
        <v>69.381725928223716</v>
      </c>
      <c r="K295" s="360">
        <f t="shared" ca="1" si="131"/>
        <v>320.02497107736554</v>
      </c>
      <c r="L295" s="357">
        <f t="shared" ca="1" si="116"/>
        <v>327.45962500107981</v>
      </c>
      <c r="M295" s="359">
        <f t="shared" ca="1" si="132"/>
        <v>1.3437780098608989</v>
      </c>
      <c r="N295" s="357">
        <f t="shared" ca="1" si="133"/>
        <v>76.992808567518622</v>
      </c>
      <c r="O295" s="343"/>
      <c r="P295" s="363">
        <f t="shared" ca="1" si="134"/>
        <v>10</v>
      </c>
      <c r="Q295" s="357">
        <f t="shared" ca="1" si="135"/>
        <v>753.42857142857383</v>
      </c>
      <c r="R295" s="359">
        <f t="shared" ca="1" si="136"/>
        <v>0.37741667769735349</v>
      </c>
      <c r="S295" s="360">
        <f t="shared" ca="1" si="137"/>
        <v>10.231806606811672</v>
      </c>
      <c r="T295" s="357">
        <f t="shared" ca="1" si="117"/>
        <v>100.3740228128225</v>
      </c>
      <c r="U295" s="364">
        <f t="shared" ca="1" si="118"/>
        <v>0</v>
      </c>
      <c r="V295" s="359">
        <f t="shared" ca="1" si="119"/>
        <v>1.1864143594677889</v>
      </c>
      <c r="W295" s="357">
        <f t="shared" ca="1" si="120"/>
        <v>120.84042141521572</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320.02497107736554</v>
      </c>
      <c r="AF295" s="344"/>
      <c r="AG295" s="359">
        <f t="shared" ca="1" si="143"/>
        <v>52.322895662752771</v>
      </c>
      <c r="AH295" s="357">
        <f t="shared" ca="1" si="144"/>
        <v>61.881418606992888</v>
      </c>
    </row>
    <row r="296" spans="1:34" x14ac:dyDescent="0.25">
      <c r="A296" s="402">
        <f t="shared" ca="1" si="122"/>
        <v>0.01</v>
      </c>
      <c r="B296" s="357">
        <f t="shared" ca="1" si="123"/>
        <v>2.9199999999999817</v>
      </c>
      <c r="C296" s="342"/>
      <c r="D296" s="359">
        <f t="shared" ca="1" si="124"/>
        <v>13.890882730387979</v>
      </c>
      <c r="E296" s="360">
        <f t="shared" ca="1" si="125"/>
        <v>50.323587592691169</v>
      </c>
      <c r="F296" s="357">
        <f t="shared" ca="1" si="126"/>
        <v>52.205556133697606</v>
      </c>
      <c r="G296" s="359">
        <f t="shared" ca="1" si="127"/>
        <v>47.883280702097117</v>
      </c>
      <c r="H296" s="360">
        <f t="shared" ca="1" si="128"/>
        <v>207.18847135848941</v>
      </c>
      <c r="I296" s="357">
        <f t="shared" ca="1" si="129"/>
        <v>212.64964433232285</v>
      </c>
      <c r="J296" s="359">
        <f t="shared" ca="1" si="130"/>
        <v>69.859864191108173</v>
      </c>
      <c r="K296" s="360">
        <f t="shared" ca="1" si="131"/>
        <v>322.09433961157077</v>
      </c>
      <c r="L296" s="357">
        <f t="shared" ca="1" si="116"/>
        <v>329.58331910855861</v>
      </c>
      <c r="M296" s="359">
        <f t="shared" ca="1" si="132"/>
        <v>1.3436741785296642</v>
      </c>
      <c r="N296" s="357">
        <f t="shared" ca="1" si="133"/>
        <v>76.986859470457659</v>
      </c>
      <c r="O296" s="343"/>
      <c r="P296" s="363">
        <f t="shared" ca="1" si="134"/>
        <v>10</v>
      </c>
      <c r="Q296" s="357">
        <f t="shared" ca="1" si="135"/>
        <v>752.08571428571679</v>
      </c>
      <c r="R296" s="359">
        <f t="shared" ca="1" si="136"/>
        <v>0.37674399723274316</v>
      </c>
      <c r="S296" s="360">
        <f t="shared" ca="1" si="137"/>
        <v>10.228039166839345</v>
      </c>
      <c r="T296" s="357">
        <f t="shared" ca="1" si="117"/>
        <v>100.33706422669398</v>
      </c>
      <c r="U296" s="364">
        <f t="shared" ca="1" si="118"/>
        <v>0</v>
      </c>
      <c r="V296" s="359">
        <f t="shared" ca="1" si="119"/>
        <v>1.1861688087427988</v>
      </c>
      <c r="W296" s="357">
        <f t="shared" ca="1" si="120"/>
        <v>121.41027391598631</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322.09433961157077</v>
      </c>
      <c r="AF296" s="344"/>
      <c r="AG296" s="359">
        <f t="shared" ca="1" si="143"/>
        <v>52.158843561210581</v>
      </c>
      <c r="AH296" s="357">
        <f t="shared" ca="1" si="144"/>
        <v>61.717136840566837</v>
      </c>
    </row>
    <row r="297" spans="1:34" x14ac:dyDescent="0.25">
      <c r="A297" s="402">
        <f t="shared" ca="1" si="122"/>
        <v>0.01</v>
      </c>
      <c r="B297" s="357">
        <f t="shared" ca="1" si="123"/>
        <v>2.9299999999999815</v>
      </c>
      <c r="C297" s="342"/>
      <c r="D297" s="359">
        <f t="shared" ca="1" si="124"/>
        <v>13.860113489746919</v>
      </c>
      <c r="E297" s="360">
        <f t="shared" ca="1" si="125"/>
        <v>50.161991991561138</v>
      </c>
      <c r="F297" s="357">
        <f t="shared" ca="1" si="126"/>
        <v>52.041600537551766</v>
      </c>
      <c r="G297" s="359">
        <f t="shared" ca="1" si="127"/>
        <v>48.021881836994588</v>
      </c>
      <c r="H297" s="360">
        <f t="shared" ca="1" si="128"/>
        <v>207.69009127840502</v>
      </c>
      <c r="I297" s="357">
        <f t="shared" ca="1" si="129"/>
        <v>213.16959246196086</v>
      </c>
      <c r="J297" s="359">
        <f t="shared" ca="1" si="130"/>
        <v>70.339390003803629</v>
      </c>
      <c r="K297" s="360">
        <f t="shared" ca="1" si="131"/>
        <v>324.16873242475526</v>
      </c>
      <c r="L297" s="357">
        <f t="shared" ca="1" si="116"/>
        <v>331.7122199557619</v>
      </c>
      <c r="M297" s="359">
        <f t="shared" ca="1" si="132"/>
        <v>1.3435705539001546</v>
      </c>
      <c r="N297" s="357">
        <f t="shared" ca="1" si="133"/>
        <v>76.980922216533145</v>
      </c>
      <c r="O297" s="343"/>
      <c r="P297" s="363">
        <f t="shared" ca="1" si="134"/>
        <v>10</v>
      </c>
      <c r="Q297" s="357">
        <f t="shared" ca="1" si="135"/>
        <v>750.74285714285963</v>
      </c>
      <c r="R297" s="359">
        <f t="shared" ca="1" si="136"/>
        <v>0.37607131676813277</v>
      </c>
      <c r="S297" s="360">
        <f t="shared" ca="1" si="137"/>
        <v>10.224278453671664</v>
      </c>
      <c r="T297" s="357">
        <f t="shared" ca="1" si="117"/>
        <v>100.30017163051903</v>
      </c>
      <c r="U297" s="364">
        <f t="shared" ca="1" si="118"/>
        <v>0</v>
      </c>
      <c r="V297" s="359">
        <f t="shared" ca="1" si="119"/>
        <v>1.1859227120234652</v>
      </c>
      <c r="W297" s="357">
        <f t="shared" ca="1" si="120"/>
        <v>121.9794060023923</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324.16873242475526</v>
      </c>
      <c r="AF297" s="344"/>
      <c r="AG297" s="359">
        <f t="shared" ca="1" si="143"/>
        <v>51.99469851236519</v>
      </c>
      <c r="AH297" s="357">
        <f t="shared" ca="1" si="144"/>
        <v>61.552762483779212</v>
      </c>
    </row>
    <row r="298" spans="1:34" x14ac:dyDescent="0.25">
      <c r="A298" s="402">
        <f t="shared" ca="1" si="122"/>
        <v>0.01</v>
      </c>
      <c r="B298" s="357">
        <f t="shared" ca="1" si="123"/>
        <v>2.9399999999999813</v>
      </c>
      <c r="C298" s="342"/>
      <c r="D298" s="359">
        <f t="shared" ca="1" si="124"/>
        <v>13.829278005461815</v>
      </c>
      <c r="E298" s="360">
        <f t="shared" ca="1" si="125"/>
        <v>50.000317742611784</v>
      </c>
      <c r="F298" s="357">
        <f t="shared" ca="1" si="126"/>
        <v>51.877554920355387</v>
      </c>
      <c r="G298" s="359">
        <f t="shared" ca="1" si="127"/>
        <v>48.160174617049208</v>
      </c>
      <c r="H298" s="360">
        <f t="shared" ca="1" si="128"/>
        <v>208.19009445583114</v>
      </c>
      <c r="I298" s="357">
        <f t="shared" ca="1" si="129"/>
        <v>213.68789822699966</v>
      </c>
      <c r="J298" s="359">
        <f t="shared" ca="1" si="130"/>
        <v>70.820300286073845</v>
      </c>
      <c r="K298" s="360">
        <f t="shared" ca="1" si="131"/>
        <v>326.24813335342645</v>
      </c>
      <c r="L298" s="357">
        <f t="shared" ca="1" si="116"/>
        <v>333.84631112115767</v>
      </c>
      <c r="M298" s="359">
        <f t="shared" ca="1" si="132"/>
        <v>1.3434671342651887</v>
      </c>
      <c r="N298" s="357">
        <f t="shared" ca="1" si="133"/>
        <v>76.974996707930813</v>
      </c>
      <c r="O298" s="343"/>
      <c r="P298" s="363">
        <f t="shared" ca="1" si="134"/>
        <v>10</v>
      </c>
      <c r="Q298" s="357">
        <f t="shared" ca="1" si="135"/>
        <v>749.40000000000248</v>
      </c>
      <c r="R298" s="359">
        <f t="shared" ca="1" si="136"/>
        <v>0.37539863630352238</v>
      </c>
      <c r="S298" s="360">
        <f t="shared" ca="1" si="137"/>
        <v>10.220524467308628</v>
      </c>
      <c r="T298" s="357">
        <f t="shared" ca="1" si="117"/>
        <v>100.26334502429765</v>
      </c>
      <c r="U298" s="364">
        <f t="shared" ca="1" si="118"/>
        <v>0</v>
      </c>
      <c r="V298" s="359">
        <f t="shared" ca="1" si="119"/>
        <v>1.1856760715764212</v>
      </c>
      <c r="W298" s="357">
        <f t="shared" ca="1" si="120"/>
        <v>122.5478025584858</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326.24813335342645</v>
      </c>
      <c r="AF298" s="344"/>
      <c r="AG298" s="359">
        <f t="shared" ca="1" si="143"/>
        <v>51.830462227642144</v>
      </c>
      <c r="AH298" s="357">
        <f t="shared" ca="1" si="144"/>
        <v>61.388297244870152</v>
      </c>
    </row>
    <row r="299" spans="1:34" x14ac:dyDescent="0.25">
      <c r="A299" s="402">
        <f t="shared" ca="1" si="122"/>
        <v>0.01</v>
      </c>
      <c r="B299" s="357">
        <f t="shared" ca="1" si="123"/>
        <v>2.9499999999999811</v>
      </c>
      <c r="C299" s="342"/>
      <c r="D299" s="359">
        <f t="shared" ca="1" si="124"/>
        <v>13.798376837304062</v>
      </c>
      <c r="E299" s="360">
        <f t="shared" ca="1" si="125"/>
        <v>49.838566475058478</v>
      </c>
      <c r="F299" s="357">
        <f t="shared" ca="1" si="126"/>
        <v>51.713421001061924</v>
      </c>
      <c r="G299" s="359">
        <f t="shared" ca="1" si="127"/>
        <v>48.298158385422248</v>
      </c>
      <c r="H299" s="360">
        <f t="shared" ca="1" si="128"/>
        <v>208.68848012058172</v>
      </c>
      <c r="I299" s="357">
        <f t="shared" ca="1" si="129"/>
        <v>214.20456073216965</v>
      </c>
      <c r="J299" s="359">
        <f t="shared" ca="1" si="130"/>
        <v>71.3025919510862</v>
      </c>
      <c r="K299" s="360">
        <f t="shared" ca="1" si="131"/>
        <v>328.33252622630852</v>
      </c>
      <c r="L299" s="357">
        <f t="shared" ca="1" si="116"/>
        <v>335.98557617417549</v>
      </c>
      <c r="M299" s="359">
        <f t="shared" ca="1" si="132"/>
        <v>1.3433639179334944</v>
      </c>
      <c r="N299" s="357">
        <f t="shared" ca="1" si="133"/>
        <v>76.969082847747913</v>
      </c>
      <c r="O299" s="343"/>
      <c r="P299" s="363">
        <f t="shared" ca="1" si="134"/>
        <v>10</v>
      </c>
      <c r="Q299" s="357">
        <f t="shared" ca="1" si="135"/>
        <v>748.05714285714544</v>
      </c>
      <c r="R299" s="359">
        <f t="shared" ca="1" si="136"/>
        <v>0.37472595583891205</v>
      </c>
      <c r="S299" s="360">
        <f t="shared" ca="1" si="137"/>
        <v>10.216777207750239</v>
      </c>
      <c r="T299" s="357">
        <f t="shared" ca="1" si="117"/>
        <v>100.22658440802985</v>
      </c>
      <c r="U299" s="364">
        <f t="shared" ca="1" si="118"/>
        <v>0</v>
      </c>
      <c r="V299" s="359">
        <f t="shared" ca="1" si="119"/>
        <v>1.1854288896683163</v>
      </c>
      <c r="W299" s="357">
        <f t="shared" ca="1" si="120"/>
        <v>123.11544853923067</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328.33252622630852</v>
      </c>
      <c r="AF299" s="344"/>
      <c r="AG299" s="359">
        <f t="shared" ca="1" si="143"/>
        <v>51.666136414397513</v>
      </c>
      <c r="AH299" s="357">
        <f t="shared" ca="1" si="144"/>
        <v>61.223742828037885</v>
      </c>
    </row>
    <row r="300" spans="1:34" x14ac:dyDescent="0.25">
      <c r="A300" s="402">
        <f t="shared" ca="1" si="122"/>
        <v>0.01</v>
      </c>
      <c r="B300" s="357">
        <f t="shared" ca="1" si="123"/>
        <v>2.9599999999999809</v>
      </c>
      <c r="C300" s="342"/>
      <c r="D300" s="359">
        <f t="shared" ca="1" si="124"/>
        <v>13.767410542858793</v>
      </c>
      <c r="E300" s="360">
        <f t="shared" ca="1" si="125"/>
        <v>49.676739814337445</v>
      </c>
      <c r="F300" s="357">
        <f t="shared" ca="1" si="126"/>
        <v>51.549200494643941</v>
      </c>
      <c r="G300" s="359">
        <f t="shared" ca="1" si="127"/>
        <v>48.435832490850835</v>
      </c>
      <c r="H300" s="360">
        <f t="shared" ca="1" si="128"/>
        <v>209.18524751872508</v>
      </c>
      <c r="I300" s="357">
        <f t="shared" ca="1" si="129"/>
        <v>214.71957909923358</v>
      </c>
      <c r="J300" s="359">
        <f t="shared" ca="1" si="130"/>
        <v>71.786261905467569</v>
      </c>
      <c r="K300" s="360">
        <f t="shared" ca="1" si="131"/>
        <v>330.42189486450508</v>
      </c>
      <c r="L300" s="357">
        <f t="shared" ca="1" si="116"/>
        <v>338.12999867537695</v>
      </c>
      <c r="M300" s="359">
        <f t="shared" ca="1" si="132"/>
        <v>1.3432609032294951</v>
      </c>
      <c r="N300" s="357">
        <f t="shared" ca="1" si="133"/>
        <v>76.963180539980968</v>
      </c>
      <c r="O300" s="343"/>
      <c r="P300" s="363">
        <f t="shared" ca="1" si="134"/>
        <v>10</v>
      </c>
      <c r="Q300" s="357">
        <f t="shared" ca="1" si="135"/>
        <v>746.71428571428828</v>
      </c>
      <c r="R300" s="359">
        <f t="shared" ca="1" si="136"/>
        <v>0.37405327537430166</v>
      </c>
      <c r="S300" s="360">
        <f t="shared" ca="1" si="137"/>
        <v>10.213036674996495</v>
      </c>
      <c r="T300" s="357">
        <f t="shared" ca="1" si="117"/>
        <v>100.18988978171562</v>
      </c>
      <c r="U300" s="364">
        <f t="shared" ca="1" si="118"/>
        <v>0</v>
      </c>
      <c r="V300" s="359">
        <f t="shared" ca="1" si="119"/>
        <v>1.1851811685657871</v>
      </c>
      <c r="W300" s="357">
        <f t="shared" ca="1" si="120"/>
        <v>123.68232897077213</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330.42189486450508</v>
      </c>
      <c r="AF300" s="344"/>
      <c r="AG300" s="359">
        <f t="shared" ca="1" si="143"/>
        <v>51.501722775872736</v>
      </c>
      <c r="AH300" s="357">
        <f t="shared" ca="1" si="144"/>
        <v>61.059100933393211</v>
      </c>
    </row>
    <row r="301" spans="1:34" x14ac:dyDescent="0.25">
      <c r="A301" s="402">
        <f t="shared" ca="1" si="122"/>
        <v>0.01</v>
      </c>
      <c r="B301" s="357">
        <f t="shared" ca="1" si="123"/>
        <v>2.9699999999999807</v>
      </c>
      <c r="C301" s="342"/>
      <c r="D301" s="359">
        <f t="shared" ca="1" si="124"/>
        <v>13.736379677533458</v>
      </c>
      <c r="E301" s="360">
        <f t="shared" ca="1" si="125"/>
        <v>49.514839382058618</v>
      </c>
      <c r="F301" s="357">
        <f t="shared" ca="1" si="126"/>
        <v>51.384895112050366</v>
      </c>
      <c r="G301" s="359">
        <f t="shared" ca="1" si="127"/>
        <v>48.573196287626168</v>
      </c>
      <c r="H301" s="360">
        <f t="shared" ca="1" si="128"/>
        <v>209.68039591254566</v>
      </c>
      <c r="I301" s="357">
        <f t="shared" ca="1" si="129"/>
        <v>215.23295246694488</v>
      </c>
      <c r="J301" s="359">
        <f t="shared" ca="1" si="130"/>
        <v>72.271307049359947</v>
      </c>
      <c r="K301" s="360">
        <f t="shared" ca="1" si="131"/>
        <v>332.51622308166145</v>
      </c>
      <c r="L301" s="357">
        <f t="shared" ca="1" si="116"/>
        <v>340.27956217662575</v>
      </c>
      <c r="M301" s="359">
        <f t="shared" ca="1" si="132"/>
        <v>1.3431580884931016</v>
      </c>
      <c r="N301" s="357">
        <f t="shared" ca="1" si="133"/>
        <v>76.957289689513857</v>
      </c>
      <c r="O301" s="343"/>
      <c r="P301" s="363">
        <f t="shared" ca="1" si="134"/>
        <v>10</v>
      </c>
      <c r="Q301" s="357">
        <f t="shared" ca="1" si="135"/>
        <v>745.37142857143112</v>
      </c>
      <c r="R301" s="359">
        <f t="shared" ca="1" si="136"/>
        <v>0.37338059490969128</v>
      </c>
      <c r="S301" s="360">
        <f t="shared" ca="1" si="137"/>
        <v>10.209302869047399</v>
      </c>
      <c r="T301" s="357">
        <f t="shared" ca="1" si="117"/>
        <v>100.15326114535499</v>
      </c>
      <c r="U301" s="364">
        <f t="shared" ca="1" si="118"/>
        <v>0</v>
      </c>
      <c r="V301" s="359">
        <f t="shared" ca="1" si="119"/>
        <v>1.1849329105354285</v>
      </c>
      <c r="W301" s="357">
        <f t="shared" ca="1" si="120"/>
        <v>124.24842895070208</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332.51622308166145</v>
      </c>
      <c r="AF301" s="344"/>
      <c r="AG301" s="359">
        <f t="shared" ca="1" si="143"/>
        <v>51.337223011149852</v>
      </c>
      <c r="AH301" s="357">
        <f t="shared" ca="1" si="144"/>
        <v>60.894373256914363</v>
      </c>
    </row>
    <row r="302" spans="1:34" x14ac:dyDescent="0.25">
      <c r="A302" s="402">
        <f t="shared" ca="1" si="122"/>
        <v>0.01</v>
      </c>
      <c r="B302" s="357">
        <f t="shared" ca="1" si="123"/>
        <v>2.9799999999999804</v>
      </c>
      <c r="C302" s="342"/>
      <c r="D302" s="359">
        <f t="shared" ca="1" si="124"/>
        <v>13.705284794566033</v>
      </c>
      <c r="E302" s="360">
        <f t="shared" ca="1" si="125"/>
        <v>49.352866795959009</v>
      </c>
      <c r="F302" s="357">
        <f t="shared" ca="1" si="126"/>
        <v>51.220506560164317</v>
      </c>
      <c r="G302" s="359">
        <f t="shared" ca="1" si="127"/>
        <v>48.710249135571829</v>
      </c>
      <c r="H302" s="360">
        <f t="shared" ca="1" si="128"/>
        <v>210.17392458050526</v>
      </c>
      <c r="I302" s="357">
        <f t="shared" ca="1" si="129"/>
        <v>215.74467999100554</v>
      </c>
      <c r="J302" s="359">
        <f t="shared" ca="1" si="130"/>
        <v>72.75772427647594</v>
      </c>
      <c r="K302" s="360">
        <f t="shared" ca="1" si="131"/>
        <v>334.6154946841267</v>
      </c>
      <c r="L302" s="357">
        <f t="shared" ca="1" si="116"/>
        <v>342.43425022125712</v>
      </c>
      <c r="M302" s="359">
        <f t="shared" ca="1" si="132"/>
        <v>1.3430554720795069</v>
      </c>
      <c r="N302" s="357">
        <f t="shared" ca="1" si="133"/>
        <v>76.951410202106118</v>
      </c>
      <c r="O302" s="343"/>
      <c r="P302" s="363">
        <f t="shared" ca="1" si="134"/>
        <v>10</v>
      </c>
      <c r="Q302" s="357">
        <f t="shared" ca="1" si="135"/>
        <v>744.02857142857408</v>
      </c>
      <c r="R302" s="359">
        <f t="shared" ca="1" si="136"/>
        <v>0.372707914445081</v>
      </c>
      <c r="S302" s="360">
        <f t="shared" ca="1" si="137"/>
        <v>10.205575789902948</v>
      </c>
      <c r="T302" s="357">
        <f t="shared" ca="1" si="117"/>
        <v>100.11669849894793</v>
      </c>
      <c r="U302" s="364">
        <f t="shared" ca="1" si="118"/>
        <v>0</v>
      </c>
      <c r="V302" s="359">
        <f t="shared" ca="1" si="119"/>
        <v>1.1846841178437615</v>
      </c>
      <c r="W302" s="357">
        <f t="shared" ca="1" si="120"/>
        <v>124.81373364831903</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334.6154946841267</v>
      </c>
      <c r="AF302" s="344"/>
      <c r="AG302" s="359">
        <f t="shared" ca="1" si="143"/>
        <v>51.172638815107121</v>
      </c>
      <c r="AH302" s="357">
        <f t="shared" ca="1" si="144"/>
        <v>60.72956149040229</v>
      </c>
    </row>
    <row r="303" spans="1:34" x14ac:dyDescent="0.25">
      <c r="A303" s="402">
        <f t="shared" ca="1" si="122"/>
        <v>0.01</v>
      </c>
      <c r="B303" s="357">
        <f t="shared" ca="1" si="123"/>
        <v>2.9899999999999802</v>
      </c>
      <c r="C303" s="342"/>
      <c r="D303" s="359">
        <f t="shared" ca="1" si="124"/>
        <v>13.674126445032989</v>
      </c>
      <c r="E303" s="360">
        <f t="shared" ca="1" si="125"/>
        <v>49.190823669856549</v>
      </c>
      <c r="F303" s="357">
        <f t="shared" ca="1" si="126"/>
        <v>51.056036541761344</v>
      </c>
      <c r="G303" s="359">
        <f t="shared" ca="1" si="127"/>
        <v>48.846990400022158</v>
      </c>
      <c r="H303" s="360">
        <f t="shared" ca="1" si="128"/>
        <v>210.66583281720384</v>
      </c>
      <c r="I303" s="357">
        <f t="shared" ca="1" si="129"/>
        <v>216.25476084402379</v>
      </c>
      <c r="J303" s="359">
        <f t="shared" ca="1" si="130"/>
        <v>73.245510474153917</v>
      </c>
      <c r="K303" s="360">
        <f t="shared" ca="1" si="131"/>
        <v>336.71969347111525</v>
      </c>
      <c r="L303" s="357">
        <f t="shared" ca="1" si="116"/>
        <v>344.5940463442472</v>
      </c>
      <c r="M303" s="359">
        <f t="shared" ca="1" si="132"/>
        <v>1.3429530523589841</v>
      </c>
      <c r="N303" s="357">
        <f t="shared" ca="1" si="133"/>
        <v>76.945541984381251</v>
      </c>
      <c r="O303" s="343"/>
      <c r="P303" s="363">
        <f t="shared" ca="1" si="134"/>
        <v>10</v>
      </c>
      <c r="Q303" s="357">
        <f t="shared" ca="1" si="135"/>
        <v>742.68571428571693</v>
      </c>
      <c r="R303" s="359">
        <f t="shared" ca="1" si="136"/>
        <v>0.37203523398047061</v>
      </c>
      <c r="S303" s="360">
        <f t="shared" ca="1" si="137"/>
        <v>10.201855437563143</v>
      </c>
      <c r="T303" s="357">
        <f t="shared" ca="1" si="117"/>
        <v>100.08020184249445</v>
      </c>
      <c r="U303" s="364">
        <f t="shared" ca="1" si="118"/>
        <v>0</v>
      </c>
      <c r="V303" s="359">
        <f t="shared" ca="1" si="119"/>
        <v>1.1844347927572079</v>
      </c>
      <c r="W303" s="357">
        <f t="shared" ca="1" si="120"/>
        <v>125.37822830488432</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336.71969347111525</v>
      </c>
      <c r="AF303" s="344"/>
      <c r="AG303" s="359">
        <f t="shared" ca="1" si="143"/>
        <v>51.007971878375038</v>
      </c>
      <c r="AH303" s="357">
        <f t="shared" ca="1" si="144"/>
        <v>60.564667321436318</v>
      </c>
    </row>
    <row r="304" spans="1:34" x14ac:dyDescent="0.25">
      <c r="A304" s="402">
        <f t="shared" ca="1" si="122"/>
        <v>0.01</v>
      </c>
      <c r="B304" s="357">
        <f t="shared" ca="1" si="123"/>
        <v>2.99999999999998</v>
      </c>
      <c r="C304" s="342"/>
      <c r="D304" s="359">
        <f t="shared" ca="1" si="124"/>
        <v>13.642905177857065</v>
      </c>
      <c r="E304" s="360">
        <f t="shared" ca="1" si="125"/>
        <v>49.028711613604301</v>
      </c>
      <c r="F304" s="357">
        <f t="shared" ca="1" si="126"/>
        <v>50.891486755468016</v>
      </c>
      <c r="G304" s="359">
        <f t="shared" ca="1" si="127"/>
        <v>48.983419451800728</v>
      </c>
      <c r="H304" s="360">
        <f t="shared" ca="1" si="128"/>
        <v>211.15611993333988</v>
      </c>
      <c r="I304" s="357">
        <f t="shared" ca="1" si="129"/>
        <v>216.76319421547115</v>
      </c>
      <c r="J304" s="359">
        <f t="shared" ca="1" si="130"/>
        <v>73.734662523413036</v>
      </c>
      <c r="K304" s="360">
        <f t="shared" ca="1" si="131"/>
        <v>338.82880323486796</v>
      </c>
      <c r="L304" s="357">
        <f t="shared" ca="1" si="116"/>
        <v>346.75893407238186</v>
      </c>
      <c r="M304" s="359">
        <f t="shared" ca="1" si="132"/>
        <v>1.3428508277166871</v>
      </c>
      <c r="N304" s="357">
        <f t="shared" ca="1" si="133"/>
        <v>76.939684943815394</v>
      </c>
      <c r="O304" s="343"/>
      <c r="P304" s="363">
        <f t="shared" ca="1" si="134"/>
        <v>10</v>
      </c>
      <c r="Q304" s="357">
        <f t="shared" ca="1" si="135"/>
        <v>741.34285714285988</v>
      </c>
      <c r="R304" s="359">
        <f t="shared" ca="1" si="136"/>
        <v>0.37136255351586028</v>
      </c>
      <c r="S304" s="360">
        <f t="shared" ca="1" si="137"/>
        <v>10.198141812027984</v>
      </c>
      <c r="T304" s="357">
        <f t="shared" ca="1" si="117"/>
        <v>100.04377117599454</v>
      </c>
      <c r="U304" s="364">
        <f t="shared" ca="1" si="118"/>
        <v>0</v>
      </c>
      <c r="V304" s="359">
        <f t="shared" ca="1" si="119"/>
        <v>1.1841849375420579</v>
      </c>
      <c r="W304" s="357">
        <f t="shared" ca="1" si="120"/>
        <v>125.94189823387262</v>
      </c>
      <c r="X304" s="343"/>
      <c r="Y304" s="367" t="str">
        <f t="shared" ca="1" si="138"/>
        <v/>
      </c>
      <c r="Z304" s="368" t="str">
        <f t="shared" ca="1" si="139"/>
        <v/>
      </c>
      <c r="AA304" s="369" t="str">
        <f t="shared" ca="1" si="140"/>
        <v/>
      </c>
      <c r="AB304" s="344"/>
      <c r="AC304" s="363">
        <f t="shared" ca="1" si="141"/>
        <v>2.99999999999998</v>
      </c>
      <c r="AD304" s="376">
        <f t="shared" ca="1" si="142"/>
        <v>73.734662523413036</v>
      </c>
      <c r="AE304" s="377">
        <f t="shared" ca="1" si="121"/>
        <v>338.82880323486796</v>
      </c>
      <c r="AF304" s="344"/>
      <c r="AG304" s="359">
        <f t="shared" ca="1" si="143"/>
        <v>50.843223887292794</v>
      </c>
      <c r="AH304" s="357">
        <f t="shared" ca="1" si="144"/>
        <v>60.399692433330266</v>
      </c>
    </row>
    <row r="305" spans="1:34" x14ac:dyDescent="0.25">
      <c r="A305" s="402">
        <f t="shared" ca="1" si="122"/>
        <v>0.01</v>
      </c>
      <c r="B305" s="357">
        <f t="shared" ca="1" si="123"/>
        <v>3.0099999999999798</v>
      </c>
      <c r="C305" s="342"/>
      <c r="D305" s="359">
        <f t="shared" ca="1" si="124"/>
        <v>13.611621539814745</v>
      </c>
      <c r="E305" s="360">
        <f t="shared" ca="1" si="125"/>
        <v>48.866532233045142</v>
      </c>
      <c r="F305" s="357">
        <f t="shared" ca="1" si="126"/>
        <v>50.726858895721001</v>
      </c>
      <c r="G305" s="359">
        <f t="shared" ca="1" si="127"/>
        <v>49.119535667198875</v>
      </c>
      <c r="H305" s="360">
        <f t="shared" ca="1" si="128"/>
        <v>211.64478525567034</v>
      </c>
      <c r="I305" s="357">
        <f t="shared" ca="1" si="129"/>
        <v>217.26997931163899</v>
      </c>
      <c r="J305" s="359">
        <f t="shared" ca="1" si="130"/>
        <v>74.225177299008038</v>
      </c>
      <c r="K305" s="360">
        <f t="shared" ca="1" si="131"/>
        <v>340.94280776081303</v>
      </c>
      <c r="L305" s="357">
        <f t="shared" ca="1" si="116"/>
        <v>348.92889692442481</v>
      </c>
      <c r="M305" s="359">
        <f t="shared" ca="1" si="132"/>
        <v>1.3427487965524556</v>
      </c>
      <c r="N305" s="357">
        <f t="shared" ca="1" si="133"/>
        <v>76.933838988726123</v>
      </c>
      <c r="O305" s="343"/>
      <c r="P305" s="363">
        <f t="shared" ca="1" si="134"/>
        <v>10</v>
      </c>
      <c r="Q305" s="357">
        <f t="shared" ca="1" si="135"/>
        <v>740.00000000000273</v>
      </c>
      <c r="R305" s="359">
        <f t="shared" ca="1" si="136"/>
        <v>0.3706898730512499</v>
      </c>
      <c r="S305" s="360">
        <f t="shared" ca="1" si="137"/>
        <v>10.194434913297471</v>
      </c>
      <c r="T305" s="357">
        <f t="shared" ca="1" si="117"/>
        <v>100.00740649944819</v>
      </c>
      <c r="U305" s="364">
        <f t="shared" ca="1" si="118"/>
        <v>0</v>
      </c>
      <c r="V305" s="359">
        <f t="shared" ca="1" si="119"/>
        <v>1.1839345544644424</v>
      </c>
      <c r="W305" s="357">
        <f t="shared" ca="1" si="120"/>
        <v>126.50472882121821</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340.94280776081303</v>
      </c>
      <c r="AF305" s="344"/>
      <c r="AG305" s="359">
        <f t="shared" ca="1" si="143"/>
        <v>50.678396523865018</v>
      </c>
      <c r="AH305" s="357">
        <f t="shared" ca="1" si="144"/>
        <v>60.234638505088867</v>
      </c>
    </row>
    <row r="306" spans="1:34" x14ac:dyDescent="0.25">
      <c r="A306" s="402">
        <f t="shared" ca="1" si="122"/>
        <v>0.01</v>
      </c>
      <c r="B306" s="357">
        <f t="shared" ca="1" si="123"/>
        <v>3.0199999999999796</v>
      </c>
      <c r="C306" s="342"/>
      <c r="D306" s="359">
        <f t="shared" ca="1" si="124"/>
        <v>13.580276075543548</v>
      </c>
      <c r="E306" s="360">
        <f t="shared" ca="1" si="125"/>
        <v>48.704287129967042</v>
      </c>
      <c r="F306" s="357">
        <f t="shared" ca="1" si="126"/>
        <v>50.562154652726718</v>
      </c>
      <c r="G306" s="359">
        <f t="shared" ca="1" si="127"/>
        <v>49.255338427954307</v>
      </c>
      <c r="H306" s="360">
        <f t="shared" ca="1" si="128"/>
        <v>212.13182812697002</v>
      </c>
      <c r="I306" s="357">
        <f t="shared" ca="1" si="129"/>
        <v>217.77511535559489</v>
      </c>
      <c r="J306" s="359">
        <f t="shared" ca="1" si="130"/>
        <v>74.717051669483808</v>
      </c>
      <c r="K306" s="360">
        <f t="shared" ca="1" si="131"/>
        <v>343.06169082772624</v>
      </c>
      <c r="L306" s="357">
        <f t="shared" ca="1" si="116"/>
        <v>351.10391841128569</v>
      </c>
      <c r="M306" s="359">
        <f t="shared" ca="1" si="132"/>
        <v>1.3426469572806228</v>
      </c>
      <c r="N306" s="357">
        <f t="shared" ca="1" si="133"/>
        <v>76.928004028261427</v>
      </c>
      <c r="O306" s="343"/>
      <c r="P306" s="363">
        <f t="shared" ca="1" si="134"/>
        <v>10</v>
      </c>
      <c r="Q306" s="357">
        <f t="shared" ca="1" si="135"/>
        <v>738.65714285714557</v>
      </c>
      <c r="R306" s="359">
        <f t="shared" ca="1" si="136"/>
        <v>0.37001719258663951</v>
      </c>
      <c r="S306" s="360">
        <f t="shared" ca="1" si="137"/>
        <v>10.190734741371605</v>
      </c>
      <c r="T306" s="357">
        <f t="shared" ca="1" si="117"/>
        <v>99.97110781285545</v>
      </c>
      <c r="U306" s="364">
        <f t="shared" ca="1" si="118"/>
        <v>0</v>
      </c>
      <c r="V306" s="359">
        <f t="shared" ca="1" si="119"/>
        <v>1.1836836457903044</v>
      </c>
      <c r="W306" s="357">
        <f t="shared" ca="1" si="120"/>
        <v>127.0667055255566</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343.06169082772624</v>
      </c>
      <c r="AF306" s="344"/>
      <c r="AG306" s="359">
        <f t="shared" ca="1" si="143"/>
        <v>50.513491465719149</v>
      </c>
      <c r="AH306" s="357">
        <f t="shared" ca="1" si="144"/>
        <v>60.069507211364794</v>
      </c>
    </row>
    <row r="307" spans="1:34" x14ac:dyDescent="0.25">
      <c r="A307" s="402">
        <f t="shared" ca="1" si="122"/>
        <v>0.01</v>
      </c>
      <c r="B307" s="357">
        <f t="shared" ca="1" si="123"/>
        <v>3.0299999999999794</v>
      </c>
      <c r="C307" s="342"/>
      <c r="D307" s="359">
        <f t="shared" ca="1" si="124"/>
        <v>13.548869327549044</v>
      </c>
      <c r="E307" s="360">
        <f t="shared" ca="1" si="125"/>
        <v>48.541977902058633</v>
      </c>
      <c r="F307" s="357">
        <f t="shared" ca="1" si="126"/>
        <v>50.397375712421258</v>
      </c>
      <c r="G307" s="359">
        <f t="shared" ca="1" si="127"/>
        <v>49.390827121229798</v>
      </c>
      <c r="H307" s="360">
        <f t="shared" ca="1" si="128"/>
        <v>212.61724790599061</v>
      </c>
      <c r="I307" s="357">
        <f t="shared" ca="1" si="129"/>
        <v>218.27860158713835</v>
      </c>
      <c r="J307" s="359">
        <f t="shared" ca="1" si="130"/>
        <v>75.210282497229727</v>
      </c>
      <c r="K307" s="360">
        <f t="shared" ca="1" si="131"/>
        <v>345.18543620789103</v>
      </c>
      <c r="L307" s="357">
        <f t="shared" ca="1" si="116"/>
        <v>353.2839820361873</v>
      </c>
      <c r="M307" s="359">
        <f t="shared" ca="1" si="132"/>
        <v>1.3425453083298255</v>
      </c>
      <c r="N307" s="357">
        <f t="shared" ca="1" si="133"/>
        <v>76.922179972388804</v>
      </c>
      <c r="O307" s="343"/>
      <c r="P307" s="363">
        <f t="shared" ca="1" si="134"/>
        <v>10</v>
      </c>
      <c r="Q307" s="357">
        <f t="shared" ca="1" si="135"/>
        <v>737.31428571428853</v>
      </c>
      <c r="R307" s="359">
        <f t="shared" ca="1" si="136"/>
        <v>0.36934451212202918</v>
      </c>
      <c r="S307" s="360">
        <f t="shared" ca="1" si="137"/>
        <v>10.187041296250385</v>
      </c>
      <c r="T307" s="357">
        <f t="shared" ca="1" si="117"/>
        <v>99.934875116216276</v>
      </c>
      <c r="U307" s="364">
        <f t="shared" ca="1" si="118"/>
        <v>0</v>
      </c>
      <c r="V307" s="359">
        <f t="shared" ca="1" si="119"/>
        <v>1.1834322137853681</v>
      </c>
      <c r="W307" s="357">
        <f t="shared" ca="1" si="120"/>
        <v>127.62781387846093</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345.18543620789103</v>
      </c>
      <c r="AF307" s="344"/>
      <c r="AG307" s="359">
        <f t="shared" ca="1" si="143"/>
        <v>50.348510386062998</v>
      </c>
      <c r="AH307" s="357">
        <f t="shared" ca="1" si="144"/>
        <v>59.904300222415905</v>
      </c>
    </row>
    <row r="308" spans="1:34" x14ac:dyDescent="0.25">
      <c r="A308" s="402">
        <f t="shared" ca="1" si="122"/>
        <v>0.01</v>
      </c>
      <c r="B308" s="357">
        <f t="shared" ca="1" si="123"/>
        <v>3.0399999999999792</v>
      </c>
      <c r="C308" s="342"/>
      <c r="D308" s="359">
        <f t="shared" ca="1" si="124"/>
        <v>13.517401836211677</v>
      </c>
      <c r="E308" s="360">
        <f t="shared" ca="1" si="125"/>
        <v>48.379606142865285</v>
      </c>
      <c r="F308" s="357">
        <f t="shared" ca="1" si="126"/>
        <v>50.232523756430822</v>
      </c>
      <c r="G308" s="359">
        <f t="shared" ca="1" si="127"/>
        <v>49.526001139591912</v>
      </c>
      <c r="H308" s="360">
        <f t="shared" ca="1" si="128"/>
        <v>213.10104396741926</v>
      </c>
      <c r="I308" s="357">
        <f t="shared" ca="1" si="129"/>
        <v>218.78043726275624</v>
      </c>
      <c r="J308" s="359">
        <f t="shared" ca="1" si="130"/>
        <v>75.704866638533829</v>
      </c>
      <c r="K308" s="360">
        <f t="shared" ca="1" si="131"/>
        <v>347.31402766725807</v>
      </c>
      <c r="L308" s="357">
        <f t="shared" ca="1" si="116"/>
        <v>355.46907129483304</v>
      </c>
      <c r="M308" s="359">
        <f t="shared" ca="1" si="132"/>
        <v>1.3424438481428185</v>
      </c>
      <c r="N308" s="357">
        <f t="shared" ca="1" si="133"/>
        <v>76.916366731884693</v>
      </c>
      <c r="O308" s="343"/>
      <c r="P308" s="363">
        <f t="shared" ca="1" si="134"/>
        <v>10</v>
      </c>
      <c r="Q308" s="357">
        <f t="shared" ca="1" si="135"/>
        <v>735.97142857143137</v>
      </c>
      <c r="R308" s="359">
        <f t="shared" ca="1" si="136"/>
        <v>0.36867183165741879</v>
      </c>
      <c r="S308" s="360">
        <f t="shared" ca="1" si="137"/>
        <v>10.183354577933811</v>
      </c>
      <c r="T308" s="357">
        <f t="shared" ca="1" si="117"/>
        <v>99.898708409530684</v>
      </c>
      <c r="U308" s="364">
        <f t="shared" ca="1" si="118"/>
        <v>0</v>
      </c>
      <c r="V308" s="359">
        <f t="shared" ca="1" si="119"/>
        <v>1.1831802607151127</v>
      </c>
      <c r="W308" s="357">
        <f t="shared" ca="1" si="120"/>
        <v>128.18803948467445</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347.31402766725807</v>
      </c>
      <c r="AF308" s="344"/>
      <c r="AG308" s="359">
        <f t="shared" ca="1" si="143"/>
        <v>50.183454953642794</v>
      </c>
      <c r="AH308" s="357">
        <f t="shared" ca="1" si="144"/>
        <v>59.73901920406297</v>
      </c>
    </row>
    <row r="309" spans="1:34" x14ac:dyDescent="0.25">
      <c r="A309" s="402">
        <f t="shared" ca="1" si="122"/>
        <v>0.01</v>
      </c>
      <c r="B309" s="357">
        <f t="shared" ca="1" si="123"/>
        <v>3.049999999999979</v>
      </c>
      <c r="C309" s="342"/>
      <c r="D309" s="359">
        <f t="shared" ca="1" si="124"/>
        <v>13.485874139793395</v>
      </c>
      <c r="E309" s="360">
        <f t="shared" ca="1" si="125"/>
        <v>48.217173441745672</v>
      </c>
      <c r="F309" s="357">
        <f t="shared" ca="1" si="126"/>
        <v>50.067600462032651</v>
      </c>
      <c r="G309" s="359">
        <f t="shared" ca="1" si="127"/>
        <v>49.660859880989847</v>
      </c>
      <c r="H309" s="360">
        <f t="shared" ca="1" si="128"/>
        <v>213.58321570183671</v>
      </c>
      <c r="I309" s="357">
        <f t="shared" ca="1" si="129"/>
        <v>219.2806216555777</v>
      </c>
      <c r="J309" s="359">
        <f t="shared" ca="1" si="130"/>
        <v>76.200800943636736</v>
      </c>
      <c r="K309" s="360">
        <f t="shared" ca="1" si="131"/>
        <v>349.44744896560434</v>
      </c>
      <c r="L309" s="357">
        <f t="shared" ca="1" si="116"/>
        <v>357.65916967557308</v>
      </c>
      <c r="M309" s="359">
        <f t="shared" ca="1" si="132"/>
        <v>1.3423425751762907</v>
      </c>
      <c r="N309" s="357">
        <f t="shared" ca="1" si="133"/>
        <v>76.910564218323884</v>
      </c>
      <c r="O309" s="343"/>
      <c r="P309" s="363">
        <f t="shared" ca="1" si="134"/>
        <v>10</v>
      </c>
      <c r="Q309" s="357">
        <f t="shared" ca="1" si="135"/>
        <v>734.62857142857422</v>
      </c>
      <c r="R309" s="359">
        <f t="shared" ca="1" si="136"/>
        <v>0.3679991511928084</v>
      </c>
      <c r="S309" s="360">
        <f t="shared" ca="1" si="137"/>
        <v>10.179674586421882</v>
      </c>
      <c r="T309" s="357">
        <f t="shared" ca="1" si="117"/>
        <v>99.862607692798662</v>
      </c>
      <c r="U309" s="364">
        <f t="shared" ca="1" si="118"/>
        <v>0</v>
      </c>
      <c r="V309" s="359">
        <f t="shared" ca="1" si="119"/>
        <v>1.1829277888447409</v>
      </c>
      <c r="W309" s="357">
        <f t="shared" ca="1" si="120"/>
        <v>128.74736802233758</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349.44744896560434</v>
      </c>
      <c r="AF309" s="344"/>
      <c r="AG309" s="359">
        <f t="shared" ca="1" si="143"/>
        <v>50.018326832701682</v>
      </c>
      <c r="AH309" s="357">
        <f t="shared" ca="1" si="144"/>
        <v>59.573665817647843</v>
      </c>
    </row>
    <row r="310" spans="1:34" x14ac:dyDescent="0.25">
      <c r="A310" s="402">
        <f t="shared" ca="1" si="122"/>
        <v>0.01</v>
      </c>
      <c r="B310" s="357">
        <f t="shared" ca="1" si="123"/>
        <v>3.0599999999999787</v>
      </c>
      <c r="C310" s="342"/>
      <c r="D310" s="359">
        <f t="shared" ca="1" si="124"/>
        <v>13.454286774444013</v>
      </c>
      <c r="E310" s="360">
        <f t="shared" ca="1" si="125"/>
        <v>48.054681383828822</v>
      </c>
      <c r="F310" s="357">
        <f t="shared" ca="1" si="126"/>
        <v>49.902607502116396</v>
      </c>
      <c r="G310" s="359">
        <f t="shared" ca="1" si="127"/>
        <v>49.79540274873429</v>
      </c>
      <c r="H310" s="360">
        <f t="shared" ca="1" si="128"/>
        <v>214.06376251567499</v>
      </c>
      <c r="I310" s="357">
        <f t="shared" ca="1" si="129"/>
        <v>219.77915405532883</v>
      </c>
      <c r="J310" s="359">
        <f t="shared" ca="1" si="130"/>
        <v>76.698082256785355</v>
      </c>
      <c r="K310" s="360">
        <f t="shared" ca="1" si="131"/>
        <v>351.5856838566919</v>
      </c>
      <c r="L310" s="357">
        <f t="shared" ca="1" si="116"/>
        <v>359.8542606595708</v>
      </c>
      <c r="M310" s="359">
        <f t="shared" ca="1" si="132"/>
        <v>1.342241487900685</v>
      </c>
      <c r="N310" s="357">
        <f t="shared" ca="1" si="133"/>
        <v>76.904772344069201</v>
      </c>
      <c r="O310" s="343"/>
      <c r="P310" s="363">
        <f t="shared" ca="1" si="134"/>
        <v>10</v>
      </c>
      <c r="Q310" s="357">
        <f t="shared" ca="1" si="135"/>
        <v>733.28571428571718</v>
      </c>
      <c r="R310" s="359">
        <f t="shared" ca="1" si="136"/>
        <v>0.36732647072819813</v>
      </c>
      <c r="S310" s="360">
        <f t="shared" ca="1" si="137"/>
        <v>10.176001321714599</v>
      </c>
      <c r="T310" s="357">
        <f t="shared" ca="1" si="117"/>
        <v>99.826572966020223</v>
      </c>
      <c r="U310" s="364">
        <f t="shared" ca="1" si="118"/>
        <v>0</v>
      </c>
      <c r="V310" s="359">
        <f t="shared" ca="1" si="119"/>
        <v>1.1826748004391541</v>
      </c>
      <c r="W310" s="357">
        <f t="shared" ca="1" si="120"/>
        <v>129.30578524321106</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351.5856838566919</v>
      </c>
      <c r="AF310" s="344"/>
      <c r="AG310" s="359">
        <f t="shared" ca="1" si="143"/>
        <v>49.853127682938606</v>
      </c>
      <c r="AH310" s="357">
        <f t="shared" ca="1" si="144"/>
        <v>59.408241719992063</v>
      </c>
    </row>
    <row r="311" spans="1:34" x14ac:dyDescent="0.25">
      <c r="A311" s="402">
        <f t="shared" ca="1" si="122"/>
        <v>0.01</v>
      </c>
      <c r="B311" s="357">
        <f t="shared" ca="1" si="123"/>
        <v>3.0699999999999785</v>
      </c>
      <c r="C311" s="342"/>
      <c r="D311" s="359">
        <f t="shared" ca="1" si="124"/>
        <v>13.422640274207431</v>
      </c>
      <c r="E311" s="360">
        <f t="shared" ca="1" si="125"/>
        <v>47.892131549971381</v>
      </c>
      <c r="F311" s="357">
        <f t="shared" ca="1" si="126"/>
        <v>49.737546545145747</v>
      </c>
      <c r="G311" s="359">
        <f t="shared" ca="1" si="127"/>
        <v>49.929629151476362</v>
      </c>
      <c r="H311" s="360">
        <f t="shared" ca="1" si="128"/>
        <v>214.54268383117471</v>
      </c>
      <c r="I311" s="357">
        <f t="shared" ca="1" si="129"/>
        <v>220.27603376828665</v>
      </c>
      <c r="J311" s="359">
        <f t="shared" ca="1" si="130"/>
        <v>77.196707416286415</v>
      </c>
      <c r="K311" s="360">
        <f t="shared" ca="1" si="131"/>
        <v>353.72871608842615</v>
      </c>
      <c r="L311" s="357">
        <f t="shared" ca="1" si="116"/>
        <v>362.05432772096799</v>
      </c>
      <c r="M311" s="359">
        <f t="shared" ca="1" si="132"/>
        <v>1.3421405848000212</v>
      </c>
      <c r="N311" s="357">
        <f t="shared" ca="1" si="133"/>
        <v>76.898991022261384</v>
      </c>
      <c r="O311" s="343"/>
      <c r="P311" s="363">
        <f t="shared" ca="1" si="134"/>
        <v>10</v>
      </c>
      <c r="Q311" s="357">
        <f t="shared" ca="1" si="135"/>
        <v>731.94285714286002</v>
      </c>
      <c r="R311" s="359">
        <f t="shared" ca="1" si="136"/>
        <v>0.36665379026358774</v>
      </c>
      <c r="S311" s="360">
        <f t="shared" ca="1" si="137"/>
        <v>10.172334783811964</v>
      </c>
      <c r="T311" s="357">
        <f t="shared" ca="1" si="117"/>
        <v>99.790604229195367</v>
      </c>
      <c r="U311" s="364">
        <f t="shared" ca="1" si="118"/>
        <v>0</v>
      </c>
      <c r="V311" s="359">
        <f t="shared" ca="1" si="119"/>
        <v>1.1824212977629196</v>
      </c>
      <c r="W311" s="357">
        <f t="shared" ca="1" si="120"/>
        <v>129.86327697289335</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353.72871608842615</v>
      </c>
      <c r="AF311" s="344"/>
      <c r="AG311" s="359">
        <f t="shared" ca="1" si="143"/>
        <v>49.687859159467465</v>
      </c>
      <c r="AH311" s="357">
        <f t="shared" ca="1" si="144"/>
        <v>59.242748563355654</v>
      </c>
    </row>
    <row r="312" spans="1:34" x14ac:dyDescent="0.25">
      <c r="A312" s="402">
        <f t="shared" ca="1" si="122"/>
        <v>0.01</v>
      </c>
      <c r="B312" s="357">
        <f t="shared" ca="1" si="123"/>
        <v>3.0799999999999783</v>
      </c>
      <c r="C312" s="342"/>
      <c r="D312" s="359">
        <f t="shared" ca="1" si="124"/>
        <v>13.390935171027595</v>
      </c>
      <c r="E312" s="360">
        <f t="shared" ca="1" si="125"/>
        <v>47.729525516715782</v>
      </c>
      <c r="F312" s="357">
        <f t="shared" ca="1" si="126"/>
        <v>49.572419255120955</v>
      </c>
      <c r="G312" s="359">
        <f t="shared" ca="1" si="127"/>
        <v>50.063538503186635</v>
      </c>
      <c r="H312" s="360">
        <f t="shared" ca="1" si="128"/>
        <v>215.01997908634186</v>
      </c>
      <c r="I312" s="357">
        <f t="shared" ca="1" si="129"/>
        <v>220.77126011723297</v>
      </c>
      <c r="J312" s="359">
        <f t="shared" ca="1" si="130"/>
        <v>77.696673254559727</v>
      </c>
      <c r="K312" s="360">
        <f t="shared" ca="1" si="131"/>
        <v>355.87652940301376</v>
      </c>
      <c r="L312" s="357">
        <f t="shared" ca="1" si="116"/>
        <v>364.2593543270508</v>
      </c>
      <c r="M312" s="359">
        <f t="shared" ca="1" si="132"/>
        <v>1.3420398643717202</v>
      </c>
      <c r="N312" s="357">
        <f t="shared" ca="1" si="133"/>
        <v>76.893220166808987</v>
      </c>
      <c r="O312" s="343"/>
      <c r="P312" s="363">
        <f t="shared" ca="1" si="134"/>
        <v>10</v>
      </c>
      <c r="Q312" s="357">
        <f t="shared" ca="1" si="135"/>
        <v>730.60000000000286</v>
      </c>
      <c r="R312" s="359">
        <f t="shared" ca="1" si="136"/>
        <v>0.36598110979897736</v>
      </c>
      <c r="S312" s="360">
        <f t="shared" ca="1" si="137"/>
        <v>10.168674972713974</v>
      </c>
      <c r="T312" s="357">
        <f t="shared" ca="1" si="117"/>
        <v>99.754701482324094</v>
      </c>
      <c r="U312" s="364">
        <f t="shared" ca="1" si="118"/>
        <v>0</v>
      </c>
      <c r="V312" s="359">
        <f t="shared" ca="1" si="119"/>
        <v>1.1821672830802463</v>
      </c>
      <c r="W312" s="357">
        <f t="shared" ca="1" si="120"/>
        <v>130.41982911103474</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355.87652940301376</v>
      </c>
      <c r="AF312" s="344"/>
      <c r="AG312" s="359">
        <f t="shared" ca="1" si="143"/>
        <v>49.522522912776985</v>
      </c>
      <c r="AH312" s="357">
        <f t="shared" ca="1" si="144"/>
        <v>59.077187995396763</v>
      </c>
    </row>
    <row r="313" spans="1:34" x14ac:dyDescent="0.25">
      <c r="A313" s="402">
        <f t="shared" ca="1" si="122"/>
        <v>0.01</v>
      </c>
      <c r="B313" s="357">
        <f t="shared" ca="1" si="123"/>
        <v>3.0899999999999781</v>
      </c>
      <c r="C313" s="342"/>
      <c r="D313" s="359">
        <f t="shared" ca="1" si="124"/>
        <v>13.359171994754377</v>
      </c>
      <c r="E313" s="360">
        <f t="shared" ca="1" si="125"/>
        <v>47.566864856248429</v>
      </c>
      <c r="F313" s="357">
        <f t="shared" ca="1" si="126"/>
        <v>49.407227291541382</v>
      </c>
      <c r="G313" s="359">
        <f t="shared" ca="1" si="127"/>
        <v>50.197130223134181</v>
      </c>
      <c r="H313" s="360">
        <f t="shared" ca="1" si="128"/>
        <v>215.49564773490434</v>
      </c>
      <c r="I313" s="357">
        <f t="shared" ca="1" si="129"/>
        <v>221.2648324414078</v>
      </c>
      <c r="J313" s="359">
        <f t="shared" ca="1" si="130"/>
        <v>78.197976598191332</v>
      </c>
      <c r="K313" s="360">
        <f t="shared" ca="1" si="131"/>
        <v>358.02910753712001</v>
      </c>
      <c r="L313" s="357">
        <f t="shared" ca="1" si="116"/>
        <v>366.46932393841359</v>
      </c>
      <c r="M313" s="359">
        <f t="shared" ca="1" si="132"/>
        <v>1.3419393251264331</v>
      </c>
      <c r="N313" s="357">
        <f t="shared" ca="1" si="133"/>
        <v>76.887459692378599</v>
      </c>
      <c r="O313" s="343"/>
      <c r="P313" s="363">
        <f t="shared" ca="1" si="134"/>
        <v>10</v>
      </c>
      <c r="Q313" s="357">
        <f t="shared" ca="1" si="135"/>
        <v>729.25714285714582</v>
      </c>
      <c r="R313" s="359">
        <f t="shared" ca="1" si="136"/>
        <v>0.36530842933436702</v>
      </c>
      <c r="S313" s="360">
        <f t="shared" ca="1" si="137"/>
        <v>10.165021888420631</v>
      </c>
      <c r="T313" s="357">
        <f t="shared" ca="1" si="117"/>
        <v>99.718864725406391</v>
      </c>
      <c r="U313" s="364">
        <f t="shared" ca="1" si="118"/>
        <v>0</v>
      </c>
      <c r="V313" s="359">
        <f t="shared" ca="1" si="119"/>
        <v>1.1819127586549529</v>
      </c>
      <c r="W313" s="357">
        <f t="shared" ca="1" si="120"/>
        <v>130.97542763154559</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358.02910753712001</v>
      </c>
      <c r="AF313" s="344"/>
      <c r="AG313" s="359">
        <f t="shared" ca="1" si="143"/>
        <v>49.357120588690677</v>
      </c>
      <c r="AH313" s="357">
        <f t="shared" ca="1" si="144"/>
        <v>58.911561659131273</v>
      </c>
    </row>
    <row r="314" spans="1:34" x14ac:dyDescent="0.25">
      <c r="A314" s="402">
        <f t="shared" ca="1" si="122"/>
        <v>0.01</v>
      </c>
      <c r="B314" s="357">
        <f t="shared" ca="1" si="123"/>
        <v>3.0999999999999779</v>
      </c>
      <c r="C314" s="342"/>
      <c r="D314" s="359">
        <f t="shared" ca="1" si="124"/>
        <v>13.327351273149119</v>
      </c>
      <c r="E314" s="360">
        <f t="shared" ca="1" si="125"/>
        <v>47.40415113635855</v>
      </c>
      <c r="F314" s="357">
        <f t="shared" ca="1" si="126"/>
        <v>49.241972309368691</v>
      </c>
      <c r="G314" s="359">
        <f t="shared" ca="1" si="127"/>
        <v>50.330403735865673</v>
      </c>
      <c r="H314" s="360">
        <f t="shared" ca="1" si="128"/>
        <v>215.96968924626793</v>
      </c>
      <c r="I314" s="357">
        <f t="shared" ca="1" si="129"/>
        <v>221.75675009646218</v>
      </c>
      <c r="J314" s="359">
        <f t="shared" ca="1" si="130"/>
        <v>78.700614267986325</v>
      </c>
      <c r="K314" s="360">
        <f t="shared" ca="1" si="131"/>
        <v>360.18643422202587</v>
      </c>
      <c r="L314" s="357">
        <f t="shared" ca="1" si="116"/>
        <v>368.68422000912398</v>
      </c>
      <c r="M314" s="359">
        <f t="shared" ca="1" si="132"/>
        <v>1.3418389655878715</v>
      </c>
      <c r="N314" s="357">
        <f t="shared" ca="1" si="133"/>
        <v>76.88170951438515</v>
      </c>
      <c r="O314" s="343"/>
      <c r="P314" s="363">
        <f t="shared" ca="1" si="134"/>
        <v>10</v>
      </c>
      <c r="Q314" s="357">
        <f t="shared" ca="1" si="135"/>
        <v>727.91428571428867</v>
      </c>
      <c r="R314" s="359">
        <f t="shared" ca="1" si="136"/>
        <v>0.36463574886975664</v>
      </c>
      <c r="S314" s="360">
        <f t="shared" ca="1" si="137"/>
        <v>10.161375530931933</v>
      </c>
      <c r="T314" s="357">
        <f t="shared" ca="1" si="117"/>
        <v>99.683093958442271</v>
      </c>
      <c r="U314" s="364">
        <f t="shared" ca="1" si="118"/>
        <v>0</v>
      </c>
      <c r="V314" s="359">
        <f t="shared" ca="1" si="119"/>
        <v>1.1816577267504438</v>
      </c>
      <c r="W314" s="357">
        <f t="shared" ca="1" si="120"/>
        <v>131.53005858280093</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360.18643422202587</v>
      </c>
      <c r="AF314" s="344"/>
      <c r="AG314" s="359">
        <f t="shared" ca="1" si="143"/>
        <v>49.191653828327432</v>
      </c>
      <c r="AH314" s="357">
        <f t="shared" ca="1" si="144"/>
        <v>58.745871192893105</v>
      </c>
    </row>
    <row r="315" spans="1:34" x14ac:dyDescent="0.25">
      <c r="A315" s="402">
        <f t="shared" ca="1" si="122"/>
        <v>0.01</v>
      </c>
      <c r="B315" s="357">
        <f t="shared" ca="1" si="123"/>
        <v>3.1099999999999777</v>
      </c>
      <c r="C315" s="342"/>
      <c r="D315" s="359">
        <f t="shared" ca="1" si="124"/>
        <v>13.295473531890106</v>
      </c>
      <c r="E315" s="360">
        <f t="shared" ca="1" si="125"/>
        <v>47.241385920397455</v>
      </c>
      <c r="F315" s="357">
        <f t="shared" ca="1" si="126"/>
        <v>49.0766559589905</v>
      </c>
      <c r="G315" s="359">
        <f t="shared" ca="1" si="127"/>
        <v>50.463358471184577</v>
      </c>
      <c r="H315" s="360">
        <f t="shared" ca="1" si="128"/>
        <v>216.44210310547192</v>
      </c>
      <c r="I315" s="357">
        <f t="shared" ca="1" si="129"/>
        <v>222.24701245441076</v>
      </c>
      <c r="J315" s="359">
        <f t="shared" ca="1" si="130"/>
        <v>79.204583079021575</v>
      </c>
      <c r="K315" s="360">
        <f t="shared" ca="1" si="131"/>
        <v>362.34849318378457</v>
      </c>
      <c r="L315" s="357">
        <f t="shared" ca="1" si="116"/>
        <v>370.90402598688627</v>
      </c>
      <c r="M315" s="359">
        <f t="shared" ca="1" si="132"/>
        <v>1.3417387842926407</v>
      </c>
      <c r="N315" s="357">
        <f t="shared" ca="1" si="133"/>
        <v>76.875969548982269</v>
      </c>
      <c r="O315" s="343"/>
      <c r="P315" s="363">
        <f t="shared" ca="1" si="134"/>
        <v>10</v>
      </c>
      <c r="Q315" s="357">
        <f t="shared" ca="1" si="135"/>
        <v>726.57142857143162</v>
      </c>
      <c r="R315" s="359">
        <f t="shared" ca="1" si="136"/>
        <v>0.36396306840514631</v>
      </c>
      <c r="S315" s="360">
        <f t="shared" ca="1" si="137"/>
        <v>10.15773590024788</v>
      </c>
      <c r="T315" s="357">
        <f t="shared" ca="1" si="117"/>
        <v>99.647389181431706</v>
      </c>
      <c r="U315" s="364">
        <f t="shared" ca="1" si="118"/>
        <v>0</v>
      </c>
      <c r="V315" s="359">
        <f t="shared" ca="1" si="119"/>
        <v>1.1814021896296765</v>
      </c>
      <c r="W315" s="357">
        <f t="shared" ca="1" si="120"/>
        <v>132.08370808783945</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362.34849318378457</v>
      </c>
      <c r="AF315" s="344"/>
      <c r="AG315" s="359">
        <f t="shared" ca="1" si="143"/>
        <v>49.026124268062347</v>
      </c>
      <c r="AH315" s="357">
        <f t="shared" ca="1" si="144"/>
        <v>58.580118230294786</v>
      </c>
    </row>
    <row r="316" spans="1:34" x14ac:dyDescent="0.25">
      <c r="A316" s="402">
        <f t="shared" ca="1" si="122"/>
        <v>0.01</v>
      </c>
      <c r="B316" s="357">
        <f t="shared" ca="1" si="123"/>
        <v>3.1199999999999775</v>
      </c>
      <c r="C316" s="342"/>
      <c r="D316" s="359">
        <f t="shared" ca="1" si="124"/>
        <v>13.263539294577855</v>
      </c>
      <c r="E316" s="360">
        <f t="shared" ca="1" si="125"/>
        <v>47.07857076723829</v>
      </c>
      <c r="F316" s="357">
        <f t="shared" ca="1" si="126"/>
        <v>48.911279886184481</v>
      </c>
      <c r="G316" s="359">
        <f t="shared" ca="1" si="127"/>
        <v>50.595993864130357</v>
      </c>
      <c r="H316" s="360">
        <f t="shared" ca="1" si="128"/>
        <v>216.91288881314429</v>
      </c>
      <c r="I316" s="357">
        <f t="shared" ca="1" si="129"/>
        <v>222.73561890358403</v>
      </c>
      <c r="J316" s="359">
        <f t="shared" ca="1" si="130"/>
        <v>79.70987984069815</v>
      </c>
      <c r="K316" s="360">
        <f t="shared" ca="1" si="131"/>
        <v>364.51526814337763</v>
      </c>
      <c r="L316" s="357">
        <f t="shared" ca="1" si="116"/>
        <v>373.12872531320477</v>
      </c>
      <c r="M316" s="359">
        <f t="shared" ca="1" si="132"/>
        <v>1.3416387797900762</v>
      </c>
      <c r="N316" s="357">
        <f t="shared" ca="1" si="133"/>
        <v>76.87023971305301</v>
      </c>
      <c r="O316" s="343"/>
      <c r="P316" s="363">
        <f t="shared" ca="1" si="134"/>
        <v>10</v>
      </c>
      <c r="Q316" s="357">
        <f t="shared" ca="1" si="135"/>
        <v>725.22857142857447</v>
      </c>
      <c r="R316" s="359">
        <f t="shared" ca="1" si="136"/>
        <v>0.36329038794053592</v>
      </c>
      <c r="S316" s="360">
        <f t="shared" ca="1" si="137"/>
        <v>10.154102996368476</v>
      </c>
      <c r="T316" s="357">
        <f t="shared" ca="1" si="117"/>
        <v>99.611750394374752</v>
      </c>
      <c r="U316" s="364">
        <f t="shared" ca="1" si="118"/>
        <v>0</v>
      </c>
      <c r="V316" s="359">
        <f t="shared" ca="1" si="119"/>
        <v>1.1811461495551374</v>
      </c>
      <c r="W316" s="357">
        <f t="shared" ca="1" si="120"/>
        <v>132.6363623445589</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364.51526814337763</v>
      </c>
      <c r="AF316" s="344"/>
      <c r="AG316" s="359">
        <f t="shared" ca="1" si="143"/>
        <v>48.860533539488117</v>
      </c>
      <c r="AH316" s="357">
        <f t="shared" ca="1" si="144"/>
        <v>58.41430440018857</v>
      </c>
    </row>
    <row r="317" spans="1:34" x14ac:dyDescent="0.25">
      <c r="A317" s="402">
        <f t="shared" ca="1" si="122"/>
        <v>0.01</v>
      </c>
      <c r="B317" s="357">
        <f t="shared" ca="1" si="123"/>
        <v>3.1299999999999772</v>
      </c>
      <c r="C317" s="342"/>
      <c r="D317" s="359">
        <f t="shared" ca="1" si="124"/>
        <v>13.231549082740175</v>
      </c>
      <c r="E317" s="360">
        <f t="shared" ca="1" si="125"/>
        <v>46.915707231236212</v>
      </c>
      <c r="F317" s="357">
        <f t="shared" ca="1" si="126"/>
        <v>48.745845732082977</v>
      </c>
      <c r="G317" s="359">
        <f t="shared" ca="1" si="127"/>
        <v>50.728309354957759</v>
      </c>
      <c r="H317" s="360">
        <f t="shared" ca="1" si="128"/>
        <v>217.38204588545665</v>
      </c>
      <c r="I317" s="357">
        <f t="shared" ca="1" si="129"/>
        <v>223.22256884858007</v>
      </c>
      <c r="J317" s="359">
        <f t="shared" ca="1" si="130"/>
        <v>80.216501356793586</v>
      </c>
      <c r="K317" s="360">
        <f t="shared" ca="1" si="131"/>
        <v>366.68674281687061</v>
      </c>
      <c r="L317" s="357">
        <f t="shared" ca="1" si="116"/>
        <v>375.35830142354689</v>
      </c>
      <c r="M317" s="359">
        <f t="shared" ca="1" si="132"/>
        <v>1.3415389506420812</v>
      </c>
      <c r="N317" s="357">
        <f t="shared" ca="1" si="133"/>
        <v>76.864519924200508</v>
      </c>
      <c r="O317" s="343"/>
      <c r="P317" s="363">
        <f t="shared" ca="1" si="134"/>
        <v>10</v>
      </c>
      <c r="Q317" s="357">
        <f t="shared" ca="1" si="135"/>
        <v>723.88571428571731</v>
      </c>
      <c r="R317" s="359">
        <f t="shared" ca="1" si="136"/>
        <v>0.36261770747592553</v>
      </c>
      <c r="S317" s="360">
        <f t="shared" ca="1" si="137"/>
        <v>10.150476819293717</v>
      </c>
      <c r="T317" s="357">
        <f t="shared" ca="1" si="117"/>
        <v>99.576177597271368</v>
      </c>
      <c r="U317" s="364">
        <f t="shared" ca="1" si="118"/>
        <v>0</v>
      </c>
      <c r="V317" s="359">
        <f t="shared" ca="1" si="119"/>
        <v>1.1808896087888139</v>
      </c>
      <c r="W317" s="357">
        <f t="shared" ca="1" si="120"/>
        <v>133.18800762590632</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366.68674281687061</v>
      </c>
      <c r="AF317" s="344"/>
      <c r="AG317" s="359">
        <f t="shared" ca="1" si="143"/>
        <v>48.694883269376852</v>
      </c>
      <c r="AH317" s="357">
        <f t="shared" ca="1" si="144"/>
        <v>58.248431326627902</v>
      </c>
    </row>
    <row r="318" spans="1:34" x14ac:dyDescent="0.25">
      <c r="A318" s="402">
        <f t="shared" ca="1" si="122"/>
        <v>0.01</v>
      </c>
      <c r="B318" s="357">
        <f t="shared" ca="1" si="123"/>
        <v>3.139999999999977</v>
      </c>
      <c r="C318" s="342"/>
      <c r="D318" s="359">
        <f t="shared" ca="1" si="124"/>
        <v>13.199503415837151</v>
      </c>
      <c r="E318" s="360">
        <f t="shared" ca="1" si="125"/>
        <v>46.752796862188937</v>
      </c>
      <c r="F318" s="357">
        <f t="shared" ca="1" si="126"/>
        <v>48.580355133137928</v>
      </c>
      <c r="G318" s="359">
        <f t="shared" ca="1" si="127"/>
        <v>50.860304389116131</v>
      </c>
      <c r="H318" s="360">
        <f t="shared" ca="1" si="128"/>
        <v>217.84957385407853</v>
      </c>
      <c r="I318" s="357">
        <f t="shared" ca="1" si="129"/>
        <v>223.70786171021609</v>
      </c>
      <c r="J318" s="359">
        <f t="shared" ca="1" si="130"/>
        <v>80.724444425513951</v>
      </c>
      <c r="K318" s="360">
        <f t="shared" ca="1" si="131"/>
        <v>368.86290091556828</v>
      </c>
      <c r="L318" s="357">
        <f t="shared" ca="1" si="116"/>
        <v>377.59273774750517</v>
      </c>
      <c r="M318" s="359">
        <f t="shared" ca="1" si="132"/>
        <v>1.3414392954229688</v>
      </c>
      <c r="N318" s="357">
        <f t="shared" ca="1" si="133"/>
        <v>76.858810100738921</v>
      </c>
      <c r="O318" s="343"/>
      <c r="P318" s="363">
        <f t="shared" ca="1" si="134"/>
        <v>10</v>
      </c>
      <c r="Q318" s="357">
        <f t="shared" ca="1" si="135"/>
        <v>722.54285714286027</v>
      </c>
      <c r="R318" s="359">
        <f t="shared" ca="1" si="136"/>
        <v>0.36194502701131526</v>
      </c>
      <c r="S318" s="360">
        <f t="shared" ca="1" si="137"/>
        <v>10.146857369023603</v>
      </c>
      <c r="T318" s="357">
        <f t="shared" ca="1" si="117"/>
        <v>99.540670790121553</v>
      </c>
      <c r="U318" s="364">
        <f t="shared" ca="1" si="118"/>
        <v>0</v>
      </c>
      <c r="V318" s="359">
        <f t="shared" ca="1" si="119"/>
        <v>1.1806325695921633</v>
      </c>
      <c r="W318" s="357">
        <f t="shared" ca="1" si="120"/>
        <v>133.73863028006366</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368.86290091556828</v>
      </c>
      <c r="AF318" s="344"/>
      <c r="AG318" s="359">
        <f t="shared" ca="1" si="143"/>
        <v>48.529175079642066</v>
      </c>
      <c r="AH318" s="357">
        <f t="shared" ca="1" si="144"/>
        <v>58.082500628829223</v>
      </c>
    </row>
    <row r="319" spans="1:34" x14ac:dyDescent="0.25">
      <c r="A319" s="402">
        <f t="shared" ca="1" si="122"/>
        <v>0.01</v>
      </c>
      <c r="B319" s="357">
        <f t="shared" ca="1" si="123"/>
        <v>3.1499999999999768</v>
      </c>
      <c r="C319" s="342"/>
      <c r="D319" s="359">
        <f t="shared" ca="1" si="124"/>
        <v>13.167402811265875</v>
      </c>
      <c r="E319" s="360">
        <f t="shared" ca="1" si="125"/>
        <v>46.589841205297901</v>
      </c>
      <c r="F319" s="357">
        <f t="shared" ca="1" si="126"/>
        <v>48.414809721086449</v>
      </c>
      <c r="G319" s="359">
        <f t="shared" ca="1" si="127"/>
        <v>50.991978417228786</v>
      </c>
      <c r="H319" s="360">
        <f t="shared" ca="1" si="128"/>
        <v>218.31547226613151</v>
      </c>
      <c r="I319" s="357">
        <f t="shared" ca="1" si="129"/>
        <v>224.19149692547921</v>
      </c>
      <c r="J319" s="359">
        <f t="shared" ca="1" si="130"/>
        <v>81.233705839545678</v>
      </c>
      <c r="K319" s="360">
        <f t="shared" ca="1" si="131"/>
        <v>371.04372614616932</v>
      </c>
      <c r="L319" s="357">
        <f t="shared" ca="1" si="116"/>
        <v>379.83201770895954</v>
      </c>
      <c r="M319" s="359">
        <f t="shared" ca="1" si="132"/>
        <v>1.3413398127193052</v>
      </c>
      <c r="N319" s="357">
        <f t="shared" ca="1" si="133"/>
        <v>76.853110161684455</v>
      </c>
      <c r="O319" s="343"/>
      <c r="P319" s="363">
        <f t="shared" ca="1" si="134"/>
        <v>10</v>
      </c>
      <c r="Q319" s="357">
        <f t="shared" ca="1" si="135"/>
        <v>721.20000000000312</v>
      </c>
      <c r="R319" s="359">
        <f t="shared" ca="1" si="136"/>
        <v>0.36127234654670487</v>
      </c>
      <c r="S319" s="360">
        <f t="shared" ca="1" si="137"/>
        <v>10.143244645558136</v>
      </c>
      <c r="T319" s="357">
        <f t="shared" ca="1" si="117"/>
        <v>99.505229972925321</v>
      </c>
      <c r="U319" s="364">
        <f t="shared" ca="1" si="118"/>
        <v>0</v>
      </c>
      <c r="V319" s="359">
        <f t="shared" ca="1" si="119"/>
        <v>1.180375034226089</v>
      </c>
      <c r="W319" s="357">
        <f t="shared" ca="1" si="120"/>
        <v>134.28821673062893</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371.04372614616932</v>
      </c>
      <c r="AF319" s="344"/>
      <c r="AG319" s="359">
        <f t="shared" ca="1" si="143"/>
        <v>48.363410587301402</v>
      </c>
      <c r="AH319" s="357">
        <f t="shared" ca="1" si="144"/>
        <v>57.916513921134374</v>
      </c>
    </row>
    <row r="320" spans="1:34" x14ac:dyDescent="0.25">
      <c r="A320" s="402">
        <f t="shared" ca="1" si="122"/>
        <v>0.01</v>
      </c>
      <c r="B320" s="357">
        <f t="shared" ca="1" si="123"/>
        <v>3.1599999999999766</v>
      </c>
      <c r="C320" s="342"/>
      <c r="D320" s="359">
        <f t="shared" ca="1" si="124"/>
        <v>13.135247784365067</v>
      </c>
      <c r="E320" s="360">
        <f t="shared" ca="1" si="125"/>
        <v>46.42684180112974</v>
      </c>
      <c r="F320" s="357">
        <f t="shared" ca="1" si="126"/>
        <v>48.249211122916769</v>
      </c>
      <c r="G320" s="359">
        <f t="shared" ca="1" si="127"/>
        <v>51.123330895072435</v>
      </c>
      <c r="H320" s="360">
        <f t="shared" ca="1" si="128"/>
        <v>218.77974068414281</v>
      </c>
      <c r="I320" s="357">
        <f t="shared" ca="1" si="129"/>
        <v>224.67347394747748</v>
      </c>
      <c r="J320" s="359">
        <f t="shared" ca="1" si="130"/>
        <v>81.744282386107187</v>
      </c>
      <c r="K320" s="360">
        <f t="shared" ca="1" si="131"/>
        <v>373.22920221092068</v>
      </c>
      <c r="L320" s="357">
        <f t="shared" ca="1" si="116"/>
        <v>382.07612472623822</v>
      </c>
      <c r="M320" s="359">
        <f t="shared" ca="1" si="132"/>
        <v>1.3412405011297548</v>
      </c>
      <c r="N320" s="357">
        <f t="shared" ca="1" si="133"/>
        <v>76.847420026746477</v>
      </c>
      <c r="O320" s="343"/>
      <c r="P320" s="363">
        <f t="shared" ca="1" si="134"/>
        <v>10</v>
      </c>
      <c r="Q320" s="357">
        <f t="shared" ca="1" si="135"/>
        <v>719.85714285714596</v>
      </c>
      <c r="R320" s="359">
        <f t="shared" ca="1" si="136"/>
        <v>0.36059966608209448</v>
      </c>
      <c r="S320" s="360">
        <f t="shared" ca="1" si="137"/>
        <v>10.139638648897314</v>
      </c>
      <c r="T320" s="357">
        <f t="shared" ca="1" si="117"/>
        <v>99.469855145682658</v>
      </c>
      <c r="U320" s="364">
        <f t="shared" ca="1" si="118"/>
        <v>0</v>
      </c>
      <c r="V320" s="359">
        <f t="shared" ca="1" si="119"/>
        <v>1.1801170049509127</v>
      </c>
      <c r="W320" s="357">
        <f t="shared" ca="1" si="120"/>
        <v>134.83675347679329</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373.22920221092068</v>
      </c>
      <c r="AF320" s="344"/>
      <c r="AG320" s="359">
        <f t="shared" ca="1" si="143"/>
        <v>48.197591404439535</v>
      </c>
      <c r="AH320" s="357">
        <f t="shared" ca="1" si="144"/>
        <v>57.750472812973236</v>
      </c>
    </row>
    <row r="321" spans="1:34" x14ac:dyDescent="0.25">
      <c r="A321" s="402">
        <f t="shared" ca="1" si="122"/>
        <v>0.01</v>
      </c>
      <c r="B321" s="357">
        <f t="shared" ca="1" si="123"/>
        <v>3.1699999999999764</v>
      </c>
      <c r="C321" s="342"/>
      <c r="D321" s="359">
        <f t="shared" ca="1" si="124"/>
        <v>13.103038848419613</v>
      </c>
      <c r="E321" s="360">
        <f t="shared" ca="1" si="125"/>
        <v>46.263800185578248</v>
      </c>
      <c r="F321" s="357">
        <f t="shared" ca="1" si="126"/>
        <v>48.083560960834667</v>
      </c>
      <c r="G321" s="359">
        <f t="shared" ca="1" si="127"/>
        <v>51.254361283556634</v>
      </c>
      <c r="H321" s="360">
        <f t="shared" ca="1" si="128"/>
        <v>219.2423786859986</v>
      </c>
      <c r="I321" s="357">
        <f t="shared" ca="1" si="129"/>
        <v>225.15379224538981</v>
      </c>
      <c r="J321" s="359">
        <f t="shared" ca="1" si="130"/>
        <v>82.256170847000334</v>
      </c>
      <c r="K321" s="360">
        <f t="shared" ca="1" si="131"/>
        <v>375.41931280777141</v>
      </c>
      <c r="L321" s="357">
        <f t="shared" ca="1" si="116"/>
        <v>384.32504221227924</v>
      </c>
      <c r="M321" s="359">
        <f t="shared" ca="1" si="132"/>
        <v>1.3411413592649293</v>
      </c>
      <c r="N321" s="357">
        <f t="shared" ca="1" si="133"/>
        <v>76.841739616318918</v>
      </c>
      <c r="O321" s="343"/>
      <c r="P321" s="363">
        <f t="shared" ca="1" si="134"/>
        <v>10</v>
      </c>
      <c r="Q321" s="357">
        <f t="shared" ca="1" si="135"/>
        <v>718.51428571428892</v>
      </c>
      <c r="R321" s="359">
        <f t="shared" ca="1" si="136"/>
        <v>0.35992698561748415</v>
      </c>
      <c r="S321" s="360">
        <f t="shared" ca="1" si="137"/>
        <v>10.13603937904114</v>
      </c>
      <c r="T321" s="357">
        <f t="shared" ca="1" si="117"/>
        <v>99.434546308393593</v>
      </c>
      <c r="U321" s="364">
        <f t="shared" ca="1" si="118"/>
        <v>0</v>
      </c>
      <c r="V321" s="359">
        <f t="shared" ca="1" si="119"/>
        <v>1.1798584840263446</v>
      </c>
      <c r="W321" s="357">
        <f t="shared" ca="1" si="120"/>
        <v>135.38422709351258</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375.41931280777141</v>
      </c>
      <c r="AF321" s="344"/>
      <c r="AG321" s="359">
        <f t="shared" ca="1" si="143"/>
        <v>48.031719138171596</v>
      </c>
      <c r="AH321" s="357">
        <f t="shared" ca="1" si="144"/>
        <v>57.584378908826906</v>
      </c>
    </row>
    <row r="322" spans="1:34" x14ac:dyDescent="0.25">
      <c r="A322" s="402">
        <f t="shared" ca="1" si="122"/>
        <v>0.01</v>
      </c>
      <c r="B322" s="357">
        <f t="shared" ca="1" si="123"/>
        <v>3.1799999999999762</v>
      </c>
      <c r="C322" s="342"/>
      <c r="D322" s="359">
        <f t="shared" ca="1" si="124"/>
        <v>13.070776514664811</v>
      </c>
      <c r="E322" s="360">
        <f t="shared" ca="1" si="125"/>
        <v>46.100717889826846</v>
      </c>
      <c r="F322" s="357">
        <f t="shared" ca="1" si="126"/>
        <v>47.917860852230397</v>
      </c>
      <c r="G322" s="359">
        <f t="shared" ca="1" si="127"/>
        <v>51.385069048703279</v>
      </c>
      <c r="H322" s="360">
        <f t="shared" ca="1" si="128"/>
        <v>219.70338586489686</v>
      </c>
      <c r="I322" s="357">
        <f t="shared" ca="1" si="129"/>
        <v>225.63245130441624</v>
      </c>
      <c r="J322" s="359">
        <f t="shared" ca="1" si="130"/>
        <v>82.769367998661636</v>
      </c>
      <c r="K322" s="360">
        <f t="shared" ca="1" si="131"/>
        <v>377.61404163052589</v>
      </c>
      <c r="L322" s="357">
        <f t="shared" ca="1" si="116"/>
        <v>386.57875357479031</v>
      </c>
      <c r="M322" s="359">
        <f t="shared" ca="1" si="132"/>
        <v>1.3410423857472378</v>
      </c>
      <c r="N322" s="357">
        <f t="shared" ca="1" si="133"/>
        <v>76.836068851471623</v>
      </c>
      <c r="O322" s="343"/>
      <c r="P322" s="363">
        <f t="shared" ca="1" si="134"/>
        <v>10</v>
      </c>
      <c r="Q322" s="357">
        <f t="shared" ca="1" si="135"/>
        <v>717.17142857143176</v>
      </c>
      <c r="R322" s="359">
        <f t="shared" ca="1" si="136"/>
        <v>0.35925430515287377</v>
      </c>
      <c r="S322" s="360">
        <f t="shared" ca="1" si="137"/>
        <v>10.132446835989612</v>
      </c>
      <c r="T322" s="357">
        <f t="shared" ca="1" si="117"/>
        <v>99.399303461058096</v>
      </c>
      <c r="U322" s="364">
        <f t="shared" ca="1" si="118"/>
        <v>0</v>
      </c>
      <c r="V322" s="359">
        <f t="shared" ca="1" si="119"/>
        <v>1.1795994737114592</v>
      </c>
      <c r="W322" s="357">
        <f t="shared" ca="1" si="120"/>
        <v>135.9306242316753</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377.61404163052589</v>
      </c>
      <c r="AF322" s="344"/>
      <c r="AG322" s="359">
        <f t="shared" ca="1" si="143"/>
        <v>47.865795390606991</v>
      </c>
      <c r="AH322" s="357">
        <f t="shared" ca="1" si="144"/>
        <v>57.418233808191253</v>
      </c>
    </row>
    <row r="323" spans="1:34" x14ac:dyDescent="0.25">
      <c r="A323" s="402">
        <f t="shared" ca="1" si="122"/>
        <v>0.01</v>
      </c>
      <c r="B323" s="357">
        <f t="shared" ca="1" si="123"/>
        <v>3.189999999999976</v>
      </c>
      <c r="C323" s="342"/>
      <c r="D323" s="359">
        <f t="shared" ca="1" si="124"/>
        <v>13.038461292290616</v>
      </c>
      <c r="E323" s="360">
        <f t="shared" ca="1" si="125"/>
        <v>45.937596440311395</v>
      </c>
      <c r="F323" s="357">
        <f t="shared" ca="1" si="126"/>
        <v>47.752112409646031</v>
      </c>
      <c r="G323" s="359">
        <f t="shared" ca="1" si="127"/>
        <v>51.515453661626182</v>
      </c>
      <c r="H323" s="360">
        <f t="shared" ca="1" si="128"/>
        <v>220.16276182929997</v>
      </c>
      <c r="I323" s="357">
        <f t="shared" ca="1" si="129"/>
        <v>226.10945062572731</v>
      </c>
      <c r="J323" s="359">
        <f t="shared" ca="1" si="130"/>
        <v>83.283870612213278</v>
      </c>
      <c r="K323" s="360">
        <f t="shared" ca="1" si="131"/>
        <v>379.81337236899685</v>
      </c>
      <c r="L323" s="357">
        <f t="shared" ca="1" si="116"/>
        <v>388.83724221640875</v>
      </c>
      <c r="M323" s="359">
        <f t="shared" ca="1" si="132"/>
        <v>1.3409435792107398</v>
      </c>
      <c r="N323" s="357">
        <f t="shared" ca="1" si="133"/>
        <v>76.83040765394199</v>
      </c>
      <c r="O323" s="343"/>
      <c r="P323" s="363">
        <f t="shared" ca="1" si="134"/>
        <v>10</v>
      </c>
      <c r="Q323" s="357">
        <f t="shared" ca="1" si="135"/>
        <v>715.82857142857461</v>
      </c>
      <c r="R323" s="359">
        <f t="shared" ca="1" si="136"/>
        <v>0.35858162468826338</v>
      </c>
      <c r="S323" s="360">
        <f t="shared" ca="1" si="137"/>
        <v>10.128861019742729</v>
      </c>
      <c r="T323" s="357">
        <f t="shared" ca="1" si="117"/>
        <v>99.364126603676169</v>
      </c>
      <c r="U323" s="364">
        <f t="shared" ca="1" si="118"/>
        <v>0</v>
      </c>
      <c r="V323" s="359">
        <f t="shared" ca="1" si="119"/>
        <v>1.1793399762646664</v>
      </c>
      <c r="W323" s="357">
        <f t="shared" ca="1" si="120"/>
        <v>136.47593161826561</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379.81337236899685</v>
      </c>
      <c r="AF323" s="344"/>
      <c r="AG323" s="359">
        <f t="shared" ca="1" si="143"/>
        <v>47.699821758813613</v>
      </c>
      <c r="AH323" s="357">
        <f t="shared" ca="1" si="144"/>
        <v>57.252039105540867</v>
      </c>
    </row>
    <row r="324" spans="1:34" x14ac:dyDescent="0.25">
      <c r="A324" s="402">
        <f t="shared" ca="1" si="122"/>
        <v>0.01</v>
      </c>
      <c r="B324" s="357">
        <f t="shared" ca="1" si="123"/>
        <v>3.1999999999999758</v>
      </c>
      <c r="C324" s="342"/>
      <c r="D324" s="359">
        <f t="shared" ca="1" si="124"/>
        <v>13.006093688445688</v>
      </c>
      <c r="E324" s="360">
        <f t="shared" ca="1" si="125"/>
        <v>45.774437358683599</v>
      </c>
      <c r="F324" s="357">
        <f t="shared" ca="1" si="126"/>
        <v>47.586317240743426</v>
      </c>
      <c r="G324" s="359">
        <f t="shared" ca="1" si="127"/>
        <v>51.645514598510637</v>
      </c>
      <c r="H324" s="360">
        <f t="shared" ca="1" si="128"/>
        <v>220.62050620288682</v>
      </c>
      <c r="I324" s="357">
        <f t="shared" ca="1" si="129"/>
        <v>226.58478972641345</v>
      </c>
      <c r="J324" s="359">
        <f t="shared" ca="1" si="130"/>
        <v>83.799675453513956</v>
      </c>
      <c r="K324" s="360">
        <f t="shared" ca="1" si="131"/>
        <v>382.01728870915781</v>
      </c>
      <c r="L324" s="357">
        <f t="shared" ref="L324:L387" ca="1" si="145">SQRT(pos_x^2+pos_z^2)</f>
        <v>391.10049153486153</v>
      </c>
      <c r="M324" s="359">
        <f t="shared" ca="1" si="132"/>
        <v>1.3408449383010006</v>
      </c>
      <c r="N324" s="357">
        <f t="shared" ca="1" si="133"/>
        <v>76.824755946126601</v>
      </c>
      <c r="O324" s="343"/>
      <c r="P324" s="363">
        <f t="shared" ca="1" si="134"/>
        <v>10</v>
      </c>
      <c r="Q324" s="357">
        <f t="shared" ca="1" si="135"/>
        <v>714.48571428571756</v>
      </c>
      <c r="R324" s="359">
        <f t="shared" ca="1" si="136"/>
        <v>0.35790894422365305</v>
      </c>
      <c r="S324" s="360">
        <f t="shared" ca="1" si="137"/>
        <v>10.125281930300492</v>
      </c>
      <c r="T324" s="357">
        <f t="shared" ref="T324:T387" ca="1" si="146">m*g</f>
        <v>99.329015736247825</v>
      </c>
      <c r="U324" s="364">
        <f t="shared" ref="U324:U387" ca="1" si="147">IF(pos_xz&lt;L_rampe,Poids*COS(Beta),0)</f>
        <v>0</v>
      </c>
      <c r="V324" s="359">
        <f t="shared" ref="V324:V387" ca="1" si="148">Rho_moyen*(20000-Alt_rampe-pos_z)/(20000+Alt_rampe+pos_z)</f>
        <v>1.1790799939436853</v>
      </c>
      <c r="W324" s="357">
        <f t="shared" ref="W324:W387" ca="1" si="149">1/2*Rho*Sref*Cx*vit_xz^2</f>
        <v>137.02013605652189</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382.01728870915781</v>
      </c>
      <c r="AF324" s="344"/>
      <c r="AG324" s="359">
        <f t="shared" ca="1" si="143"/>
        <v>47.533799834782513</v>
      </c>
      <c r="AH324" s="357">
        <f t="shared" ca="1" si="144"/>
        <v>57.085796390293517</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12.973674208241263</v>
      </c>
      <c r="E325" s="360">
        <f t="shared" ref="E325:E388" ca="1" si="154">IF(AND(L324&lt;L_rampe,Poussee&lt;Poids*SIN(M324)),0,(-W324+Poussee)/m*SIN(M324)+U324/m*COS(M324)-Poids/m)</f>
        <v>45.611242161774634</v>
      </c>
      <c r="F325" s="357">
        <f t="shared" ref="F325:F388" ca="1" si="155">SQRT(acc_x^2+acc_z^2)</f>
        <v>47.420476948272388</v>
      </c>
      <c r="G325" s="359">
        <f t="shared" ref="G325:G388" ca="1" si="156">G324+acc_x*pas</f>
        <v>51.775251340593051</v>
      </c>
      <c r="H325" s="360">
        <f t="shared" ref="H325:H388" ca="1" si="157">H324+acc_z*pas</f>
        <v>221.07661862450456</v>
      </c>
      <c r="I325" s="357">
        <f t="shared" ref="I325:I388" ca="1" si="158">SQRT(vit_x^2+vit_z^2)</f>
        <v>227.0584681394337</v>
      </c>
      <c r="J325" s="359">
        <f t="shared" ref="J325:J388" ca="1" si="159">J324+0.5*(vit_x+G324)*pas*(K324&gt;=0)</f>
        <v>84.31677928320947</v>
      </c>
      <c r="K325" s="360">
        <f t="shared" ref="K325:K388" ca="1" si="160">K324+0.5*(vit_z+H324)*pas</f>
        <v>384.22577433329479</v>
      </c>
      <c r="L325" s="357">
        <f t="shared" ca="1" si="145"/>
        <v>393.36848492312322</v>
      </c>
      <c r="M325" s="359">
        <f t="shared" ref="M325:M388" ca="1" si="161">IF(AND(L324&gt;L_rampe,G325&gt;0),ATAN2(G325,H325),$M$4)</f>
        <v>1.3407464616749474</v>
      </c>
      <c r="N325" s="357">
        <f t="shared" ref="N325:N388" ca="1" si="162">DEGREES(Beta)</f>
        <v>76.819113651073067</v>
      </c>
      <c r="O325" s="343"/>
      <c r="P325" s="363">
        <f t="shared" ref="P325:P388" ca="1" si="163">MATCH(t-pas/2-T_ini,CdP_t)</f>
        <v>10</v>
      </c>
      <c r="Q325" s="357">
        <f t="shared" ref="Q325:Q388" ca="1" si="164">(INDEX(CdP,2,i_P+1)-INDEX(CdP,2,i_P+0))/(INDEX(CdP,1,i_P+1)-INDEX(CdP,1,i_P+0))*(t-pas/2-T_ini-INDEX(CdP,1,i_P+0))+INDEX(CdP,2,i_P+0)</f>
        <v>713.14285714286041</v>
      </c>
      <c r="R325" s="359">
        <f t="shared" ref="R325:R388" ca="1" si="165">Poussee/(g*ISP)</f>
        <v>0.35723626375904266</v>
      </c>
      <c r="S325" s="360">
        <f t="shared" ref="S325:S388" ca="1" si="166">S324-Débit*pas</f>
        <v>10.121709567662901</v>
      </c>
      <c r="T325" s="357">
        <f t="shared" ca="1" si="146"/>
        <v>99.293970858773065</v>
      </c>
      <c r="U325" s="364">
        <f t="shared" ca="1" si="147"/>
        <v>0</v>
      </c>
      <c r="V325" s="359">
        <f t="shared" ca="1" si="148"/>
        <v>1.1788195290055179</v>
      </c>
      <c r="W325" s="357">
        <f t="shared" ca="1" si="149"/>
        <v>137.56322442609084</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384.22577433329479</v>
      </c>
      <c r="AF325" s="344"/>
      <c r="AG325" s="359">
        <f t="shared" ref="AG325:AG388" ca="1" si="172">IF(AND(L324&lt;L_rampe,Poussee&lt;Poids*SIN(M324)),0,(-W324+Poussee)/m-Poids*SIN(M324)/m)</f>
        <v>47.367731205392886</v>
      </c>
      <c r="AH325" s="357">
        <f t="shared" ref="AH325:AH388" ca="1" si="173">IF(AND(L324&lt;L_rampe,Poussee&lt;Poids*SIN(M324)), g*SIN(M324), (-W324+Poussee)/m)</f>
        <v>56.91950724677482</v>
      </c>
    </row>
    <row r="326" spans="1:34" x14ac:dyDescent="0.25">
      <c r="A326" s="402">
        <f t="shared" ca="1" si="151"/>
        <v>0.01</v>
      </c>
      <c r="B326" s="357">
        <f t="shared" ca="1" si="152"/>
        <v>3.2199999999999753</v>
      </c>
      <c r="C326" s="342"/>
      <c r="D326" s="359">
        <f t="shared" ca="1" si="153"/>
        <v>12.941203354755048</v>
      </c>
      <c r="E326" s="360">
        <f t="shared" ca="1" si="154"/>
        <v>45.448012361559506</v>
      </c>
      <c r="F326" s="357">
        <f t="shared" ca="1" si="155"/>
        <v>47.25459313003963</v>
      </c>
      <c r="G326" s="359">
        <f t="shared" ca="1" si="156"/>
        <v>51.904663374140604</v>
      </c>
      <c r="H326" s="360">
        <f t="shared" ca="1" si="157"/>
        <v>221.53109874812014</v>
      </c>
      <c r="I326" s="357">
        <f t="shared" ca="1" si="158"/>
        <v>227.53048541356432</v>
      </c>
      <c r="J326" s="359">
        <f t="shared" ca="1" si="159"/>
        <v>84.835178856783145</v>
      </c>
      <c r="K326" s="360">
        <f t="shared" ca="1" si="160"/>
        <v>386.43881292015794</v>
      </c>
      <c r="L326" s="357">
        <f t="shared" ca="1" si="145"/>
        <v>395.64120576957504</v>
      </c>
      <c r="M326" s="359">
        <f t="shared" ca="1" si="161"/>
        <v>1.3406481480007302</v>
      </c>
      <c r="N326" s="357">
        <f t="shared" ca="1" si="162"/>
        <v>76.813480692471998</v>
      </c>
      <c r="O326" s="343"/>
      <c r="P326" s="363">
        <f t="shared" ca="1" si="163"/>
        <v>10</v>
      </c>
      <c r="Q326" s="357">
        <f t="shared" ca="1" si="164"/>
        <v>711.80000000000337</v>
      </c>
      <c r="R326" s="359">
        <f t="shared" ca="1" si="165"/>
        <v>0.35656358329443238</v>
      </c>
      <c r="S326" s="360">
        <f t="shared" ca="1" si="166"/>
        <v>10.118143931829957</v>
      </c>
      <c r="T326" s="357">
        <f t="shared" ca="1" si="146"/>
        <v>99.258991971251888</v>
      </c>
      <c r="U326" s="364">
        <f t="shared" ca="1" si="147"/>
        <v>0</v>
      </c>
      <c r="V326" s="359">
        <f t="shared" ca="1" si="148"/>
        <v>1.1785585837064219</v>
      </c>
      <c r="W326" s="357">
        <f t="shared" ca="1" si="149"/>
        <v>138.10518368317722</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386.43881292015794</v>
      </c>
      <c r="AF326" s="344"/>
      <c r="AG326" s="359">
        <f t="shared" ca="1" si="172"/>
        <v>47.201617452377654</v>
      </c>
      <c r="AH326" s="357">
        <f t="shared" ca="1" si="173"/>
        <v>56.75317325418365</v>
      </c>
    </row>
    <row r="327" spans="1:34" x14ac:dyDescent="0.25">
      <c r="A327" s="402">
        <f t="shared" ca="1" si="151"/>
        <v>0.01</v>
      </c>
      <c r="B327" s="357">
        <f t="shared" ca="1" si="152"/>
        <v>3.2299999999999751</v>
      </c>
      <c r="C327" s="342"/>
      <c r="D327" s="359">
        <f t="shared" ca="1" si="153"/>
        <v>12.90868162903479</v>
      </c>
      <c r="E327" s="360">
        <f t="shared" ca="1" si="154"/>
        <v>45.284749465121592</v>
      </c>
      <c r="F327" s="357">
        <f t="shared" ca="1" si="155"/>
        <v>47.088667378878014</v>
      </c>
      <c r="G327" s="359">
        <f t="shared" ca="1" si="156"/>
        <v>52.033750190430951</v>
      </c>
      <c r="H327" s="360">
        <f t="shared" ca="1" si="157"/>
        <v>221.98394624277137</v>
      </c>
      <c r="I327" s="357">
        <f t="shared" ca="1" si="158"/>
        <v>228.00084111334718</v>
      </c>
      <c r="J327" s="359">
        <f t="shared" ca="1" si="159"/>
        <v>85.354870924606004</v>
      </c>
      <c r="K327" s="360">
        <f t="shared" ca="1" si="160"/>
        <v>388.65638814511237</v>
      </c>
      <c r="L327" s="357">
        <f t="shared" ca="1" si="145"/>
        <v>397.91863745816232</v>
      </c>
      <c r="M327" s="359">
        <f t="shared" ca="1" si="161"/>
        <v>1.3405499959575828</v>
      </c>
      <c r="N327" s="357">
        <f t="shared" ca="1" si="162"/>
        <v>76.807856994649072</v>
      </c>
      <c r="O327" s="343"/>
      <c r="P327" s="363">
        <f t="shared" ca="1" si="163"/>
        <v>10</v>
      </c>
      <c r="Q327" s="357">
        <f t="shared" ca="1" si="164"/>
        <v>710.45714285714621</v>
      </c>
      <c r="R327" s="359">
        <f t="shared" ca="1" si="165"/>
        <v>0.355890902829822</v>
      </c>
      <c r="S327" s="360">
        <f t="shared" ca="1" si="166"/>
        <v>10.114585022801659</v>
      </c>
      <c r="T327" s="357">
        <f t="shared" ca="1" si="146"/>
        <v>99.22407907368428</v>
      </c>
      <c r="U327" s="364">
        <f t="shared" ca="1" si="147"/>
        <v>0</v>
      </c>
      <c r="V327" s="359">
        <f t="shared" ca="1" si="148"/>
        <v>1.1782971603018835</v>
      </c>
      <c r="W327" s="357">
        <f t="shared" ca="1" si="149"/>
        <v>138.64600086068907</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388.65638814511237</v>
      </c>
      <c r="AF327" s="344"/>
      <c r="AG327" s="359">
        <f t="shared" ca="1" si="172"/>
        <v>47.035460152289254</v>
      </c>
      <c r="AH327" s="357">
        <f t="shared" ca="1" si="173"/>
        <v>56.586795986557647</v>
      </c>
    </row>
    <row r="328" spans="1:34" x14ac:dyDescent="0.25">
      <c r="A328" s="402">
        <f t="shared" ca="1" si="151"/>
        <v>0.01</v>
      </c>
      <c r="B328" s="357">
        <f t="shared" ca="1" si="152"/>
        <v>3.2399999999999749</v>
      </c>
      <c r="C328" s="342"/>
      <c r="D328" s="359">
        <f t="shared" ca="1" si="153"/>
        <v>12.876109530101862</v>
      </c>
      <c r="E328" s="360">
        <f t="shared" ca="1" si="154"/>
        <v>45.121454974617819</v>
      </c>
      <c r="F328" s="357">
        <f t="shared" ca="1" si="155"/>
        <v>46.922701282616316</v>
      </c>
      <c r="G328" s="359">
        <f t="shared" ca="1" si="156"/>
        <v>52.162511285731966</v>
      </c>
      <c r="H328" s="360">
        <f t="shared" ca="1" si="157"/>
        <v>222.43516079251754</v>
      </c>
      <c r="I328" s="357">
        <f t="shared" ca="1" si="158"/>
        <v>228.46953481903719</v>
      </c>
      <c r="J328" s="359">
        <f t="shared" ca="1" si="159"/>
        <v>85.875852231986812</v>
      </c>
      <c r="K328" s="360">
        <f t="shared" ca="1" si="160"/>
        <v>390.87848368028881</v>
      </c>
      <c r="L328" s="357">
        <f t="shared" ca="1" si="145"/>
        <v>400.20076336855215</v>
      </c>
      <c r="M328" s="359">
        <f t="shared" ca="1" si="161"/>
        <v>1.3404520042356853</v>
      </c>
      <c r="N328" s="357">
        <f t="shared" ca="1" si="162"/>
        <v>76.802242482557119</v>
      </c>
      <c r="O328" s="343"/>
      <c r="P328" s="363">
        <f t="shared" ca="1" si="163"/>
        <v>10</v>
      </c>
      <c r="Q328" s="357">
        <f t="shared" ca="1" si="164"/>
        <v>709.11428571428905</v>
      </c>
      <c r="R328" s="359">
        <f t="shared" ca="1" si="165"/>
        <v>0.35521822236521161</v>
      </c>
      <c r="S328" s="360">
        <f t="shared" ca="1" si="166"/>
        <v>10.111032840578007</v>
      </c>
      <c r="T328" s="357">
        <f t="shared" ca="1" si="146"/>
        <v>99.189232166070255</v>
      </c>
      <c r="U328" s="364">
        <f t="shared" ca="1" si="147"/>
        <v>0</v>
      </c>
      <c r="V328" s="359">
        <f t="shared" ca="1" si="148"/>
        <v>1.1780352610465923</v>
      </c>
      <c r="W328" s="357">
        <f t="shared" ca="1" si="149"/>
        <v>139.18566306837826</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390.87848368028881</v>
      </c>
      <c r="AF328" s="344"/>
      <c r="AG328" s="359">
        <f t="shared" ca="1" si="172"/>
        <v>46.869260876465987</v>
      </c>
      <c r="AH328" s="357">
        <f t="shared" ca="1" si="173"/>
        <v>56.420377012739337</v>
      </c>
    </row>
    <row r="329" spans="1:34" x14ac:dyDescent="0.25">
      <c r="A329" s="402">
        <f t="shared" ca="1" si="151"/>
        <v>0.01</v>
      </c>
      <c r="B329" s="357">
        <f t="shared" ca="1" si="152"/>
        <v>3.2499999999999747</v>
      </c>
      <c r="C329" s="342"/>
      <c r="D329" s="359">
        <f t="shared" ca="1" si="153"/>
        <v>12.843487554954795</v>
      </c>
      <c r="E329" s="360">
        <f t="shared" ca="1" si="154"/>
        <v>44.958130387244218</v>
      </c>
      <c r="F329" s="357">
        <f t="shared" ca="1" si="155"/>
        <v>46.756696424049579</v>
      </c>
      <c r="G329" s="359">
        <f t="shared" ca="1" si="156"/>
        <v>52.290946161281518</v>
      </c>
      <c r="H329" s="360">
        <f t="shared" ca="1" si="157"/>
        <v>222.88474209638997</v>
      </c>
      <c r="I329" s="357">
        <f t="shared" ca="1" si="158"/>
        <v>228.93656612655025</v>
      </c>
      <c r="J329" s="359">
        <f t="shared" ca="1" si="159"/>
        <v>86.398119519221879</v>
      </c>
      <c r="K329" s="360">
        <f t="shared" ca="1" si="160"/>
        <v>393.10508319473337</v>
      </c>
      <c r="L329" s="357">
        <f t="shared" ca="1" si="145"/>
        <v>402.48756687628997</v>
      </c>
      <c r="M329" s="359">
        <f t="shared" ca="1" si="161"/>
        <v>1.3403541715360319</v>
      </c>
      <c r="N329" s="357">
        <f t="shared" ca="1" si="162"/>
        <v>76.796637081768608</v>
      </c>
      <c r="O329" s="343"/>
      <c r="P329" s="363">
        <f t="shared" ca="1" si="163"/>
        <v>10</v>
      </c>
      <c r="Q329" s="357">
        <f t="shared" ca="1" si="164"/>
        <v>707.77142857143201</v>
      </c>
      <c r="R329" s="359">
        <f t="shared" ca="1" si="165"/>
        <v>0.35454554190060128</v>
      </c>
      <c r="S329" s="360">
        <f t="shared" ca="1" si="166"/>
        <v>10.107487385159001</v>
      </c>
      <c r="T329" s="357">
        <f t="shared" ca="1" si="146"/>
        <v>99.154451248409799</v>
      </c>
      <c r="U329" s="364">
        <f t="shared" ca="1" si="147"/>
        <v>0</v>
      </c>
      <c r="V329" s="359">
        <f t="shared" ca="1" si="148"/>
        <v>1.1777728881944145</v>
      </c>
      <c r="W329" s="357">
        <f t="shared" ca="1" si="149"/>
        <v>139.72415749297721</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393.10508319473337</v>
      </c>
      <c r="AF329" s="344"/>
      <c r="AG329" s="359">
        <f t="shared" ca="1" si="172"/>
        <v>46.703021190998768</v>
      </c>
      <c r="AH329" s="357">
        <f t="shared" ca="1" si="173"/>
        <v>56.253917896342671</v>
      </c>
    </row>
    <row r="330" spans="1:34" x14ac:dyDescent="0.25">
      <c r="A330" s="402">
        <f t="shared" ca="1" si="151"/>
        <v>0.01</v>
      </c>
      <c r="B330" s="357">
        <f t="shared" ca="1" si="152"/>
        <v>3.2599999999999745</v>
      </c>
      <c r="C330" s="342"/>
      <c r="D330" s="359">
        <f t="shared" ca="1" si="153"/>
        <v>12.811300745038917</v>
      </c>
      <c r="E330" s="360">
        <f t="shared" ca="1" si="154"/>
        <v>44.796842524329385</v>
      </c>
      <c r="F330" s="357">
        <f t="shared" ca="1" si="155"/>
        <v>46.592773333741363</v>
      </c>
      <c r="G330" s="359">
        <f t="shared" ca="1" si="156"/>
        <v>52.419059168731906</v>
      </c>
      <c r="H330" s="360">
        <f t="shared" ca="1" si="157"/>
        <v>223.33271052163326</v>
      </c>
      <c r="I330" s="357">
        <f t="shared" ca="1" si="158"/>
        <v>229.40195586148488</v>
      </c>
      <c r="J330" s="359">
        <f t="shared" ca="1" si="159"/>
        <v>86.92166954587195</v>
      </c>
      <c r="K330" s="360">
        <f t="shared" ca="1" si="160"/>
        <v>395.33617045782347</v>
      </c>
      <c r="L330" s="357">
        <f t="shared" ca="1" si="145"/>
        <v>404.77903145901593</v>
      </c>
      <c r="M330" s="359">
        <f t="shared" ca="1" si="161"/>
        <v>1.3402564965793291</v>
      </c>
      <c r="N330" s="357">
        <f t="shared" ca="1" si="162"/>
        <v>76.791040718985414</v>
      </c>
      <c r="O330" s="343"/>
      <c r="P330" s="363">
        <f t="shared" ca="1" si="163"/>
        <v>11</v>
      </c>
      <c r="Q330" s="357">
        <f t="shared" ca="1" si="164"/>
        <v>706.45000000000334</v>
      </c>
      <c r="R330" s="359">
        <f t="shared" ca="1" si="165"/>
        <v>0.35388359569872402</v>
      </c>
      <c r="S330" s="360">
        <f t="shared" ca="1" si="166"/>
        <v>10.103948549202013</v>
      </c>
      <c r="T330" s="357">
        <f t="shared" ca="1" si="146"/>
        <v>99.119735267671743</v>
      </c>
      <c r="U330" s="364">
        <f t="shared" ca="1" si="147"/>
        <v>0</v>
      </c>
      <c r="V330" s="359">
        <f t="shared" ca="1" si="148"/>
        <v>1.1775100439862018</v>
      </c>
      <c r="W330" s="357">
        <f t="shared" ca="1" si="149"/>
        <v>140.26149733840182</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395.33617045782347</v>
      </c>
      <c r="AF330" s="344"/>
      <c r="AG330" s="359">
        <f t="shared" ca="1" si="172"/>
        <v>46.538864064175144</v>
      </c>
      <c r="AH330" s="357">
        <f t="shared" ca="1" si="173"/>
        <v>56.089541603196786</v>
      </c>
    </row>
    <row r="331" spans="1:34" x14ac:dyDescent="0.25">
      <c r="A331" s="402">
        <f t="shared" ca="1" si="151"/>
        <v>0.01</v>
      </c>
      <c r="B331" s="357">
        <f t="shared" ca="1" si="152"/>
        <v>3.2699999999999743</v>
      </c>
      <c r="C331" s="342"/>
      <c r="D331" s="359">
        <f t="shared" ca="1" si="153"/>
        <v>12.779550254330932</v>
      </c>
      <c r="E331" s="360">
        <f t="shared" ca="1" si="154"/>
        <v>44.637592971100617</v>
      </c>
      <c r="F331" s="357">
        <f t="shared" ca="1" si="155"/>
        <v>46.430933772180595</v>
      </c>
      <c r="G331" s="359">
        <f t="shared" ca="1" si="156"/>
        <v>52.546854671275213</v>
      </c>
      <c r="H331" s="360">
        <f t="shared" ca="1" si="157"/>
        <v>223.77908645134426</v>
      </c>
      <c r="I331" s="357">
        <f t="shared" ca="1" si="158"/>
        <v>229.86572486745894</v>
      </c>
      <c r="J331" s="359">
        <f t="shared" ca="1" si="159"/>
        <v>87.446499115071987</v>
      </c>
      <c r="K331" s="360">
        <f t="shared" ca="1" si="160"/>
        <v>397.57172944268837</v>
      </c>
      <c r="L331" s="357">
        <f t="shared" ca="1" si="145"/>
        <v>407.07514080269317</v>
      </c>
      <c r="M331" s="359">
        <f t="shared" ca="1" si="161"/>
        <v>1.3401589781057401</v>
      </c>
      <c r="N331" s="357">
        <f t="shared" ca="1" si="162"/>
        <v>76.78545332202421</v>
      </c>
      <c r="O331" s="343"/>
      <c r="P331" s="363">
        <f t="shared" ca="1" si="163"/>
        <v>11</v>
      </c>
      <c r="Q331" s="357">
        <f t="shared" ca="1" si="164"/>
        <v>705.15000000000339</v>
      </c>
      <c r="R331" s="359">
        <f t="shared" ca="1" si="165"/>
        <v>0.35323238375957994</v>
      </c>
      <c r="S331" s="360">
        <f t="shared" ca="1" si="166"/>
        <v>10.100416225364416</v>
      </c>
      <c r="T331" s="357">
        <f t="shared" ca="1" si="146"/>
        <v>99.08508317082493</v>
      </c>
      <c r="U331" s="364">
        <f t="shared" ca="1" si="147"/>
        <v>0</v>
      </c>
      <c r="V331" s="359">
        <f t="shared" ca="1" si="148"/>
        <v>1.1772467306376182</v>
      </c>
      <c r="W331" s="357">
        <f t="shared" ca="1" si="149"/>
        <v>140.7976960724086</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397.57172944268837</v>
      </c>
      <c r="AF331" s="344"/>
      <c r="AG331" s="359">
        <f t="shared" ca="1" si="172"/>
        <v>46.376791297946689</v>
      </c>
      <c r="AH331" s="357">
        <f t="shared" ca="1" si="173"/>
        <v>55.927249932833419</v>
      </c>
    </row>
    <row r="332" spans="1:34" x14ac:dyDescent="0.25">
      <c r="A332" s="402">
        <f t="shared" ca="1" si="151"/>
        <v>0.01</v>
      </c>
      <c r="B332" s="357">
        <f t="shared" ca="1" si="152"/>
        <v>3.279999999999974</v>
      </c>
      <c r="C332" s="342"/>
      <c r="D332" s="359">
        <f t="shared" ca="1" si="153"/>
        <v>12.747751937015316</v>
      </c>
      <c r="E332" s="360">
        <f t="shared" ca="1" si="154"/>
        <v>44.47831660086139</v>
      </c>
      <c r="F332" s="357">
        <f t="shared" ca="1" si="155"/>
        <v>46.269059068605877</v>
      </c>
      <c r="G332" s="359">
        <f t="shared" ca="1" si="156"/>
        <v>52.674332190645366</v>
      </c>
      <c r="H332" s="360">
        <f t="shared" ca="1" si="157"/>
        <v>224.22386961735288</v>
      </c>
      <c r="I332" s="357">
        <f t="shared" ca="1" si="158"/>
        <v>230.32787277685287</v>
      </c>
      <c r="J332" s="359">
        <f t="shared" ca="1" si="159"/>
        <v>87.972605049381585</v>
      </c>
      <c r="K332" s="360">
        <f t="shared" ca="1" si="160"/>
        <v>399.81174422303184</v>
      </c>
      <c r="L332" s="357">
        <f t="shared" ca="1" si="145"/>
        <v>409.37587869565237</v>
      </c>
      <c r="M332" s="359">
        <f t="shared" ca="1" si="161"/>
        <v>1.3400616148656603</v>
      </c>
      <c r="N332" s="357">
        <f t="shared" ca="1" si="162"/>
        <v>76.779874819287912</v>
      </c>
      <c r="O332" s="343"/>
      <c r="P332" s="363">
        <f t="shared" ca="1" si="163"/>
        <v>11</v>
      </c>
      <c r="Q332" s="357">
        <f t="shared" ca="1" si="164"/>
        <v>703.85000000000343</v>
      </c>
      <c r="R332" s="359">
        <f t="shared" ca="1" si="165"/>
        <v>0.35258117182043586</v>
      </c>
      <c r="S332" s="360">
        <f t="shared" ca="1" si="166"/>
        <v>10.096890413646213</v>
      </c>
      <c r="T332" s="357">
        <f t="shared" ca="1" si="146"/>
        <v>99.050494957869347</v>
      </c>
      <c r="U332" s="364">
        <f t="shared" ca="1" si="147"/>
        <v>0</v>
      </c>
      <c r="V332" s="359">
        <f t="shared" ca="1" si="148"/>
        <v>1.1769829503513032</v>
      </c>
      <c r="W332" s="357">
        <f t="shared" ca="1" si="149"/>
        <v>141.33274137283229</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399.81174422303184</v>
      </c>
      <c r="AF332" s="344"/>
      <c r="AG332" s="359">
        <f t="shared" ca="1" si="172"/>
        <v>46.214681768582835</v>
      </c>
      <c r="AH332" s="357">
        <f t="shared" ca="1" si="173"/>
        <v>55.764921759140307</v>
      </c>
    </row>
    <row r="333" spans="1:34" x14ac:dyDescent="0.25">
      <c r="A333" s="402">
        <f t="shared" ca="1" si="151"/>
        <v>0.01</v>
      </c>
      <c r="B333" s="357">
        <f t="shared" ca="1" si="152"/>
        <v>3.2899999999999738</v>
      </c>
      <c r="C333" s="342"/>
      <c r="D333" s="359">
        <f t="shared" ca="1" si="153"/>
        <v>12.715906268413859</v>
      </c>
      <c r="E333" s="360">
        <f t="shared" ca="1" si="154"/>
        <v>44.319014846849207</v>
      </c>
      <c r="F333" s="357">
        <f t="shared" ca="1" si="155"/>
        <v>46.107150738495299</v>
      </c>
      <c r="G333" s="359">
        <f t="shared" ca="1" si="156"/>
        <v>52.801491253329502</v>
      </c>
      <c r="H333" s="360">
        <f t="shared" ca="1" si="157"/>
        <v>224.66705976582136</v>
      </c>
      <c r="I333" s="357">
        <f t="shared" ca="1" si="158"/>
        <v>230.78839923703831</v>
      </c>
      <c r="J333" s="359">
        <f t="shared" ca="1" si="159"/>
        <v>88.499984166601465</v>
      </c>
      <c r="K333" s="360">
        <f t="shared" ca="1" si="160"/>
        <v>402.05619886994771</v>
      </c>
      <c r="L333" s="357">
        <f t="shared" ca="1" si="145"/>
        <v>411.68122892262119</v>
      </c>
      <c r="M333" s="359">
        <f t="shared" ca="1" si="161"/>
        <v>1.3399644056195927</v>
      </c>
      <c r="N333" s="357">
        <f t="shared" ca="1" si="162"/>
        <v>76.774305139758596</v>
      </c>
      <c r="O333" s="343"/>
      <c r="P333" s="363">
        <f t="shared" ca="1" si="163"/>
        <v>11</v>
      </c>
      <c r="Q333" s="357">
        <f t="shared" ca="1" si="164"/>
        <v>702.55000000000337</v>
      </c>
      <c r="R333" s="359">
        <f t="shared" ca="1" si="165"/>
        <v>0.35192995988129178</v>
      </c>
      <c r="S333" s="360">
        <f t="shared" ca="1" si="166"/>
        <v>10.0933711140474</v>
      </c>
      <c r="T333" s="357">
        <f t="shared" ca="1" si="146"/>
        <v>99.015970628805007</v>
      </c>
      <c r="U333" s="364">
        <f t="shared" ca="1" si="147"/>
        <v>0</v>
      </c>
      <c r="V333" s="359">
        <f t="shared" ca="1" si="148"/>
        <v>1.176718705329028</v>
      </c>
      <c r="W333" s="357">
        <f t="shared" ca="1" si="149"/>
        <v>141.86662099162166</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402.05619886994771</v>
      </c>
      <c r="AF333" s="344"/>
      <c r="AG333" s="359">
        <f t="shared" ca="1" si="172"/>
        <v>46.052536975207836</v>
      </c>
      <c r="AH333" s="357">
        <f t="shared" ca="1" si="173"/>
        <v>55.602558578877542</v>
      </c>
    </row>
    <row r="334" spans="1:34" x14ac:dyDescent="0.25">
      <c r="A334" s="402">
        <f t="shared" ca="1" si="151"/>
        <v>0.01</v>
      </c>
      <c r="B334" s="357">
        <f t="shared" ca="1" si="152"/>
        <v>3.2999999999999736</v>
      </c>
      <c r="C334" s="342"/>
      <c r="D334" s="359">
        <f t="shared" ca="1" si="153"/>
        <v>12.684013721928892</v>
      </c>
      <c r="E334" s="360">
        <f t="shared" ca="1" si="154"/>
        <v>44.159689137433283</v>
      </c>
      <c r="F334" s="357">
        <f t="shared" ca="1" si="155"/>
        <v>45.945210292399615</v>
      </c>
      <c r="G334" s="359">
        <f t="shared" ca="1" si="156"/>
        <v>52.928331390548792</v>
      </c>
      <c r="H334" s="360">
        <f t="shared" ca="1" si="157"/>
        <v>225.1086566571957</v>
      </c>
      <c r="I334" s="357">
        <f t="shared" ca="1" si="158"/>
        <v>231.24730391032662</v>
      </c>
      <c r="J334" s="359">
        <f t="shared" ca="1" si="159"/>
        <v>89.028633279820852</v>
      </c>
      <c r="K334" s="360">
        <f t="shared" ca="1" si="160"/>
        <v>404.30507745206279</v>
      </c>
      <c r="L334" s="357">
        <f t="shared" ca="1" si="145"/>
        <v>413.99117526487362</v>
      </c>
      <c r="M334" s="359">
        <f t="shared" ca="1" si="161"/>
        <v>1.3398673491380282</v>
      </c>
      <c r="N334" s="357">
        <f t="shared" ca="1" si="162"/>
        <v>76.768744212990555</v>
      </c>
      <c r="O334" s="343"/>
      <c r="P334" s="363">
        <f t="shared" ca="1" si="163"/>
        <v>11</v>
      </c>
      <c r="Q334" s="357">
        <f t="shared" ca="1" si="164"/>
        <v>701.25000000000341</v>
      </c>
      <c r="R334" s="359">
        <f t="shared" ca="1" si="165"/>
        <v>0.3512787479421477</v>
      </c>
      <c r="S334" s="360">
        <f t="shared" ca="1" si="166"/>
        <v>10.089858326567979</v>
      </c>
      <c r="T334" s="357">
        <f t="shared" ca="1" si="146"/>
        <v>98.981510183631883</v>
      </c>
      <c r="U334" s="364">
        <f t="shared" ca="1" si="147"/>
        <v>0</v>
      </c>
      <c r="V334" s="359">
        <f t="shared" ca="1" si="148"/>
        <v>1.1764539977716679</v>
      </c>
      <c r="W334" s="357">
        <f t="shared" ca="1" si="149"/>
        <v>142.39932275495511</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404.30507745206279</v>
      </c>
      <c r="AF334" s="344"/>
      <c r="AG334" s="359">
        <f t="shared" ca="1" si="172"/>
        <v>45.890358411809004</v>
      </c>
      <c r="AH334" s="357">
        <f t="shared" ca="1" si="173"/>
        <v>55.44016188368559</v>
      </c>
    </row>
    <row r="335" spans="1:34" x14ac:dyDescent="0.25">
      <c r="A335" s="402">
        <f t="shared" ca="1" si="151"/>
        <v>0.01</v>
      </c>
      <c r="B335" s="357">
        <f t="shared" ca="1" si="152"/>
        <v>3.3099999999999734</v>
      </c>
      <c r="C335" s="342"/>
      <c r="D335" s="359">
        <f t="shared" ca="1" si="153"/>
        <v>12.652074769045882</v>
      </c>
      <c r="E335" s="360">
        <f t="shared" ca="1" si="154"/>
        <v>44.000340896083692</v>
      </c>
      <c r="F335" s="357">
        <f t="shared" ca="1" si="155"/>
        <v>45.783239235915822</v>
      </c>
      <c r="G335" s="359">
        <f t="shared" ca="1" si="156"/>
        <v>53.054852138239248</v>
      </c>
      <c r="H335" s="360">
        <f t="shared" ca="1" si="157"/>
        <v>225.54866006615654</v>
      </c>
      <c r="I335" s="357">
        <f t="shared" ca="1" si="158"/>
        <v>231.7045864739174</v>
      </c>
      <c r="J335" s="359">
        <f t="shared" ca="1" si="159"/>
        <v>89.558549197464785</v>
      </c>
      <c r="K335" s="360">
        <f t="shared" ca="1" si="160"/>
        <v>406.55836403567957</v>
      </c>
      <c r="L335" s="357">
        <f t="shared" ca="1" si="145"/>
        <v>416.30570150037926</v>
      </c>
      <c r="M335" s="359">
        <f t="shared" ca="1" si="161"/>
        <v>1.3397704442013243</v>
      </c>
      <c r="N335" s="357">
        <f t="shared" ca="1" si="162"/>
        <v>76.763191969103445</v>
      </c>
      <c r="O335" s="343"/>
      <c r="P335" s="363">
        <f t="shared" ca="1" si="163"/>
        <v>11</v>
      </c>
      <c r="Q335" s="357">
        <f t="shared" ca="1" si="164"/>
        <v>699.95000000000346</v>
      </c>
      <c r="R335" s="359">
        <f t="shared" ca="1" si="165"/>
        <v>0.35062753600300361</v>
      </c>
      <c r="S335" s="360">
        <f t="shared" ca="1" si="166"/>
        <v>10.08635205120795</v>
      </c>
      <c r="T335" s="357">
        <f t="shared" ca="1" si="146"/>
        <v>98.947113622349988</v>
      </c>
      <c r="U335" s="364">
        <f t="shared" ca="1" si="147"/>
        <v>0</v>
      </c>
      <c r="V335" s="359">
        <f t="shared" ca="1" si="148"/>
        <v>1.1761888298791789</v>
      </c>
      <c r="W335" s="357">
        <f t="shared" ca="1" si="149"/>
        <v>142.93083456335302</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406.55836403567957</v>
      </c>
      <c r="AF335" s="344"/>
      <c r="AG335" s="359">
        <f t="shared" ca="1" si="172"/>
        <v>45.72814756720679</v>
      </c>
      <c r="AH335" s="357">
        <f t="shared" ca="1" si="173"/>
        <v>55.277733160055185</v>
      </c>
    </row>
    <row r="336" spans="1:34" x14ac:dyDescent="0.25">
      <c r="A336" s="402">
        <f t="shared" ca="1" si="151"/>
        <v>0.01</v>
      </c>
      <c r="B336" s="357">
        <f t="shared" ca="1" si="152"/>
        <v>3.3199999999999732</v>
      </c>
      <c r="C336" s="342"/>
      <c r="D336" s="359">
        <f t="shared" ca="1" si="153"/>
        <v>12.620089879336131</v>
      </c>
      <c r="E336" s="360">
        <f t="shared" ca="1" si="154"/>
        <v>43.840971541340977</v>
      </c>
      <c r="F336" s="357">
        <f t="shared" ca="1" si="155"/>
        <v>45.621239069661314</v>
      </c>
      <c r="G336" s="359">
        <f t="shared" ca="1" si="156"/>
        <v>53.181053037032612</v>
      </c>
      <c r="H336" s="360">
        <f t="shared" ca="1" si="157"/>
        <v>225.98706978156994</v>
      </c>
      <c r="I336" s="357">
        <f t="shared" ca="1" si="158"/>
        <v>232.16024661984628</v>
      </c>
      <c r="J336" s="359">
        <f t="shared" ca="1" si="159"/>
        <v>90.089728723341139</v>
      </c>
      <c r="K336" s="360">
        <f t="shared" ca="1" si="160"/>
        <v>408.81604268491822</v>
      </c>
      <c r="L336" s="357">
        <f t="shared" ca="1" si="145"/>
        <v>418.62479140395169</v>
      </c>
      <c r="M336" s="359">
        <f t="shared" ca="1" si="161"/>
        <v>1.3396736895995884</v>
      </c>
      <c r="N336" s="357">
        <f t="shared" ca="1" si="162"/>
        <v>76.75764833877551</v>
      </c>
      <c r="O336" s="343"/>
      <c r="P336" s="363">
        <f t="shared" ca="1" si="163"/>
        <v>11</v>
      </c>
      <c r="Q336" s="357">
        <f t="shared" ca="1" si="164"/>
        <v>698.6500000000035</v>
      </c>
      <c r="R336" s="359">
        <f t="shared" ca="1" si="165"/>
        <v>0.34997632406385959</v>
      </c>
      <c r="S336" s="360">
        <f t="shared" ca="1" si="166"/>
        <v>10.082852287967311</v>
      </c>
      <c r="T336" s="357">
        <f t="shared" ca="1" si="146"/>
        <v>98.912780944959323</v>
      </c>
      <c r="U336" s="364">
        <f t="shared" ca="1" si="147"/>
        <v>0</v>
      </c>
      <c r="V336" s="359">
        <f t="shared" ca="1" si="148"/>
        <v>1.1759232038505709</v>
      </c>
      <c r="W336" s="357">
        <f t="shared" ca="1" si="149"/>
        <v>143.46114439178518</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408.81604268491822</v>
      </c>
      <c r="AF336" s="344"/>
      <c r="AG336" s="359">
        <f t="shared" ca="1" si="172"/>
        <v>45.565905925025376</v>
      </c>
      <c r="AH336" s="357">
        <f t="shared" ca="1" si="173"/>
        <v>55.115273889297711</v>
      </c>
    </row>
    <row r="337" spans="1:34" x14ac:dyDescent="0.25">
      <c r="A337" s="402">
        <f t="shared" ca="1" si="151"/>
        <v>0.01</v>
      </c>
      <c r="B337" s="357">
        <f t="shared" ca="1" si="152"/>
        <v>3.329999999999973</v>
      </c>
      <c r="C337" s="342"/>
      <c r="D337" s="359">
        <f t="shared" ca="1" si="153"/>
        <v>12.588059520459247</v>
      </c>
      <c r="E337" s="360">
        <f t="shared" ca="1" si="154"/>
        <v>43.681582486786176</v>
      </c>
      <c r="F337" s="357">
        <f t="shared" ca="1" si="155"/>
        <v>45.459211289248401</v>
      </c>
      <c r="G337" s="359">
        <f t="shared" ca="1" si="156"/>
        <v>53.306933632237204</v>
      </c>
      <c r="H337" s="360">
        <f t="shared" ca="1" si="157"/>
        <v>226.42388560643781</v>
      </c>
      <c r="I337" s="357">
        <f t="shared" ca="1" si="158"/>
        <v>232.61428405493282</v>
      </c>
      <c r="J337" s="359">
        <f t="shared" ca="1" si="159"/>
        <v>90.622168656687492</v>
      </c>
      <c r="K337" s="360">
        <f t="shared" ca="1" si="160"/>
        <v>411.07809746185825</v>
      </c>
      <c r="L337" s="357">
        <f t="shared" ca="1" si="145"/>
        <v>420.94842874739675</v>
      </c>
      <c r="M337" s="359">
        <f t="shared" ca="1" si="161"/>
        <v>1.3395770841325614</v>
      </c>
      <c r="N337" s="357">
        <f t="shared" ca="1" si="162"/>
        <v>76.752113253236971</v>
      </c>
      <c r="O337" s="343"/>
      <c r="P337" s="363">
        <f t="shared" ca="1" si="163"/>
        <v>11</v>
      </c>
      <c r="Q337" s="357">
        <f t="shared" ca="1" si="164"/>
        <v>697.35000000000355</v>
      </c>
      <c r="R337" s="359">
        <f t="shared" ca="1" si="165"/>
        <v>0.34932511212471551</v>
      </c>
      <c r="S337" s="360">
        <f t="shared" ca="1" si="166"/>
        <v>10.079359036846064</v>
      </c>
      <c r="T337" s="357">
        <f t="shared" ca="1" si="146"/>
        <v>98.878512151459901</v>
      </c>
      <c r="U337" s="364">
        <f t="shared" ca="1" si="147"/>
        <v>0</v>
      </c>
      <c r="V337" s="359">
        <f t="shared" ca="1" si="148"/>
        <v>1.1756571218838858</v>
      </c>
      <c r="W337" s="357">
        <f t="shared" ca="1" si="149"/>
        <v>143.99024028977519</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411.07809746185825</v>
      </c>
      <c r="AF337" s="344"/>
      <c r="AG337" s="359">
        <f t="shared" ca="1" si="172"/>
        <v>45.403634963663606</v>
      </c>
      <c r="AH337" s="357">
        <f t="shared" ca="1" si="173"/>
        <v>54.952785547515916</v>
      </c>
    </row>
    <row r="338" spans="1:34" x14ac:dyDescent="0.25">
      <c r="A338" s="402">
        <f t="shared" ca="1" si="151"/>
        <v>0.01</v>
      </c>
      <c r="B338" s="357">
        <f t="shared" ca="1" si="152"/>
        <v>3.3399999999999728</v>
      </c>
      <c r="C338" s="342"/>
      <c r="D338" s="359">
        <f t="shared" ca="1" si="153"/>
        <v>12.555984158165591</v>
      </c>
      <c r="E338" s="360">
        <f t="shared" ca="1" si="154"/>
        <v>43.522175141011139</v>
      </c>
      <c r="F338" s="357">
        <f t="shared" ca="1" si="155"/>
        <v>45.297157385259325</v>
      </c>
      <c r="G338" s="359">
        <f t="shared" ca="1" si="156"/>
        <v>53.432493473818859</v>
      </c>
      <c r="H338" s="360">
        <f t="shared" ca="1" si="157"/>
        <v>226.85910735784793</v>
      </c>
      <c r="I338" s="357">
        <f t="shared" ca="1" si="158"/>
        <v>233.06669850072802</v>
      </c>
      <c r="J338" s="359">
        <f t="shared" ca="1" si="159"/>
        <v>91.155865792217767</v>
      </c>
      <c r="K338" s="360">
        <f t="shared" ca="1" si="160"/>
        <v>413.34451242667967</v>
      </c>
      <c r="L338" s="357">
        <f t="shared" ca="1" si="145"/>
        <v>423.27659729965978</v>
      </c>
      <c r="M338" s="359">
        <f t="shared" ca="1" si="161"/>
        <v>1.3394806266095027</v>
      </c>
      <c r="N338" s="357">
        <f t="shared" ca="1" si="162"/>
        <v>76.746586644263417</v>
      </c>
      <c r="O338" s="343"/>
      <c r="P338" s="363">
        <f t="shared" ca="1" si="163"/>
        <v>11</v>
      </c>
      <c r="Q338" s="357">
        <f t="shared" ca="1" si="164"/>
        <v>696.05000000000359</v>
      </c>
      <c r="R338" s="359">
        <f t="shared" ca="1" si="165"/>
        <v>0.34867390018557143</v>
      </c>
      <c r="S338" s="360">
        <f t="shared" ca="1" si="166"/>
        <v>10.075872297844208</v>
      </c>
      <c r="T338" s="357">
        <f t="shared" ca="1" si="146"/>
        <v>98.844307241851695</v>
      </c>
      <c r="U338" s="364">
        <f t="shared" ca="1" si="147"/>
        <v>0</v>
      </c>
      <c r="V338" s="359">
        <f t="shared" ca="1" si="148"/>
        <v>1.1753905861761711</v>
      </c>
      <c r="W338" s="357">
        <f t="shared" ca="1" si="149"/>
        <v>144.51811038149989</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413.34451242667967</v>
      </c>
      <c r="AF338" s="344"/>
      <c r="AG338" s="359">
        <f t="shared" ca="1" si="172"/>
        <v>45.241336156266222</v>
      </c>
      <c r="AH338" s="357">
        <f t="shared" ca="1" si="173"/>
        <v>54.79026960557497</v>
      </c>
    </row>
    <row r="339" spans="1:34" x14ac:dyDescent="0.25">
      <c r="A339" s="402">
        <f t="shared" ca="1" si="151"/>
        <v>0.01</v>
      </c>
      <c r="B339" s="357">
        <f t="shared" ca="1" si="152"/>
        <v>3.3499999999999726</v>
      </c>
      <c r="C339" s="342"/>
      <c r="D339" s="359">
        <f t="shared" ca="1" si="153"/>
        <v>12.523864256298642</v>
      </c>
      <c r="E339" s="360">
        <f t="shared" ca="1" si="154"/>
        <v>43.362750907589451</v>
      </c>
      <c r="F339" s="357">
        <f t="shared" ca="1" si="155"/>
        <v>45.135078843221756</v>
      </c>
      <c r="G339" s="359">
        <f t="shared" ca="1" si="156"/>
        <v>53.557732116381843</v>
      </c>
      <c r="H339" s="360">
        <f t="shared" ca="1" si="157"/>
        <v>227.29273486692384</v>
      </c>
      <c r="I339" s="357">
        <f t="shared" ca="1" si="158"/>
        <v>233.51748969346141</v>
      </c>
      <c r="J339" s="359">
        <f t="shared" ca="1" si="159"/>
        <v>91.690816920168771</v>
      </c>
      <c r="K339" s="360">
        <f t="shared" ca="1" si="160"/>
        <v>415.61527163780352</v>
      </c>
      <c r="L339" s="357">
        <f t="shared" ca="1" si="145"/>
        <v>425.60928082697296</v>
      </c>
      <c r="M339" s="359">
        <f t="shared" ca="1" si="161"/>
        <v>1.3393843158490779</v>
      </c>
      <c r="N339" s="357">
        <f t="shared" ca="1" si="162"/>
        <v>76.741068444169386</v>
      </c>
      <c r="O339" s="343"/>
      <c r="P339" s="363">
        <f t="shared" ca="1" si="163"/>
        <v>11</v>
      </c>
      <c r="Q339" s="357">
        <f t="shared" ca="1" si="164"/>
        <v>694.75000000000352</v>
      </c>
      <c r="R339" s="359">
        <f t="shared" ca="1" si="165"/>
        <v>0.34802268824642735</v>
      </c>
      <c r="S339" s="360">
        <f t="shared" ca="1" si="166"/>
        <v>10.072392070961744</v>
      </c>
      <c r="T339" s="357">
        <f t="shared" ca="1" si="146"/>
        <v>98.810166216134718</v>
      </c>
      <c r="U339" s="364">
        <f t="shared" ca="1" si="147"/>
        <v>0</v>
      </c>
      <c r="V339" s="359">
        <f t="shared" ca="1" si="148"/>
        <v>1.1751235989234565</v>
      </c>
      <c r="W339" s="357">
        <f t="shared" ca="1" si="149"/>
        <v>145.04474286588538</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415.61527163780352</v>
      </c>
      <c r="AF339" s="344"/>
      <c r="AG339" s="359">
        <f t="shared" ca="1" si="172"/>
        <v>45.079010970695606</v>
      </c>
      <c r="AH339" s="357">
        <f t="shared" ca="1" si="173"/>
        <v>54.627727529074008</v>
      </c>
    </row>
    <row r="340" spans="1:34" x14ac:dyDescent="0.25">
      <c r="A340" s="402">
        <f t="shared" ca="1" si="151"/>
        <v>0.01</v>
      </c>
      <c r="B340" s="357">
        <f t="shared" ca="1" si="152"/>
        <v>3.3599999999999723</v>
      </c>
      <c r="C340" s="342"/>
      <c r="D340" s="359">
        <f t="shared" ca="1" si="153"/>
        <v>12.491700276797307</v>
      </c>
      <c r="E340" s="360">
        <f t="shared" ca="1" si="154"/>
        <v>43.203311185047603</v>
      </c>
      <c r="F340" s="357">
        <f t="shared" ca="1" si="155"/>
        <v>44.972977143584764</v>
      </c>
      <c r="G340" s="359">
        <f t="shared" ca="1" si="156"/>
        <v>53.682649119149815</v>
      </c>
      <c r="H340" s="360">
        <f t="shared" ca="1" si="157"/>
        <v>227.72476797877431</v>
      </c>
      <c r="I340" s="357">
        <f t="shared" ca="1" si="158"/>
        <v>233.96665738398784</v>
      </c>
      <c r="J340" s="359">
        <f t="shared" ca="1" si="159"/>
        <v>92.227018826346423</v>
      </c>
      <c r="K340" s="360">
        <f t="shared" ca="1" si="160"/>
        <v>417.89035915203203</v>
      </c>
      <c r="L340" s="357">
        <f t="shared" ca="1" si="145"/>
        <v>427.94646309300134</v>
      </c>
      <c r="M340" s="359">
        <f t="shared" ca="1" si="161"/>
        <v>1.3392881506792476</v>
      </c>
      <c r="N340" s="357">
        <f t="shared" ca="1" si="162"/>
        <v>76.73555858580194</v>
      </c>
      <c r="O340" s="343"/>
      <c r="P340" s="363">
        <f t="shared" ca="1" si="163"/>
        <v>11</v>
      </c>
      <c r="Q340" s="357">
        <f t="shared" ca="1" si="164"/>
        <v>693.45000000000357</v>
      </c>
      <c r="R340" s="359">
        <f t="shared" ca="1" si="165"/>
        <v>0.34737147630728327</v>
      </c>
      <c r="S340" s="360">
        <f t="shared" ca="1" si="166"/>
        <v>10.068918356198671</v>
      </c>
      <c r="T340" s="357">
        <f t="shared" ca="1" si="146"/>
        <v>98.77608907430897</v>
      </c>
      <c r="U340" s="364">
        <f t="shared" ca="1" si="147"/>
        <v>0</v>
      </c>
      <c r="V340" s="359">
        <f t="shared" ca="1" si="148"/>
        <v>1.1748561623207288</v>
      </c>
      <c r="W340" s="357">
        <f t="shared" ca="1" si="149"/>
        <v>145.57012601669825</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417.89035915203203</v>
      </c>
      <c r="AF340" s="344"/>
      <c r="AG340" s="359">
        <f t="shared" ca="1" si="172"/>
        <v>44.916660869503886</v>
      </c>
      <c r="AH340" s="357">
        <f t="shared" ca="1" si="173"/>
        <v>54.465160778318022</v>
      </c>
    </row>
    <row r="341" spans="1:34" x14ac:dyDescent="0.25">
      <c r="A341" s="402">
        <f t="shared" ca="1" si="151"/>
        <v>0.01</v>
      </c>
      <c r="B341" s="357">
        <f t="shared" ca="1" si="152"/>
        <v>3.3699999999999721</v>
      </c>
      <c r="C341" s="342"/>
      <c r="D341" s="359">
        <f t="shared" ca="1" si="153"/>
        <v>12.459492679698089</v>
      </c>
      <c r="E341" s="360">
        <f t="shared" ca="1" si="154"/>
        <v>43.043857366836647</v>
      </c>
      <c r="F341" s="357">
        <f t="shared" ca="1" si="155"/>
        <v>44.810853761695142</v>
      </c>
      <c r="G341" s="359">
        <f t="shared" ca="1" si="156"/>
        <v>53.807244045946796</v>
      </c>
      <c r="H341" s="360">
        <f t="shared" ca="1" si="157"/>
        <v>228.15520655244268</v>
      </c>
      <c r="I341" s="357">
        <f t="shared" ca="1" si="158"/>
        <v>234.41420133773437</v>
      </c>
      <c r="J341" s="359">
        <f t="shared" ca="1" si="159"/>
        <v>92.764468292171912</v>
      </c>
      <c r="K341" s="360">
        <f t="shared" ca="1" si="160"/>
        <v>420.16975902468812</v>
      </c>
      <c r="L341" s="357">
        <f t="shared" ca="1" si="145"/>
        <v>430.28812785898918</v>
      </c>
      <c r="M341" s="359">
        <f t="shared" ca="1" si="161"/>
        <v>1.3391921299371572</v>
      </c>
      <c r="N341" s="357">
        <f t="shared" ca="1" si="162"/>
        <v>76.730057002534451</v>
      </c>
      <c r="O341" s="343"/>
      <c r="P341" s="363">
        <f t="shared" ca="1" si="163"/>
        <v>11</v>
      </c>
      <c r="Q341" s="357">
        <f t="shared" ca="1" si="164"/>
        <v>692.15000000000362</v>
      </c>
      <c r="R341" s="359">
        <f t="shared" ca="1" si="165"/>
        <v>0.34672026436813919</v>
      </c>
      <c r="S341" s="360">
        <f t="shared" ca="1" si="166"/>
        <v>10.065451153554989</v>
      </c>
      <c r="T341" s="357">
        <f t="shared" ca="1" si="146"/>
        <v>98.742075816374438</v>
      </c>
      <c r="U341" s="364">
        <f t="shared" ca="1" si="147"/>
        <v>0</v>
      </c>
      <c r="V341" s="359">
        <f t="shared" ca="1" si="148"/>
        <v>1.1745882785619091</v>
      </c>
      <c r="W341" s="357">
        <f t="shared" ca="1" si="149"/>
        <v>146.094248182634</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420.16975902468812</v>
      </c>
      <c r="AF341" s="344"/>
      <c r="AG341" s="359">
        <f t="shared" ca="1" si="172"/>
        <v>44.754287309905351</v>
      </c>
      <c r="AH341" s="357">
        <f t="shared" ca="1" si="173"/>
        <v>54.302570808290128</v>
      </c>
    </row>
    <row r="342" spans="1:34" x14ac:dyDescent="0.25">
      <c r="A342" s="402">
        <f t="shared" ca="1" si="151"/>
        <v>0.01</v>
      </c>
      <c r="B342" s="357">
        <f t="shared" ca="1" si="152"/>
        <v>3.3799999999999719</v>
      </c>
      <c r="C342" s="342"/>
      <c r="D342" s="359">
        <f t="shared" ca="1" si="153"/>
        <v>12.427241923137283</v>
      </c>
      <c r="E342" s="360">
        <f t="shared" ca="1" si="154"/>
        <v>42.884390841304246</v>
      </c>
      <c r="F342" s="357">
        <f t="shared" ca="1" si="155"/>
        <v>44.648710167774389</v>
      </c>
      <c r="G342" s="359">
        <f t="shared" ca="1" si="156"/>
        <v>53.93151646517817</v>
      </c>
      <c r="H342" s="360">
        <f t="shared" ca="1" si="157"/>
        <v>228.58405046085571</v>
      </c>
      <c r="I342" s="357">
        <f t="shared" ca="1" si="158"/>
        <v>234.86012133464635</v>
      </c>
      <c r="J342" s="359">
        <f t="shared" ca="1" si="159"/>
        <v>93.30316209472754</v>
      </c>
      <c r="K342" s="360">
        <f t="shared" ca="1" si="160"/>
        <v>422.45345530975459</v>
      </c>
      <c r="L342" s="357">
        <f t="shared" ca="1" si="145"/>
        <v>432.63425888390509</v>
      </c>
      <c r="M342" s="359">
        <f t="shared" ca="1" si="161"/>
        <v>1.3390962524690293</v>
      </c>
      <c r="N342" s="357">
        <f t="shared" ca="1" si="162"/>
        <v>76.724563628260327</v>
      </c>
      <c r="O342" s="343"/>
      <c r="P342" s="363">
        <f t="shared" ca="1" si="163"/>
        <v>11</v>
      </c>
      <c r="Q342" s="357">
        <f t="shared" ca="1" si="164"/>
        <v>690.85000000000366</v>
      </c>
      <c r="R342" s="359">
        <f t="shared" ca="1" si="165"/>
        <v>0.34606905242899516</v>
      </c>
      <c r="S342" s="360">
        <f t="shared" ca="1" si="166"/>
        <v>10.061990463030698</v>
      </c>
      <c r="T342" s="357">
        <f t="shared" ca="1" si="146"/>
        <v>98.70812644233115</v>
      </c>
      <c r="U342" s="364">
        <f t="shared" ca="1" si="147"/>
        <v>0</v>
      </c>
      <c r="V342" s="359">
        <f t="shared" ca="1" si="148"/>
        <v>1.1743199498398269</v>
      </c>
      <c r="W342" s="357">
        <f t="shared" ca="1" si="149"/>
        <v>146.61709778740013</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422.45345530975459</v>
      </c>
      <c r="AF342" s="344"/>
      <c r="AG342" s="359">
        <f t="shared" ca="1" si="172"/>
        <v>44.591891743749379</v>
      </c>
      <c r="AH342" s="357">
        <f t="shared" ca="1" si="173"/>
        <v>54.139959068624258</v>
      </c>
    </row>
    <row r="343" spans="1:34" x14ac:dyDescent="0.25">
      <c r="A343" s="402">
        <f t="shared" ca="1" si="151"/>
        <v>0.01</v>
      </c>
      <c r="B343" s="357">
        <f t="shared" ca="1" si="152"/>
        <v>3.3899999999999717</v>
      </c>
      <c r="C343" s="342"/>
      <c r="D343" s="359">
        <f t="shared" ca="1" si="153"/>
        <v>12.39494846335305</v>
      </c>
      <c r="E343" s="360">
        <f t="shared" ca="1" si="154"/>
        <v>42.724912991667146</v>
      </c>
      <c r="F343" s="357">
        <f t="shared" ca="1" si="155"/>
        <v>44.486547826896015</v>
      </c>
      <c r="G343" s="359">
        <f t="shared" ca="1" si="156"/>
        <v>54.055465949811698</v>
      </c>
      <c r="H343" s="360">
        <f t="shared" ca="1" si="157"/>
        <v>229.01129959077238</v>
      </c>
      <c r="I343" s="357">
        <f t="shared" ca="1" si="158"/>
        <v>235.30441716913381</v>
      </c>
      <c r="J343" s="359">
        <f t="shared" ca="1" si="159"/>
        <v>93.843097006802495</v>
      </c>
      <c r="K343" s="360">
        <f t="shared" ca="1" si="160"/>
        <v>424.74143206001276</v>
      </c>
      <c r="L343" s="357">
        <f t="shared" ca="1" si="145"/>
        <v>434.98483992458699</v>
      </c>
      <c r="M343" s="359">
        <f t="shared" ca="1" si="161"/>
        <v>1.339000517130057</v>
      </c>
      <c r="N343" s="357">
        <f t="shared" ca="1" si="162"/>
        <v>76.719078397386951</v>
      </c>
      <c r="O343" s="343"/>
      <c r="P343" s="363">
        <f t="shared" ca="1" si="163"/>
        <v>11</v>
      </c>
      <c r="Q343" s="357">
        <f t="shared" ca="1" si="164"/>
        <v>689.55000000000371</v>
      </c>
      <c r="R343" s="359">
        <f t="shared" ca="1" si="165"/>
        <v>0.34541784048985108</v>
      </c>
      <c r="S343" s="360">
        <f t="shared" ca="1" si="166"/>
        <v>10.058536284625799</v>
      </c>
      <c r="T343" s="357">
        <f t="shared" ca="1" si="146"/>
        <v>98.67424095217909</v>
      </c>
      <c r="U343" s="364">
        <f t="shared" ca="1" si="147"/>
        <v>0</v>
      </c>
      <c r="V343" s="359">
        <f t="shared" ca="1" si="148"/>
        <v>1.1740511783461991</v>
      </c>
      <c r="W343" s="357">
        <f t="shared" ca="1" si="149"/>
        <v>147.13866332979651</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424.74143206001276</v>
      </c>
      <c r="AF343" s="344"/>
      <c r="AG343" s="359">
        <f t="shared" ca="1" si="172"/>
        <v>44.429475617493658</v>
      </c>
      <c r="AH343" s="357">
        <f t="shared" ca="1" si="173"/>
        <v>53.977327003578232</v>
      </c>
    </row>
    <row r="344" spans="1:34" x14ac:dyDescent="0.25">
      <c r="A344" s="402">
        <f t="shared" ca="1" si="151"/>
        <v>0.01</v>
      </c>
      <c r="B344" s="357">
        <f t="shared" ca="1" si="152"/>
        <v>3.3999999999999715</v>
      </c>
      <c r="C344" s="342"/>
      <c r="D344" s="359">
        <f t="shared" ca="1" si="153"/>
        <v>12.36261275468741</v>
      </c>
      <c r="E344" s="360">
        <f t="shared" ca="1" si="154"/>
        <v>42.565425195983991</v>
      </c>
      <c r="F344" s="357">
        <f t="shared" ca="1" si="155"/>
        <v>44.324368198963292</v>
      </c>
      <c r="G344" s="359">
        <f t="shared" ca="1" si="156"/>
        <v>54.179092077358568</v>
      </c>
      <c r="H344" s="360">
        <f t="shared" ca="1" si="157"/>
        <v>229.43695384273221</v>
      </c>
      <c r="I344" s="357">
        <f t="shared" ca="1" si="158"/>
        <v>235.74708865001691</v>
      </c>
      <c r="J344" s="359">
        <f t="shared" ca="1" si="159"/>
        <v>94.384269796938341</v>
      </c>
      <c r="K344" s="360">
        <f t="shared" ca="1" si="160"/>
        <v>427.03367332718028</v>
      </c>
      <c r="L344" s="357">
        <f t="shared" ca="1" si="145"/>
        <v>437.33985473588632</v>
      </c>
      <c r="M344" s="359">
        <f t="shared" ca="1" si="161"/>
        <v>1.3389049227842986</v>
      </c>
      <c r="N344" s="357">
        <f t="shared" ca="1" si="162"/>
        <v>76.71360124482969</v>
      </c>
      <c r="O344" s="343"/>
      <c r="P344" s="363">
        <f t="shared" ca="1" si="163"/>
        <v>11</v>
      </c>
      <c r="Q344" s="357">
        <f t="shared" ca="1" si="164"/>
        <v>688.25000000000375</v>
      </c>
      <c r="R344" s="359">
        <f t="shared" ca="1" si="165"/>
        <v>0.344766628550707</v>
      </c>
      <c r="S344" s="360">
        <f t="shared" ca="1" si="166"/>
        <v>10.055088618340292</v>
      </c>
      <c r="T344" s="357">
        <f t="shared" ca="1" si="146"/>
        <v>98.640419345918275</v>
      </c>
      <c r="U344" s="364">
        <f t="shared" ca="1" si="147"/>
        <v>0</v>
      </c>
      <c r="V344" s="359">
        <f t="shared" ca="1" si="148"/>
        <v>1.1737819662716023</v>
      </c>
      <c r="W344" s="357">
        <f t="shared" ca="1" si="149"/>
        <v>147.65893338379053</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427.03367332718028</v>
      </c>
      <c r="AF344" s="344"/>
      <c r="AG344" s="359">
        <f t="shared" ca="1" si="172"/>
        <v>44.267040372177803</v>
      </c>
      <c r="AH344" s="357">
        <f t="shared" ca="1" si="173"/>
        <v>53.814676052007179</v>
      </c>
    </row>
    <row r="345" spans="1:34" x14ac:dyDescent="0.25">
      <c r="A345" s="402">
        <f t="shared" ca="1" si="151"/>
        <v>0.01</v>
      </c>
      <c r="B345" s="357">
        <f t="shared" ca="1" si="152"/>
        <v>3.4099999999999713</v>
      </c>
      <c r="C345" s="342"/>
      <c r="D345" s="359">
        <f t="shared" ca="1" si="153"/>
        <v>12.330235249588236</v>
      </c>
      <c r="E345" s="360">
        <f t="shared" ca="1" si="154"/>
        <v>42.40592882712869</v>
      </c>
      <c r="F345" s="357">
        <f t="shared" ca="1" si="155"/>
        <v>44.162172738687715</v>
      </c>
      <c r="G345" s="359">
        <f t="shared" ca="1" si="156"/>
        <v>54.302394429854452</v>
      </c>
      <c r="H345" s="360">
        <f t="shared" ca="1" si="157"/>
        <v>229.86101313100349</v>
      </c>
      <c r="I345" s="357">
        <f t="shared" ca="1" si="158"/>
        <v>236.18813560047178</v>
      </c>
      <c r="J345" s="359">
        <f t="shared" ca="1" si="159"/>
        <v>94.926677229474407</v>
      </c>
      <c r="K345" s="360">
        <f t="shared" ca="1" si="160"/>
        <v>429.33016316204896</v>
      </c>
      <c r="L345" s="357">
        <f t="shared" ca="1" si="145"/>
        <v>439.69928707081203</v>
      </c>
      <c r="M345" s="359">
        <f t="shared" ca="1" si="161"/>
        <v>1.3388094683045744</v>
      </c>
      <c r="N345" s="357">
        <f t="shared" ca="1" si="162"/>
        <v>76.708132106005863</v>
      </c>
      <c r="O345" s="343"/>
      <c r="P345" s="363">
        <f t="shared" ca="1" si="163"/>
        <v>11</v>
      </c>
      <c r="Q345" s="357">
        <f t="shared" ca="1" si="164"/>
        <v>686.95000000000368</v>
      </c>
      <c r="R345" s="359">
        <f t="shared" ca="1" si="165"/>
        <v>0.34411541661156292</v>
      </c>
      <c r="S345" s="360">
        <f t="shared" ca="1" si="166"/>
        <v>10.051647464174177</v>
      </c>
      <c r="T345" s="357">
        <f t="shared" ca="1" si="146"/>
        <v>98.606661623548689</v>
      </c>
      <c r="U345" s="364">
        <f t="shared" ca="1" si="147"/>
        <v>0</v>
      </c>
      <c r="V345" s="359">
        <f t="shared" ca="1" si="148"/>
        <v>1.1735123158054532</v>
      </c>
      <c r="W345" s="357">
        <f t="shared" ca="1" si="149"/>
        <v>148.17789659858965</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429.33016316204896</v>
      </c>
      <c r="AF345" s="344"/>
      <c r="AG345" s="359">
        <f t="shared" ca="1" si="172"/>
        <v>44.104587443397463</v>
      </c>
      <c r="AH345" s="357">
        <f t="shared" ca="1" si="173"/>
        <v>53.652007647337456</v>
      </c>
    </row>
    <row r="346" spans="1:34" x14ac:dyDescent="0.25">
      <c r="A346" s="402">
        <f t="shared" ca="1" si="151"/>
        <v>0.01</v>
      </c>
      <c r="B346" s="357">
        <f t="shared" ca="1" si="152"/>
        <v>3.4199999999999711</v>
      </c>
      <c r="C346" s="342"/>
      <c r="D346" s="359">
        <f t="shared" ca="1" si="153"/>
        <v>12.297816398611161</v>
      </c>
      <c r="E346" s="360">
        <f t="shared" ca="1" si="154"/>
        <v>42.246425252764034</v>
      </c>
      <c r="F346" s="357">
        <f t="shared" ca="1" si="155"/>
        <v>43.999962895567627</v>
      </c>
      <c r="G346" s="359">
        <f t="shared" ca="1" si="156"/>
        <v>54.425372593840564</v>
      </c>
      <c r="H346" s="360">
        <f t="shared" ca="1" si="157"/>
        <v>230.28347738353114</v>
      </c>
      <c r="I346" s="357">
        <f t="shared" ca="1" si="158"/>
        <v>236.62755785797577</v>
      </c>
      <c r="J346" s="359">
        <f t="shared" ca="1" si="159"/>
        <v>95.470316064592879</v>
      </c>
      <c r="K346" s="360">
        <f t="shared" ca="1" si="160"/>
        <v>431.63088561462166</v>
      </c>
      <c r="L346" s="357">
        <f t="shared" ca="1" si="145"/>
        <v>442.06312068067371</v>
      </c>
      <c r="M346" s="359">
        <f t="shared" ca="1" si="161"/>
        <v>1.3387141525723649</v>
      </c>
      <c r="N346" s="357">
        <f t="shared" ca="1" si="162"/>
        <v>76.702670916829064</v>
      </c>
      <c r="O346" s="343"/>
      <c r="P346" s="363">
        <f t="shared" ca="1" si="163"/>
        <v>11</v>
      </c>
      <c r="Q346" s="357">
        <f t="shared" ca="1" si="164"/>
        <v>685.65000000000373</v>
      </c>
      <c r="R346" s="359">
        <f t="shared" ca="1" si="165"/>
        <v>0.34346420467241884</v>
      </c>
      <c r="S346" s="360">
        <f t="shared" ca="1" si="166"/>
        <v>10.048212822127454</v>
      </c>
      <c r="T346" s="357">
        <f t="shared" ca="1" si="146"/>
        <v>98.572967785070318</v>
      </c>
      <c r="U346" s="364">
        <f t="shared" ca="1" si="147"/>
        <v>0</v>
      </c>
      <c r="V346" s="359">
        <f t="shared" ca="1" si="148"/>
        <v>1.1732422291359828</v>
      </c>
      <c r="W346" s="357">
        <f t="shared" ca="1" si="149"/>
        <v>148.69554169870898</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431.63088561462166</v>
      </c>
      <c r="AF346" s="344"/>
      <c r="AG346" s="359">
        <f t="shared" ca="1" si="172"/>
        <v>43.942118261278729</v>
      </c>
      <c r="AH346" s="357">
        <f t="shared" ca="1" si="173"/>
        <v>53.489323217540893</v>
      </c>
    </row>
    <row r="347" spans="1:34" x14ac:dyDescent="0.25">
      <c r="A347" s="402">
        <f t="shared" ca="1" si="151"/>
        <v>0.01</v>
      </c>
      <c r="B347" s="357">
        <f t="shared" ca="1" si="152"/>
        <v>3.4299999999999708</v>
      </c>
      <c r="C347" s="342"/>
      <c r="D347" s="359">
        <f t="shared" ca="1" si="153"/>
        <v>12.265356650421339</v>
      </c>
      <c r="E347" s="360">
        <f t="shared" ca="1" si="154"/>
        <v>42.086915835315779</v>
      </c>
      <c r="F347" s="357">
        <f t="shared" ca="1" si="155"/>
        <v>43.837740113867511</v>
      </c>
      <c r="G347" s="359">
        <f t="shared" ca="1" si="156"/>
        <v>54.548026160344776</v>
      </c>
      <c r="H347" s="360">
        <f t="shared" ca="1" si="157"/>
        <v>230.70434654188429</v>
      </c>
      <c r="I347" s="357">
        <f t="shared" ca="1" si="158"/>
        <v>237.06535527425237</v>
      </c>
      <c r="J347" s="359">
        <f t="shared" ca="1" si="159"/>
        <v>96.015183058363803</v>
      </c>
      <c r="K347" s="360">
        <f t="shared" ca="1" si="160"/>
        <v>433.93582473424874</v>
      </c>
      <c r="L347" s="357">
        <f t="shared" ca="1" si="145"/>
        <v>444.43133931522397</v>
      </c>
      <c r="M347" s="359">
        <f t="shared" ca="1" si="161"/>
        <v>1.3386189744777088</v>
      </c>
      <c r="N347" s="357">
        <f t="shared" ca="1" si="162"/>
        <v>76.697217613703174</v>
      </c>
      <c r="O347" s="343"/>
      <c r="P347" s="363">
        <f t="shared" ca="1" si="163"/>
        <v>11</v>
      </c>
      <c r="Q347" s="357">
        <f t="shared" ca="1" si="164"/>
        <v>684.35000000000377</v>
      </c>
      <c r="R347" s="359">
        <f t="shared" ca="1" si="165"/>
        <v>0.34281299273327476</v>
      </c>
      <c r="S347" s="360">
        <f t="shared" ca="1" si="166"/>
        <v>10.044784692200121</v>
      </c>
      <c r="T347" s="357">
        <f t="shared" ca="1" si="146"/>
        <v>98.539337830483191</v>
      </c>
      <c r="U347" s="364">
        <f t="shared" ca="1" si="147"/>
        <v>0</v>
      </c>
      <c r="V347" s="359">
        <f t="shared" ca="1" si="148"/>
        <v>1.1729717084502129</v>
      </c>
      <c r="W347" s="357">
        <f t="shared" ca="1" si="149"/>
        <v>149.21185748403542</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433.93582473424874</v>
      </c>
      <c r="AF347" s="344"/>
      <c r="AG347" s="359">
        <f t="shared" ca="1" si="172"/>
        <v>43.779634250452823</v>
      </c>
      <c r="AH347" s="357">
        <f t="shared" ca="1" si="173"/>
        <v>53.32662418510931</v>
      </c>
    </row>
    <row r="348" spans="1:34" x14ac:dyDescent="0.25">
      <c r="A348" s="402">
        <f t="shared" ca="1" si="151"/>
        <v>0.01</v>
      </c>
      <c r="B348" s="357">
        <f t="shared" ca="1" si="152"/>
        <v>3.4399999999999706</v>
      </c>
      <c r="C348" s="342"/>
      <c r="D348" s="359">
        <f t="shared" ca="1" si="153"/>
        <v>12.232856451795382</v>
      </c>
      <c r="E348" s="360">
        <f t="shared" ca="1" si="154"/>
        <v>41.927401931947173</v>
      </c>
      <c r="F348" s="357">
        <f t="shared" ca="1" si="155"/>
        <v>43.675505832597743</v>
      </c>
      <c r="G348" s="359">
        <f t="shared" ca="1" si="156"/>
        <v>54.670354724862733</v>
      </c>
      <c r="H348" s="360">
        <f t="shared" ca="1" si="157"/>
        <v>231.12362056120375</v>
      </c>
      <c r="I348" s="357">
        <f t="shared" ca="1" si="158"/>
        <v>237.50152771521621</v>
      </c>
      <c r="J348" s="359">
        <f t="shared" ca="1" si="159"/>
        <v>96.561274962789838</v>
      </c>
      <c r="K348" s="360">
        <f t="shared" ca="1" si="160"/>
        <v>436.24496456976419</v>
      </c>
      <c r="L348" s="357">
        <f t="shared" ca="1" si="145"/>
        <v>446.80392672280118</v>
      </c>
      <c r="M348" s="359">
        <f t="shared" ca="1" si="161"/>
        <v>1.3385239329191052</v>
      </c>
      <c r="N348" s="357">
        <f t="shared" ca="1" si="162"/>
        <v>76.691772133516849</v>
      </c>
      <c r="O348" s="343"/>
      <c r="P348" s="363">
        <f t="shared" ca="1" si="163"/>
        <v>11</v>
      </c>
      <c r="Q348" s="357">
        <f t="shared" ca="1" si="164"/>
        <v>683.05000000000382</v>
      </c>
      <c r="R348" s="359">
        <f t="shared" ca="1" si="165"/>
        <v>0.34216178079413073</v>
      </c>
      <c r="S348" s="360">
        <f t="shared" ca="1" si="166"/>
        <v>10.04136307439218</v>
      </c>
      <c r="T348" s="357">
        <f t="shared" ca="1" si="146"/>
        <v>98.505771759787294</v>
      </c>
      <c r="U348" s="364">
        <f t="shared" ca="1" si="147"/>
        <v>0</v>
      </c>
      <c r="V348" s="359">
        <f t="shared" ca="1" si="148"/>
        <v>1.1727007559339353</v>
      </c>
      <c r="W348" s="357">
        <f t="shared" ca="1" si="149"/>
        <v>149.72683282988811</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436.24496456976419</v>
      </c>
      <c r="AF348" s="344"/>
      <c r="AG348" s="359">
        <f t="shared" ca="1" si="172"/>
        <v>43.617136830031455</v>
      </c>
      <c r="AH348" s="357">
        <f t="shared" ca="1" si="173"/>
        <v>53.163911967029691</v>
      </c>
    </row>
    <row r="349" spans="1:34" x14ac:dyDescent="0.25">
      <c r="A349" s="402">
        <f t="shared" ca="1" si="151"/>
        <v>0.01</v>
      </c>
      <c r="B349" s="357">
        <f t="shared" ca="1" si="152"/>
        <v>3.4499999999999704</v>
      </c>
      <c r="C349" s="342"/>
      <c r="D349" s="359">
        <f t="shared" ca="1" si="153"/>
        <v>12.200316247622965</v>
      </c>
      <c r="E349" s="360">
        <f t="shared" ca="1" si="154"/>
        <v>41.767884894533736</v>
      </c>
      <c r="F349" s="357">
        <f t="shared" ca="1" si="155"/>
        <v>43.513261485494652</v>
      </c>
      <c r="G349" s="359">
        <f t="shared" ca="1" si="156"/>
        <v>54.792357887338966</v>
      </c>
      <c r="H349" s="360">
        <f t="shared" ca="1" si="157"/>
        <v>231.54129941014909</v>
      </c>
      <c r="I349" s="357">
        <f t="shared" ca="1" si="158"/>
        <v>237.93607506091746</v>
      </c>
      <c r="J349" s="359">
        <f t="shared" ca="1" si="159"/>
        <v>97.108588525850848</v>
      </c>
      <c r="K349" s="360">
        <f t="shared" ca="1" si="160"/>
        <v>438.55828916962093</v>
      </c>
      <c r="L349" s="357">
        <f t="shared" ca="1" si="145"/>
        <v>449.18086665047059</v>
      </c>
      <c r="M349" s="359">
        <f t="shared" ca="1" si="161"/>
        <v>1.3384290268034149</v>
      </c>
      <c r="N349" s="357">
        <f t="shared" ca="1" si="162"/>
        <v>76.686334413637809</v>
      </c>
      <c r="O349" s="343"/>
      <c r="P349" s="363">
        <f t="shared" ca="1" si="163"/>
        <v>11</v>
      </c>
      <c r="Q349" s="357">
        <f t="shared" ca="1" si="164"/>
        <v>681.75000000000387</v>
      </c>
      <c r="R349" s="359">
        <f t="shared" ca="1" si="165"/>
        <v>0.34151056885498665</v>
      </c>
      <c r="S349" s="360">
        <f t="shared" ca="1" si="166"/>
        <v>10.03794796870363</v>
      </c>
      <c r="T349" s="357">
        <f t="shared" ca="1" si="146"/>
        <v>98.472269572982611</v>
      </c>
      <c r="U349" s="364">
        <f t="shared" ca="1" si="147"/>
        <v>0</v>
      </c>
      <c r="V349" s="359">
        <f t="shared" ca="1" si="148"/>
        <v>1.1724293737716849</v>
      </c>
      <c r="W349" s="357">
        <f t="shared" ca="1" si="149"/>
        <v>150.24045668707447</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438.55828916962093</v>
      </c>
      <c r="AF349" s="344"/>
      <c r="AG349" s="359">
        <f t="shared" ca="1" si="172"/>
        <v>43.454627413582273</v>
      </c>
      <c r="AH349" s="357">
        <f t="shared" ca="1" si="173"/>
        <v>53.001187974759439</v>
      </c>
    </row>
    <row r="350" spans="1:34" x14ac:dyDescent="0.25">
      <c r="A350" s="402">
        <f t="shared" ca="1" si="151"/>
        <v>0.01</v>
      </c>
      <c r="B350" s="357">
        <f t="shared" ca="1" si="152"/>
        <v>3.4599999999999702</v>
      </c>
      <c r="C350" s="342"/>
      <c r="D350" s="359">
        <f t="shared" ca="1" si="153"/>
        <v>12.167736480908601</v>
      </c>
      <c r="E350" s="360">
        <f t="shared" ca="1" si="154"/>
        <v>41.608366069638727</v>
      </c>
      <c r="F350" s="357">
        <f t="shared" ca="1" si="155"/>
        <v>43.351008501001417</v>
      </c>
      <c r="G350" s="359">
        <f t="shared" ca="1" si="156"/>
        <v>54.914035252148054</v>
      </c>
      <c r="H350" s="360">
        <f t="shared" ca="1" si="157"/>
        <v>231.95738307084548</v>
      </c>
      <c r="I350" s="357">
        <f t="shared" ca="1" si="158"/>
        <v>238.36899720548627</v>
      </c>
      <c r="J350" s="359">
        <f t="shared" ca="1" si="159"/>
        <v>97.657120491548284</v>
      </c>
      <c r="K350" s="360">
        <f t="shared" ca="1" si="160"/>
        <v>440.87578258202592</v>
      </c>
      <c r="L350" s="357">
        <f t="shared" ca="1" si="145"/>
        <v>451.56214284416558</v>
      </c>
      <c r="M350" s="359">
        <f t="shared" ca="1" si="161"/>
        <v>1.338334255045764</v>
      </c>
      <c r="N350" s="357">
        <f t="shared" ca="1" si="162"/>
        <v>76.680904391907376</v>
      </c>
      <c r="O350" s="343"/>
      <c r="P350" s="363">
        <f t="shared" ca="1" si="163"/>
        <v>11</v>
      </c>
      <c r="Q350" s="357">
        <f t="shared" ca="1" si="164"/>
        <v>680.45000000000391</v>
      </c>
      <c r="R350" s="359">
        <f t="shared" ca="1" si="165"/>
        <v>0.34085935691584257</v>
      </c>
      <c r="S350" s="360">
        <f t="shared" ca="1" si="166"/>
        <v>10.034539375134472</v>
      </c>
      <c r="T350" s="357">
        <f t="shared" ca="1" si="146"/>
        <v>98.438831270069173</v>
      </c>
      <c r="U350" s="364">
        <f t="shared" ca="1" si="147"/>
        <v>0</v>
      </c>
      <c r="V350" s="359">
        <f t="shared" ca="1" si="148"/>
        <v>1.1721575641467197</v>
      </c>
      <c r="W350" s="357">
        <f t="shared" ca="1" si="149"/>
        <v>150.7527180819429</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440.87578258202592</v>
      </c>
      <c r="AF350" s="344"/>
      <c r="AG350" s="359">
        <f t="shared" ca="1" si="172"/>
        <v>43.292107409104901</v>
      </c>
      <c r="AH350" s="357">
        <f t="shared" ca="1" si="173"/>
        <v>52.838453614202315</v>
      </c>
    </row>
    <row r="351" spans="1:34" x14ac:dyDescent="0.25">
      <c r="A351" s="402">
        <f t="shared" ca="1" si="151"/>
        <v>0.01</v>
      </c>
      <c r="B351" s="357">
        <f t="shared" ca="1" si="152"/>
        <v>3.46999999999997</v>
      </c>
      <c r="C351" s="342"/>
      <c r="D351" s="359">
        <f t="shared" ca="1" si="153"/>
        <v>12.13511759277327</v>
      </c>
      <c r="E351" s="360">
        <f t="shared" ca="1" si="154"/>
        <v>41.448846798488695</v>
      </c>
      <c r="F351" s="357">
        <f t="shared" ca="1" si="155"/>
        <v>43.188748302249067</v>
      </c>
      <c r="G351" s="359">
        <f t="shared" ca="1" si="156"/>
        <v>55.035386428075789</v>
      </c>
      <c r="H351" s="360">
        <f t="shared" ca="1" si="157"/>
        <v>232.37187153883036</v>
      </c>
      <c r="I351" s="357">
        <f t="shared" ca="1" si="158"/>
        <v>238.80029405707674</v>
      </c>
      <c r="J351" s="359">
        <f t="shared" ca="1" si="159"/>
        <v>98.206867599949405</v>
      </c>
      <c r="K351" s="360">
        <f t="shared" ca="1" si="160"/>
        <v>443.19742885507429</v>
      </c>
      <c r="L351" s="357">
        <f t="shared" ca="1" si="145"/>
        <v>453.94773904882777</v>
      </c>
      <c r="M351" s="359">
        <f t="shared" ca="1" si="161"/>
        <v>1.3382396165694488</v>
      </c>
      <c r="N351" s="357">
        <f t="shared" ca="1" si="162"/>
        <v>76.675482006634965</v>
      </c>
      <c r="O351" s="343"/>
      <c r="P351" s="363">
        <f t="shared" ca="1" si="163"/>
        <v>11</v>
      </c>
      <c r="Q351" s="357">
        <f t="shared" ca="1" si="164"/>
        <v>679.15000000000396</v>
      </c>
      <c r="R351" s="359">
        <f t="shared" ca="1" si="165"/>
        <v>0.34020814497669855</v>
      </c>
      <c r="S351" s="360">
        <f t="shared" ca="1" si="166"/>
        <v>10.031137293684704</v>
      </c>
      <c r="T351" s="357">
        <f t="shared" ca="1" si="146"/>
        <v>98.405456851046949</v>
      </c>
      <c r="U351" s="364">
        <f t="shared" ca="1" si="147"/>
        <v>0</v>
      </c>
      <c r="V351" s="359">
        <f t="shared" ca="1" si="148"/>
        <v>1.1718853292409972</v>
      </c>
      <c r="W351" s="357">
        <f t="shared" ca="1" si="149"/>
        <v>151.26360611643156</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443.19742885507429</v>
      </c>
      <c r="AF351" s="344"/>
      <c r="AG351" s="359">
        <f t="shared" ca="1" si="172"/>
        <v>43.129578219007264</v>
      </c>
      <c r="AH351" s="357">
        <f t="shared" ca="1" si="173"/>
        <v>52.675710285684524</v>
      </c>
    </row>
    <row r="352" spans="1:34" x14ac:dyDescent="0.25">
      <c r="A352" s="402">
        <f t="shared" ca="1" si="151"/>
        <v>0.01</v>
      </c>
      <c r="B352" s="357">
        <f t="shared" ca="1" si="152"/>
        <v>3.4799999999999698</v>
      </c>
      <c r="C352" s="342"/>
      <c r="D352" s="359">
        <f t="shared" ca="1" si="153"/>
        <v>12.102460022456007</v>
      </c>
      <c r="E352" s="360">
        <f t="shared" ca="1" si="154"/>
        <v>41.289328416949616</v>
      </c>
      <c r="F352" s="357">
        <f t="shared" ca="1" si="155"/>
        <v>43.026482307038172</v>
      </c>
      <c r="G352" s="359">
        <f t="shared" ca="1" si="156"/>
        <v>55.156411028300347</v>
      </c>
      <c r="H352" s="360">
        <f t="shared" ca="1" si="157"/>
        <v>232.78476482299985</v>
      </c>
      <c r="I352" s="357">
        <f t="shared" ca="1" si="158"/>
        <v>239.22996553781084</v>
      </c>
      <c r="J352" s="359">
        <f t="shared" ca="1" si="159"/>
        <v>98.757826587231278</v>
      </c>
      <c r="K352" s="360">
        <f t="shared" ca="1" si="160"/>
        <v>445.52321203688342</v>
      </c>
      <c r="L352" s="357">
        <f t="shared" ca="1" si="145"/>
        <v>456.33763900854751</v>
      </c>
      <c r="M352" s="359">
        <f t="shared" ca="1" si="161"/>
        <v>1.3381451103058417</v>
      </c>
      <c r="N352" s="357">
        <f t="shared" ca="1" si="162"/>
        <v>76.670067196592726</v>
      </c>
      <c r="O352" s="343"/>
      <c r="P352" s="363">
        <f t="shared" ca="1" si="163"/>
        <v>11</v>
      </c>
      <c r="Q352" s="357">
        <f t="shared" ca="1" si="164"/>
        <v>677.85000000000389</v>
      </c>
      <c r="R352" s="359">
        <f t="shared" ca="1" si="165"/>
        <v>0.33955693303755441</v>
      </c>
      <c r="S352" s="360">
        <f t="shared" ca="1" si="166"/>
        <v>10.027741724354328</v>
      </c>
      <c r="T352" s="357">
        <f t="shared" ca="1" si="146"/>
        <v>98.37214631591597</v>
      </c>
      <c r="U352" s="364">
        <f t="shared" ca="1" si="147"/>
        <v>0</v>
      </c>
      <c r="V352" s="359">
        <f t="shared" ca="1" si="148"/>
        <v>1.1716126712351513</v>
      </c>
      <c r="W352" s="357">
        <f t="shared" ca="1" si="149"/>
        <v>151.77310996811318</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445.52321203688342</v>
      </c>
      <c r="AF352" s="344"/>
      <c r="AG352" s="359">
        <f t="shared" ca="1" si="172"/>
        <v>42.967041240082324</v>
      </c>
      <c r="AH352" s="357">
        <f t="shared" ca="1" si="173"/>
        <v>52.512959383931324</v>
      </c>
    </row>
    <row r="353" spans="1:34" x14ac:dyDescent="0.25">
      <c r="A353" s="402">
        <f t="shared" ca="1" si="151"/>
        <v>0.01</v>
      </c>
      <c r="B353" s="357">
        <f t="shared" ca="1" si="152"/>
        <v>3.4899999999999696</v>
      </c>
      <c r="C353" s="342"/>
      <c r="D353" s="359">
        <f t="shared" ca="1" si="153"/>
        <v>12.06976420731549</v>
      </c>
      <c r="E353" s="360">
        <f t="shared" ca="1" si="154"/>
        <v>41.129812255503396</v>
      </c>
      <c r="F353" s="357">
        <f t="shared" ca="1" si="155"/>
        <v>42.864211927820996</v>
      </c>
      <c r="G353" s="359">
        <f t="shared" ca="1" si="156"/>
        <v>55.277108670373501</v>
      </c>
      <c r="H353" s="360">
        <f t="shared" ca="1" si="157"/>
        <v>233.19606294555487</v>
      </c>
      <c r="I353" s="357">
        <f t="shared" ca="1" si="158"/>
        <v>239.65801158372207</v>
      </c>
      <c r="J353" s="359">
        <f t="shared" ca="1" si="159"/>
        <v>99.309994185724648</v>
      </c>
      <c r="K353" s="360">
        <f t="shared" ca="1" si="160"/>
        <v>447.8531161757262</v>
      </c>
      <c r="L353" s="357">
        <f t="shared" ca="1" si="145"/>
        <v>458.73182646670284</v>
      </c>
      <c r="M353" s="359">
        <f t="shared" ca="1" si="161"/>
        <v>1.338050735194299</v>
      </c>
      <c r="N353" s="357">
        <f t="shared" ca="1" si="162"/>
        <v>76.664659901010253</v>
      </c>
      <c r="O353" s="343"/>
      <c r="P353" s="363">
        <f t="shared" ca="1" si="163"/>
        <v>11</v>
      </c>
      <c r="Q353" s="357">
        <f t="shared" ca="1" si="164"/>
        <v>676.55000000000393</v>
      </c>
      <c r="R353" s="359">
        <f t="shared" ca="1" si="165"/>
        <v>0.33890572109841033</v>
      </c>
      <c r="S353" s="360">
        <f t="shared" ca="1" si="166"/>
        <v>10.024352667143344</v>
      </c>
      <c r="T353" s="357">
        <f t="shared" ca="1" si="146"/>
        <v>98.338899664676205</v>
      </c>
      <c r="U353" s="364">
        <f t="shared" ca="1" si="147"/>
        <v>0</v>
      </c>
      <c r="V353" s="359">
        <f t="shared" ca="1" si="148"/>
        <v>1.1713395923084691</v>
      </c>
      <c r="W353" s="357">
        <f t="shared" ca="1" si="149"/>
        <v>152.28121889023609</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447.8531161757262</v>
      </c>
      <c r="AF353" s="344"/>
      <c r="AG353" s="359">
        <f t="shared" ca="1" si="172"/>
        <v>42.804497863485182</v>
      </c>
      <c r="AH353" s="357">
        <f t="shared" ca="1" si="173"/>
        <v>52.350202298043975</v>
      </c>
    </row>
    <row r="354" spans="1:34" x14ac:dyDescent="0.25">
      <c r="A354" s="402">
        <f t="shared" ca="1" si="151"/>
        <v>0.01</v>
      </c>
      <c r="B354" s="357">
        <f t="shared" ca="1" si="152"/>
        <v>3.4999999999999694</v>
      </c>
      <c r="C354" s="342"/>
      <c r="D354" s="359">
        <f t="shared" ca="1" si="153"/>
        <v>12.03703058283155</v>
      </c>
      <c r="E354" s="360">
        <f t="shared" ca="1" si="154"/>
        <v>40.970299639224741</v>
      </c>
      <c r="F354" s="357">
        <f t="shared" ca="1" si="155"/>
        <v>42.701938571684082</v>
      </c>
      <c r="G354" s="359">
        <f t="shared" ca="1" si="156"/>
        <v>55.397478976201818</v>
      </c>
      <c r="H354" s="360">
        <f t="shared" ca="1" si="157"/>
        <v>233.60576594194711</v>
      </c>
      <c r="I354" s="357">
        <f t="shared" ca="1" si="158"/>
        <v>240.08443214469884</v>
      </c>
      <c r="J354" s="359">
        <f t="shared" ca="1" si="159"/>
        <v>99.863367123957531</v>
      </c>
      <c r="K354" s="360">
        <f t="shared" ca="1" si="160"/>
        <v>450.18712532016372</v>
      </c>
      <c r="L354" s="357">
        <f t="shared" ca="1" si="145"/>
        <v>461.1302851660983</v>
      </c>
      <c r="M354" s="359">
        <f t="shared" ca="1" si="161"/>
        <v>1.3379564901820689</v>
      </c>
      <c r="N354" s="357">
        <f t="shared" ca="1" si="162"/>
        <v>76.659260059569306</v>
      </c>
      <c r="O354" s="343"/>
      <c r="P354" s="363">
        <f t="shared" ca="1" si="163"/>
        <v>11</v>
      </c>
      <c r="Q354" s="357">
        <f t="shared" ca="1" si="164"/>
        <v>675.25000000000398</v>
      </c>
      <c r="R354" s="359">
        <f t="shared" ca="1" si="165"/>
        <v>0.33825450915926625</v>
      </c>
      <c r="S354" s="360">
        <f t="shared" ca="1" si="166"/>
        <v>10.02097012205175</v>
      </c>
      <c r="T354" s="357">
        <f t="shared" ca="1" si="146"/>
        <v>98.30571689732767</v>
      </c>
      <c r="U354" s="364">
        <f t="shared" ca="1" si="147"/>
        <v>0</v>
      </c>
      <c r="V354" s="359">
        <f t="shared" ca="1" si="148"/>
        <v>1.1710660946388707</v>
      </c>
      <c r="W354" s="357">
        <f t="shared" ca="1" si="149"/>
        <v>152.78792221176218</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450.18712532016372</v>
      </c>
      <c r="AF354" s="344"/>
      <c r="AG354" s="359">
        <f t="shared" ca="1" si="172"/>
        <v>42.641949474710607</v>
      </c>
      <c r="AH354" s="357">
        <f t="shared" ca="1" si="173"/>
        <v>52.187440411477077</v>
      </c>
    </row>
    <row r="355" spans="1:34" x14ac:dyDescent="0.25">
      <c r="A355" s="402">
        <f t="shared" ca="1" si="151"/>
        <v>0.01</v>
      </c>
      <c r="B355" s="357">
        <f t="shared" ca="1" si="152"/>
        <v>3.5099999999999691</v>
      </c>
      <c r="C355" s="342"/>
      <c r="D355" s="359">
        <f t="shared" ca="1" si="153"/>
        <v>12.004259582606643</v>
      </c>
      <c r="E355" s="360">
        <f t="shared" ca="1" si="154"/>
        <v>40.810791887758377</v>
      </c>
      <c r="F355" s="357">
        <f t="shared" ca="1" si="155"/>
        <v>42.539663640331341</v>
      </c>
      <c r="G355" s="359">
        <f t="shared" ca="1" si="156"/>
        <v>55.517521572027881</v>
      </c>
      <c r="H355" s="360">
        <f t="shared" ca="1" si="157"/>
        <v>234.0138738608247</v>
      </c>
      <c r="I355" s="357">
        <f t="shared" ca="1" si="158"/>
        <v>240.50922718442749</v>
      </c>
      <c r="J355" s="359">
        <f t="shared" ca="1" si="159"/>
        <v>100.41794212669868</v>
      </c>
      <c r="K355" s="360">
        <f t="shared" ca="1" si="160"/>
        <v>452.52522351917759</v>
      </c>
      <c r="L355" s="357">
        <f t="shared" ca="1" si="145"/>
        <v>463.53299884910308</v>
      </c>
      <c r="M355" s="359">
        <f t="shared" ca="1" si="161"/>
        <v>1.3378623742242024</v>
      </c>
      <c r="N355" s="357">
        <f t="shared" ca="1" si="162"/>
        <v>76.653867612398727</v>
      </c>
      <c r="O355" s="343"/>
      <c r="P355" s="363">
        <f t="shared" ca="1" si="163"/>
        <v>11</v>
      </c>
      <c r="Q355" s="357">
        <f t="shared" ca="1" si="164"/>
        <v>673.95000000000402</v>
      </c>
      <c r="R355" s="359">
        <f t="shared" ca="1" si="165"/>
        <v>0.33760329722012222</v>
      </c>
      <c r="S355" s="360">
        <f t="shared" ca="1" si="166"/>
        <v>10.01759408907955</v>
      </c>
      <c r="T355" s="357">
        <f t="shared" ca="1" si="146"/>
        <v>98.272598013870393</v>
      </c>
      <c r="U355" s="364">
        <f t="shared" ca="1" si="147"/>
        <v>0</v>
      </c>
      <c r="V355" s="359">
        <f t="shared" ca="1" si="148"/>
        <v>1.1707921804028845</v>
      </c>
      <c r="W355" s="357">
        <f t="shared" ca="1" si="149"/>
        <v>153.2932093373997</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452.52522351917759</v>
      </c>
      <c r="AF355" s="344"/>
      <c r="AG355" s="359">
        <f t="shared" ca="1" si="172"/>
        <v>42.479397453570826</v>
      </c>
      <c r="AH355" s="357">
        <f t="shared" ca="1" si="173"/>
        <v>52.024675102016232</v>
      </c>
    </row>
    <row r="356" spans="1:34" x14ac:dyDescent="0.25">
      <c r="A356" s="402">
        <f t="shared" ca="1" si="151"/>
        <v>0.01</v>
      </c>
      <c r="B356" s="357">
        <f t="shared" ca="1" si="152"/>
        <v>3.5199999999999689</v>
      </c>
      <c r="C356" s="342"/>
      <c r="D356" s="359">
        <f t="shared" ca="1" si="153"/>
        <v>11.97145163836732</v>
      </c>
      <c r="E356" s="360">
        <f t="shared" ca="1" si="154"/>
        <v>40.651290315296855</v>
      </c>
      <c r="F356" s="357">
        <f t="shared" ca="1" si="155"/>
        <v>42.377388530067726</v>
      </c>
      <c r="G356" s="359">
        <f t="shared" ca="1" si="156"/>
        <v>55.637236088411555</v>
      </c>
      <c r="H356" s="360">
        <f t="shared" ca="1" si="157"/>
        <v>234.42038676397766</v>
      </c>
      <c r="I356" s="357">
        <f t="shared" ca="1" si="158"/>
        <v>240.93239668033544</v>
      </c>
      <c r="J356" s="359">
        <f t="shared" ca="1" si="159"/>
        <v>100.97371591500087</v>
      </c>
      <c r="K356" s="360">
        <f t="shared" ca="1" si="160"/>
        <v>454.86739482230161</v>
      </c>
      <c r="L356" s="357">
        <f t="shared" ca="1" si="145"/>
        <v>465.93995125778912</v>
      </c>
      <c r="M356" s="359">
        <f t="shared" ca="1" si="161"/>
        <v>1.3377683862834628</v>
      </c>
      <c r="N356" s="357">
        <f t="shared" ca="1" si="162"/>
        <v>76.648482500069235</v>
      </c>
      <c r="O356" s="343"/>
      <c r="P356" s="363">
        <f t="shared" ca="1" si="163"/>
        <v>11</v>
      </c>
      <c r="Q356" s="357">
        <f t="shared" ca="1" si="164"/>
        <v>672.65000000000407</v>
      </c>
      <c r="R356" s="359">
        <f t="shared" ca="1" si="165"/>
        <v>0.33695208528097814</v>
      </c>
      <c r="S356" s="360">
        <f t="shared" ca="1" si="166"/>
        <v>10.014224568226741</v>
      </c>
      <c r="T356" s="357">
        <f t="shared" ca="1" si="146"/>
        <v>98.239543014304331</v>
      </c>
      <c r="U356" s="364">
        <f t="shared" ca="1" si="147"/>
        <v>0</v>
      </c>
      <c r="V356" s="359">
        <f t="shared" ca="1" si="148"/>
        <v>1.1705178517756254</v>
      </c>
      <c r="W356" s="357">
        <f t="shared" ca="1" si="149"/>
        <v>153.79706974763386</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454.86739482230161</v>
      </c>
      <c r="AF356" s="344"/>
      <c r="AG356" s="359">
        <f t="shared" ca="1" si="172"/>
        <v>42.316843174173933</v>
      </c>
      <c r="AH356" s="357">
        <f t="shared" ca="1" si="173"/>
        <v>51.861907741756276</v>
      </c>
    </row>
    <row r="357" spans="1:34" x14ac:dyDescent="0.25">
      <c r="A357" s="402">
        <f t="shared" ca="1" si="151"/>
        <v>0.01</v>
      </c>
      <c r="B357" s="357">
        <f t="shared" ca="1" si="152"/>
        <v>3.5299999999999687</v>
      </c>
      <c r="C357" s="342"/>
      <c r="D357" s="359">
        <f t="shared" ca="1" si="153"/>
        <v>11.938607179965683</v>
      </c>
      <c r="E357" s="360">
        <f t="shared" ca="1" si="154"/>
        <v>40.491796230558535</v>
      </c>
      <c r="F357" s="357">
        <f t="shared" ca="1" si="155"/>
        <v>42.21511463178328</v>
      </c>
      <c r="G357" s="359">
        <f t="shared" ca="1" si="156"/>
        <v>55.756622160211215</v>
      </c>
      <c r="H357" s="360">
        <f t="shared" ca="1" si="157"/>
        <v>234.82530472628324</v>
      </c>
      <c r="I357" s="357">
        <f t="shared" ca="1" si="158"/>
        <v>241.35394062353393</v>
      </c>
      <c r="J357" s="359">
        <f t="shared" ca="1" si="159"/>
        <v>101.53068520624399</v>
      </c>
      <c r="K357" s="360">
        <f t="shared" ca="1" si="160"/>
        <v>457.21362327975294</v>
      </c>
      <c r="L357" s="357">
        <f t="shared" ca="1" si="145"/>
        <v>468.35112613406756</v>
      </c>
      <c r="M357" s="359">
        <f t="shared" ca="1" si="161"/>
        <v>1.3376745253302404</v>
      </c>
      <c r="N357" s="357">
        <f t="shared" ca="1" si="162"/>
        <v>76.643104663588517</v>
      </c>
      <c r="O357" s="343"/>
      <c r="P357" s="363">
        <f t="shared" ca="1" si="163"/>
        <v>11</v>
      </c>
      <c r="Q357" s="357">
        <f t="shared" ca="1" si="164"/>
        <v>671.35000000000412</v>
      </c>
      <c r="R357" s="359">
        <f t="shared" ca="1" si="165"/>
        <v>0.33630087334183406</v>
      </c>
      <c r="S357" s="360">
        <f t="shared" ca="1" si="166"/>
        <v>10.010861559493323</v>
      </c>
      <c r="T357" s="357">
        <f t="shared" ca="1" si="146"/>
        <v>98.206551898629499</v>
      </c>
      <c r="U357" s="364">
        <f t="shared" ca="1" si="147"/>
        <v>0</v>
      </c>
      <c r="V357" s="359">
        <f t="shared" ca="1" si="148"/>
        <v>1.1702431109307738</v>
      </c>
      <c r="W357" s="357">
        <f t="shared" ca="1" si="149"/>
        <v>154.29949299875284</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457.21362327975294</v>
      </c>
      <c r="AF357" s="344"/>
      <c r="AG357" s="359">
        <f t="shared" ca="1" si="172"/>
        <v>42.154288004902433</v>
      </c>
      <c r="AH357" s="357">
        <f t="shared" ca="1" si="173"/>
        <v>51.699139697079687</v>
      </c>
    </row>
    <row r="358" spans="1:34" x14ac:dyDescent="0.25">
      <c r="A358" s="402">
        <f t="shared" ca="1" si="151"/>
        <v>0.01</v>
      </c>
      <c r="B358" s="357">
        <f t="shared" ca="1" si="152"/>
        <v>3.5399999999999685</v>
      </c>
      <c r="C358" s="342"/>
      <c r="D358" s="359">
        <f t="shared" ca="1" si="153"/>
        <v>11.905726635380654</v>
      </c>
      <c r="E358" s="360">
        <f t="shared" ca="1" si="154"/>
        <v>40.332310936766</v>
      </c>
      <c r="F358" s="357">
        <f t="shared" ca="1" si="155"/>
        <v>42.052843330937641</v>
      </c>
      <c r="G358" s="359">
        <f t="shared" ca="1" si="156"/>
        <v>55.875679426565021</v>
      </c>
      <c r="H358" s="360">
        <f t="shared" ca="1" si="157"/>
        <v>235.22862783565088</v>
      </c>
      <c r="I358" s="357">
        <f t="shared" ca="1" si="158"/>
        <v>241.77385901876036</v>
      </c>
      <c r="J358" s="359">
        <f t="shared" ca="1" si="159"/>
        <v>102.08884671417786</v>
      </c>
      <c r="K358" s="360">
        <f t="shared" ca="1" si="160"/>
        <v>459.56389294256263</v>
      </c>
      <c r="L358" s="357">
        <f t="shared" ca="1" si="145"/>
        <v>470.76650721982554</v>
      </c>
      <c r="M358" s="359">
        <f t="shared" ca="1" si="161"/>
        <v>1.3375807903424639</v>
      </c>
      <c r="N358" s="357">
        <f t="shared" ca="1" si="162"/>
        <v>76.637734044396211</v>
      </c>
      <c r="O358" s="343"/>
      <c r="P358" s="363">
        <f t="shared" ca="1" si="163"/>
        <v>11</v>
      </c>
      <c r="Q358" s="357">
        <f t="shared" ca="1" si="164"/>
        <v>670.05000000000405</v>
      </c>
      <c r="R358" s="359">
        <f t="shared" ca="1" si="165"/>
        <v>0.33564966140268998</v>
      </c>
      <c r="S358" s="360">
        <f t="shared" ca="1" si="166"/>
        <v>10.007505062879297</v>
      </c>
      <c r="T358" s="357">
        <f t="shared" ca="1" si="146"/>
        <v>98.17362466684591</v>
      </c>
      <c r="U358" s="364">
        <f t="shared" ca="1" si="147"/>
        <v>0</v>
      </c>
      <c r="V358" s="359">
        <f t="shared" ca="1" si="148"/>
        <v>1.169967960040553</v>
      </c>
      <c r="W358" s="357">
        <f t="shared" ca="1" si="149"/>
        <v>154.80046872287045</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459.56389294256263</v>
      </c>
      <c r="AF358" s="344"/>
      <c r="AG358" s="359">
        <f t="shared" ca="1" si="172"/>
        <v>41.991733308392213</v>
      </c>
      <c r="AH358" s="357">
        <f t="shared" ca="1" si="173"/>
        <v>51.536372328635395</v>
      </c>
    </row>
    <row r="359" spans="1:34" x14ac:dyDescent="0.25">
      <c r="A359" s="402">
        <f t="shared" ca="1" si="151"/>
        <v>0.01</v>
      </c>
      <c r="B359" s="357">
        <f t="shared" ca="1" si="152"/>
        <v>3.5499999999999683</v>
      </c>
      <c r="C359" s="342"/>
      <c r="D359" s="359">
        <f t="shared" ca="1" si="153"/>
        <v>11.872810430719465</v>
      </c>
      <c r="E359" s="360">
        <f t="shared" ca="1" si="154"/>
        <v>40.172835731625078</v>
      </c>
      <c r="F359" s="357">
        <f t="shared" ca="1" si="155"/>
        <v>41.890576007545341</v>
      </c>
      <c r="G359" s="359">
        <f t="shared" ca="1" si="156"/>
        <v>55.994407530872216</v>
      </c>
      <c r="H359" s="360">
        <f t="shared" ca="1" si="157"/>
        <v>235.63035619296713</v>
      </c>
      <c r="I359" s="357">
        <f t="shared" ca="1" si="158"/>
        <v>242.19215188432088</v>
      </c>
      <c r="J359" s="359">
        <f t="shared" ca="1" si="159"/>
        <v>102.64819714896505</v>
      </c>
      <c r="K359" s="360">
        <f t="shared" ca="1" si="160"/>
        <v>461.91818786270574</v>
      </c>
      <c r="L359" s="357">
        <f t="shared" ca="1" si="145"/>
        <v>473.18607825706232</v>
      </c>
      <c r="M359" s="359">
        <f t="shared" ca="1" si="161"/>
        <v>1.3374871803055159</v>
      </c>
      <c r="N359" s="357">
        <f t="shared" ca="1" si="162"/>
        <v>76.632370584359023</v>
      </c>
      <c r="O359" s="343"/>
      <c r="P359" s="363">
        <f t="shared" ca="1" si="163"/>
        <v>11</v>
      </c>
      <c r="Q359" s="357">
        <f t="shared" ca="1" si="164"/>
        <v>668.75000000000409</v>
      </c>
      <c r="R359" s="359">
        <f t="shared" ca="1" si="165"/>
        <v>0.3349984494635459</v>
      </c>
      <c r="S359" s="360">
        <f t="shared" ca="1" si="166"/>
        <v>10.004155078384661</v>
      </c>
      <c r="T359" s="357">
        <f t="shared" ca="1" si="146"/>
        <v>98.140761318953537</v>
      </c>
      <c r="U359" s="364">
        <f t="shared" ca="1" si="147"/>
        <v>0</v>
      </c>
      <c r="V359" s="359">
        <f t="shared" ca="1" si="148"/>
        <v>1.1696924012757068</v>
      </c>
      <c r="W359" s="357">
        <f t="shared" ca="1" si="149"/>
        <v>155.29998662794497</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461.91818786270574</v>
      </c>
      <c r="AF359" s="344"/>
      <c r="AG359" s="359">
        <f t="shared" ca="1" si="172"/>
        <v>41.829180441512094</v>
      </c>
      <c r="AH359" s="357">
        <f t="shared" ca="1" si="173"/>
        <v>51.373606991318198</v>
      </c>
    </row>
    <row r="360" spans="1:34" x14ac:dyDescent="0.25">
      <c r="A360" s="402">
        <f t="shared" ca="1" si="151"/>
        <v>0.01</v>
      </c>
      <c r="B360" s="357">
        <f t="shared" ca="1" si="152"/>
        <v>3.5599999999999681</v>
      </c>
      <c r="C360" s="342"/>
      <c r="D360" s="359">
        <f t="shared" ca="1" si="153"/>
        <v>11.839858990218902</v>
      </c>
      <c r="E360" s="360">
        <f t="shared" ca="1" si="154"/>
        <v>40.013371907303871</v>
      </c>
      <c r="F360" s="357">
        <f t="shared" ca="1" si="155"/>
        <v>41.72831403616113</v>
      </c>
      <c r="G360" s="359">
        <f t="shared" ca="1" si="156"/>
        <v>56.112806120774408</v>
      </c>
      <c r="H360" s="360">
        <f t="shared" ca="1" si="157"/>
        <v>236.03048991204017</v>
      </c>
      <c r="I360" s="357">
        <f t="shared" ca="1" si="158"/>
        <v>242.60881925203236</v>
      </c>
      <c r="J360" s="359">
        <f t="shared" ca="1" si="159"/>
        <v>103.20873321722328</v>
      </c>
      <c r="K360" s="360">
        <f t="shared" ca="1" si="160"/>
        <v>464.27649209323079</v>
      </c>
      <c r="L360" s="357">
        <f t="shared" ca="1" si="145"/>
        <v>475.60982298802429</v>
      </c>
      <c r="M360" s="359">
        <f t="shared" ca="1" si="161"/>
        <v>1.3373936942121494</v>
      </c>
      <c r="N360" s="357">
        <f t="shared" ca="1" si="162"/>
        <v>76.627014225765947</v>
      </c>
      <c r="O360" s="343"/>
      <c r="P360" s="363">
        <f t="shared" ca="1" si="163"/>
        <v>11</v>
      </c>
      <c r="Q360" s="357">
        <f t="shared" ca="1" si="164"/>
        <v>667.45000000000414</v>
      </c>
      <c r="R360" s="359">
        <f t="shared" ca="1" si="165"/>
        <v>0.33434723752440182</v>
      </c>
      <c r="S360" s="360">
        <f t="shared" ca="1" si="166"/>
        <v>10.000811606009417</v>
      </c>
      <c r="T360" s="357">
        <f t="shared" ca="1" si="146"/>
        <v>98.107961854952393</v>
      </c>
      <c r="U360" s="364">
        <f t="shared" ca="1" si="147"/>
        <v>0</v>
      </c>
      <c r="V360" s="359">
        <f t="shared" ca="1" si="148"/>
        <v>1.1694164368054789</v>
      </c>
      <c r="W360" s="357">
        <f t="shared" ca="1" si="149"/>
        <v>155.7980364977947</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464.27649209323079</v>
      </c>
      <c r="AF360" s="344"/>
      <c r="AG360" s="359">
        <f t="shared" ca="1" si="172"/>
        <v>41.666630755343441</v>
      </c>
      <c r="AH360" s="357">
        <f t="shared" ca="1" si="173"/>
        <v>51.210845034248209</v>
      </c>
    </row>
    <row r="361" spans="1:34" x14ac:dyDescent="0.25">
      <c r="A361" s="402">
        <f t="shared" ca="1" si="151"/>
        <v>0.01</v>
      </c>
      <c r="B361" s="357">
        <f t="shared" ca="1" si="152"/>
        <v>3.5699999999999679</v>
      </c>
      <c r="C361" s="342"/>
      <c r="D361" s="359">
        <f t="shared" ca="1" si="153"/>
        <v>11.806872736246627</v>
      </c>
      <c r="E361" s="360">
        <f t="shared" ca="1" si="154"/>
        <v>39.853920750412513</v>
      </c>
      <c r="F361" s="357">
        <f t="shared" ca="1" si="155"/>
        <v>41.566058785866204</v>
      </c>
      <c r="G361" s="359">
        <f t="shared" ca="1" si="156"/>
        <v>56.230874848136871</v>
      </c>
      <c r="H361" s="360">
        <f t="shared" ca="1" si="157"/>
        <v>236.42902911954428</v>
      </c>
      <c r="I361" s="357">
        <f t="shared" ca="1" si="158"/>
        <v>243.02386116716431</v>
      </c>
      <c r="J361" s="359">
        <f t="shared" ca="1" si="159"/>
        <v>103.77045162206784</v>
      </c>
      <c r="K361" s="360">
        <f t="shared" ca="1" si="160"/>
        <v>466.63878968838873</v>
      </c>
      <c r="L361" s="357">
        <f t="shared" ca="1" si="145"/>
        <v>478.03772515533979</v>
      </c>
      <c r="M361" s="359">
        <f t="shared" ca="1" si="161"/>
        <v>1.337300331062403</v>
      </c>
      <c r="N361" s="357">
        <f t="shared" ca="1" si="162"/>
        <v>76.621664911323435</v>
      </c>
      <c r="O361" s="343"/>
      <c r="P361" s="363">
        <f t="shared" ca="1" si="163"/>
        <v>11</v>
      </c>
      <c r="Q361" s="357">
        <f t="shared" ca="1" si="164"/>
        <v>666.15000000000418</v>
      </c>
      <c r="R361" s="359">
        <f t="shared" ca="1" si="165"/>
        <v>0.33369602558525779</v>
      </c>
      <c r="S361" s="360">
        <f t="shared" ca="1" si="166"/>
        <v>9.9974746457535648</v>
      </c>
      <c r="T361" s="357">
        <f t="shared" ca="1" si="146"/>
        <v>98.075226274842478</v>
      </c>
      <c r="U361" s="364">
        <f t="shared" ca="1" si="147"/>
        <v>0</v>
      </c>
      <c r="V361" s="359">
        <f t="shared" ca="1" si="148"/>
        <v>1.1691400687975908</v>
      </c>
      <c r="W361" s="357">
        <f t="shared" ca="1" si="149"/>
        <v>156.29460819210931</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466.63878968838873</v>
      </c>
      <c r="AF361" s="344"/>
      <c r="AG361" s="359">
        <f t="shared" ca="1" si="172"/>
        <v>41.504085595160412</v>
      </c>
      <c r="AH361" s="357">
        <f t="shared" ca="1" si="173"/>
        <v>51.048087800750956</v>
      </c>
    </row>
    <row r="362" spans="1:34" x14ac:dyDescent="0.25">
      <c r="A362" s="402">
        <f t="shared" ca="1" si="151"/>
        <v>0.01</v>
      </c>
      <c r="B362" s="357">
        <f t="shared" ca="1" si="152"/>
        <v>3.5799999999999677</v>
      </c>
      <c r="C362" s="342"/>
      <c r="D362" s="359">
        <f t="shared" ca="1" si="153"/>
        <v>11.773852089302494</v>
      </c>
      <c r="E362" s="360">
        <f t="shared" ca="1" si="154"/>
        <v>39.694483541983139</v>
      </c>
      <c r="F362" s="357">
        <f t="shared" ca="1" si="155"/>
        <v>41.403811620254757</v>
      </c>
      <c r="G362" s="359">
        <f t="shared" ca="1" si="156"/>
        <v>56.348613369029898</v>
      </c>
      <c r="H362" s="360">
        <f t="shared" ca="1" si="157"/>
        <v>236.82597395496413</v>
      </c>
      <c r="I362" s="357">
        <f t="shared" ca="1" si="158"/>
        <v>243.43727768838068</v>
      </c>
      <c r="J362" s="359">
        <f t="shared" ca="1" si="159"/>
        <v>104.33334906315368</v>
      </c>
      <c r="K362" s="360">
        <f t="shared" ca="1" si="160"/>
        <v>469.00506470376126</v>
      </c>
      <c r="L362" s="357">
        <f t="shared" ca="1" si="145"/>
        <v>480.46976850215373</v>
      </c>
      <c r="M362" s="359">
        <f t="shared" ca="1" si="161"/>
        <v>1.3372070898635213</v>
      </c>
      <c r="N362" s="357">
        <f t="shared" ca="1" si="162"/>
        <v>76.61632258415078</v>
      </c>
      <c r="O362" s="343"/>
      <c r="P362" s="363">
        <f t="shared" ca="1" si="163"/>
        <v>11</v>
      </c>
      <c r="Q362" s="357">
        <f t="shared" ca="1" si="164"/>
        <v>664.85000000000423</v>
      </c>
      <c r="R362" s="359">
        <f t="shared" ca="1" si="165"/>
        <v>0.33304481364611371</v>
      </c>
      <c r="S362" s="360">
        <f t="shared" ca="1" si="166"/>
        <v>9.9941441976171035</v>
      </c>
      <c r="T362" s="357">
        <f t="shared" ca="1" si="146"/>
        <v>98.042554578623793</v>
      </c>
      <c r="U362" s="364">
        <f t="shared" ca="1" si="147"/>
        <v>0</v>
      </c>
      <c r="V362" s="359">
        <f t="shared" ca="1" si="148"/>
        <v>1.1688632994182202</v>
      </c>
      <c r="W362" s="357">
        <f t="shared" ca="1" si="149"/>
        <v>156.78969164645818</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469.00506470376126</v>
      </c>
      <c r="AF362" s="344"/>
      <c r="AG362" s="359">
        <f t="shared" ca="1" si="172"/>
        <v>41.341546300410464</v>
      </c>
      <c r="AH362" s="357">
        <f t="shared" ca="1" si="173"/>
        <v>50.885336628337761</v>
      </c>
    </row>
    <row r="363" spans="1:34" x14ac:dyDescent="0.25">
      <c r="A363" s="402">
        <f t="shared" ca="1" si="151"/>
        <v>0.01</v>
      </c>
      <c r="B363" s="357">
        <f t="shared" ca="1" si="152"/>
        <v>3.5899999999999674</v>
      </c>
      <c r="C363" s="342"/>
      <c r="D363" s="359">
        <f t="shared" ca="1" si="153"/>
        <v>11.740797468019737</v>
      </c>
      <c r="E363" s="360">
        <f t="shared" ca="1" si="154"/>
        <v>39.535061557450348</v>
      </c>
      <c r="F363" s="357">
        <f t="shared" ca="1" si="155"/>
        <v>41.241573897421119</v>
      </c>
      <c r="G363" s="359">
        <f t="shared" ca="1" si="156"/>
        <v>56.466021343710096</v>
      </c>
      <c r="H363" s="360">
        <f t="shared" ca="1" si="157"/>
        <v>237.22132457053863</v>
      </c>
      <c r="I363" s="357">
        <f t="shared" ca="1" si="158"/>
        <v>243.84906888768134</v>
      </c>
      <c r="J363" s="359">
        <f t="shared" ca="1" si="159"/>
        <v>104.89742223671738</v>
      </c>
      <c r="K363" s="360">
        <f t="shared" ca="1" si="160"/>
        <v>471.37530119638876</v>
      </c>
      <c r="L363" s="357">
        <f t="shared" ca="1" si="145"/>
        <v>482.90593677226042</v>
      </c>
      <c r="M363" s="359">
        <f t="shared" ca="1" si="161"/>
        <v>1.3371139696298724</v>
      </c>
      <c r="N363" s="357">
        <f t="shared" ca="1" si="162"/>
        <v>76.610987187775422</v>
      </c>
      <c r="O363" s="343"/>
      <c r="P363" s="363">
        <f t="shared" ca="1" si="163"/>
        <v>11</v>
      </c>
      <c r="Q363" s="357">
        <f t="shared" ca="1" si="164"/>
        <v>663.55000000000427</v>
      </c>
      <c r="R363" s="359">
        <f t="shared" ca="1" si="165"/>
        <v>0.33239360170696963</v>
      </c>
      <c r="S363" s="360">
        <f t="shared" ca="1" si="166"/>
        <v>9.9908202616000334</v>
      </c>
      <c r="T363" s="357">
        <f t="shared" ca="1" si="146"/>
        <v>98.009946766296338</v>
      </c>
      <c r="U363" s="364">
        <f t="shared" ca="1" si="147"/>
        <v>0</v>
      </c>
      <c r="V363" s="359">
        <f t="shared" ca="1" si="148"/>
        <v>1.1685861308319789</v>
      </c>
      <c r="W363" s="357">
        <f t="shared" ca="1" si="149"/>
        <v>157.28327687229481</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471.37530119638876</v>
      </c>
      <c r="AF363" s="344"/>
      <c r="AG363" s="359">
        <f t="shared" ca="1" si="172"/>
        <v>41.17901420469525</v>
      </c>
      <c r="AH363" s="357">
        <f t="shared" ca="1" si="173"/>
        <v>50.722592848686503</v>
      </c>
    </row>
    <row r="364" spans="1:34" x14ac:dyDescent="0.25">
      <c r="A364" s="402">
        <f t="shared" ca="1" si="151"/>
        <v>0.01</v>
      </c>
      <c r="B364" s="357">
        <f t="shared" ca="1" si="152"/>
        <v>3.5999999999999672</v>
      </c>
      <c r="C364" s="342"/>
      <c r="D364" s="359">
        <f t="shared" ca="1" si="153"/>
        <v>11.707709289166264</v>
      </c>
      <c r="E364" s="360">
        <f t="shared" ca="1" si="154"/>
        <v>39.375656066631905</v>
      </c>
      <c r="F364" s="357">
        <f t="shared" ca="1" si="155"/>
        <v>41.079346969947267</v>
      </c>
      <c r="G364" s="359">
        <f t="shared" ca="1" si="156"/>
        <v>56.583098436601759</v>
      </c>
      <c r="H364" s="360">
        <f t="shared" ca="1" si="157"/>
        <v>237.61508113120496</v>
      </c>
      <c r="I364" s="357">
        <f t="shared" ca="1" si="158"/>
        <v>244.25923485034355</v>
      </c>
      <c r="J364" s="359">
        <f t="shared" ca="1" si="159"/>
        <v>105.46266783561893</v>
      </c>
      <c r="K364" s="360">
        <f t="shared" ca="1" si="160"/>
        <v>473.74948322489746</v>
      </c>
      <c r="L364" s="357">
        <f t="shared" ca="1" si="145"/>
        <v>485.34621371023746</v>
      </c>
      <c r="M364" s="359">
        <f t="shared" ca="1" si="161"/>
        <v>1.3370209693828683</v>
      </c>
      <c r="N364" s="357">
        <f t="shared" ca="1" si="162"/>
        <v>76.60565866612842</v>
      </c>
      <c r="O364" s="343"/>
      <c r="P364" s="363">
        <f t="shared" ca="1" si="163"/>
        <v>11</v>
      </c>
      <c r="Q364" s="357">
        <f t="shared" ca="1" si="164"/>
        <v>662.25000000000421</v>
      </c>
      <c r="R364" s="359">
        <f t="shared" ca="1" si="165"/>
        <v>0.33174238976782555</v>
      </c>
      <c r="S364" s="360">
        <f t="shared" ca="1" si="166"/>
        <v>9.9875028377023547</v>
      </c>
      <c r="T364" s="357">
        <f t="shared" ca="1" si="146"/>
        <v>97.977402837860112</v>
      </c>
      <c r="U364" s="364">
        <f t="shared" ca="1" si="147"/>
        <v>0</v>
      </c>
      <c r="V364" s="359">
        <f t="shared" ca="1" si="148"/>
        <v>1.1683085652018945</v>
      </c>
      <c r="W364" s="357">
        <f t="shared" ca="1" si="149"/>
        <v>157.77535395695816</v>
      </c>
      <c r="X364" s="343"/>
      <c r="Y364" s="367" t="str">
        <f t="shared" ca="1" si="167"/>
        <v/>
      </c>
      <c r="Z364" s="368" t="str">
        <f t="shared" ca="1" si="168"/>
        <v/>
      </c>
      <c r="AA364" s="369" t="str">
        <f t="shared" ca="1" si="169"/>
        <v/>
      </c>
      <c r="AB364" s="344"/>
      <c r="AC364" s="363" t="e">
        <f t="shared" ca="1" si="170"/>
        <v>#N/A</v>
      </c>
      <c r="AD364" s="376" t="e">
        <f t="shared" ca="1" si="171"/>
        <v>#N/A</v>
      </c>
      <c r="AE364" s="377">
        <f t="shared" ca="1" si="150"/>
        <v>473.74948322489746</v>
      </c>
      <c r="AF364" s="344"/>
      <c r="AG364" s="359">
        <f t="shared" ca="1" si="172"/>
        <v>41.016490635751893</v>
      </c>
      <c r="AH364" s="357">
        <f t="shared" ca="1" si="173"/>
        <v>50.559857787622718</v>
      </c>
    </row>
    <row r="365" spans="1:34" x14ac:dyDescent="0.25">
      <c r="A365" s="402">
        <f t="shared" ca="1" si="151"/>
        <v>0.01</v>
      </c>
      <c r="B365" s="357">
        <f t="shared" ca="1" si="152"/>
        <v>3.609999999999967</v>
      </c>
      <c r="C365" s="342"/>
      <c r="D365" s="359">
        <f t="shared" ca="1" si="153"/>
        <v>11.674587967645861</v>
      </c>
      <c r="E365" s="360">
        <f t="shared" ca="1" si="154"/>
        <v>39.216268333709934</v>
      </c>
      <c r="F365" s="357">
        <f t="shared" ca="1" si="155"/>
        <v>40.917132184890988</v>
      </c>
      <c r="G365" s="359">
        <f t="shared" ca="1" si="156"/>
        <v>56.699844316278217</v>
      </c>
      <c r="H365" s="360">
        <f t="shared" ca="1" si="157"/>
        <v>238.00724381454205</v>
      </c>
      <c r="I365" s="357">
        <f t="shared" ca="1" si="158"/>
        <v>244.66777567486292</v>
      </c>
      <c r="J365" s="359">
        <f t="shared" ca="1" si="159"/>
        <v>106.02908254938333</v>
      </c>
      <c r="K365" s="360">
        <f t="shared" ca="1" si="160"/>
        <v>476.12759484962618</v>
      </c>
      <c r="L365" s="357">
        <f t="shared" ca="1" si="145"/>
        <v>487.79058306157748</v>
      </c>
      <c r="M365" s="359">
        <f t="shared" ca="1" si="161"/>
        <v>1.3369280881508869</v>
      </c>
      <c r="N365" s="357">
        <f t="shared" ca="1" si="162"/>
        <v>76.600336963539903</v>
      </c>
      <c r="O365" s="343"/>
      <c r="P365" s="363">
        <f t="shared" ca="1" si="163"/>
        <v>11</v>
      </c>
      <c r="Q365" s="357">
        <f t="shared" ca="1" si="164"/>
        <v>660.95000000000425</v>
      </c>
      <c r="R365" s="359">
        <f t="shared" ca="1" si="165"/>
        <v>0.33109117782868147</v>
      </c>
      <c r="S365" s="360">
        <f t="shared" ca="1" si="166"/>
        <v>9.9841919259240672</v>
      </c>
      <c r="T365" s="357">
        <f t="shared" ca="1" si="146"/>
        <v>97.944922793315101</v>
      </c>
      <c r="U365" s="364">
        <f t="shared" ca="1" si="147"/>
        <v>0</v>
      </c>
      <c r="V365" s="359">
        <f t="shared" ca="1" si="148"/>
        <v>1.1680306046893849</v>
      </c>
      <c r="W365" s="357">
        <f t="shared" ca="1" si="149"/>
        <v>158.26591306366959</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476.12759484962618</v>
      </c>
      <c r="AF365" s="344"/>
      <c r="AG365" s="359">
        <f t="shared" ca="1" si="172"/>
        <v>40.853976915434636</v>
      </c>
      <c r="AH365" s="357">
        <f t="shared" ca="1" si="173"/>
        <v>50.397132765101141</v>
      </c>
    </row>
    <row r="366" spans="1:34" x14ac:dyDescent="0.25">
      <c r="A366" s="402">
        <f t="shared" ca="1" si="151"/>
        <v>0.01</v>
      </c>
      <c r="B366" s="357">
        <f t="shared" ca="1" si="152"/>
        <v>3.6199999999999668</v>
      </c>
      <c r="C366" s="342"/>
      <c r="D366" s="359">
        <f t="shared" ca="1" si="153"/>
        <v>11.641433916499373</v>
      </c>
      <c r="E366" s="360">
        <f t="shared" ca="1" si="154"/>
        <v>39.056899617212522</v>
      </c>
      <c r="F366" s="357">
        <f t="shared" ca="1" si="155"/>
        <v>40.754930883774513</v>
      </c>
      <c r="G366" s="359">
        <f t="shared" ca="1" si="156"/>
        <v>56.816258655443214</v>
      </c>
      <c r="H366" s="360">
        <f t="shared" ca="1" si="157"/>
        <v>238.39781281071419</v>
      </c>
      <c r="I366" s="357">
        <f t="shared" ca="1" si="158"/>
        <v>245.07469147289473</v>
      </c>
      <c r="J366" s="359">
        <f t="shared" ca="1" si="159"/>
        <v>106.59666306424194</v>
      </c>
      <c r="K366" s="360">
        <f t="shared" ca="1" si="160"/>
        <v>478.50962013275245</v>
      </c>
      <c r="L366" s="357">
        <f t="shared" ca="1" si="145"/>
        <v>490.23902857282036</v>
      </c>
      <c r="M366" s="359">
        <f t="shared" ca="1" si="161"/>
        <v>1.336835324969194</v>
      </c>
      <c r="N366" s="357">
        <f t="shared" ca="1" si="162"/>
        <v>76.595022024734689</v>
      </c>
      <c r="O366" s="343"/>
      <c r="P366" s="363">
        <f t="shared" ca="1" si="163"/>
        <v>11</v>
      </c>
      <c r="Q366" s="357">
        <f t="shared" ca="1" si="164"/>
        <v>659.6500000000043</v>
      </c>
      <c r="R366" s="359">
        <f t="shared" ca="1" si="165"/>
        <v>0.33043996588953739</v>
      </c>
      <c r="S366" s="360">
        <f t="shared" ca="1" si="166"/>
        <v>9.9808875262651711</v>
      </c>
      <c r="T366" s="357">
        <f t="shared" ca="1" si="146"/>
        <v>97.912506632661334</v>
      </c>
      <c r="U366" s="364">
        <f t="shared" ca="1" si="147"/>
        <v>0</v>
      </c>
      <c r="V366" s="359">
        <f t="shared" ca="1" si="148"/>
        <v>1.167752251454242</v>
      </c>
      <c r="W366" s="357">
        <f t="shared" ca="1" si="149"/>
        <v>158.75494443152752</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478.50962013275245</v>
      </c>
      <c r="AF366" s="344"/>
      <c r="AG366" s="359">
        <f t="shared" ca="1" si="172"/>
        <v>40.691474359696869</v>
      </c>
      <c r="AH366" s="357">
        <f t="shared" ca="1" si="173"/>
        <v>50.23441909518759</v>
      </c>
    </row>
    <row r="367" spans="1:34" x14ac:dyDescent="0.25">
      <c r="A367" s="402">
        <f t="shared" ca="1" si="151"/>
        <v>0.01</v>
      </c>
      <c r="B367" s="357">
        <f t="shared" ca="1" si="152"/>
        <v>3.6299999999999666</v>
      </c>
      <c r="C367" s="342"/>
      <c r="D367" s="359">
        <f t="shared" ca="1" si="153"/>
        <v>11.60824754690589</v>
      </c>
      <c r="E367" s="360">
        <f t="shared" ca="1" si="154"/>
        <v>38.897551169995538</v>
      </c>
      <c r="F367" s="357">
        <f t="shared" ca="1" si="155"/>
        <v>40.592744402573565</v>
      </c>
      <c r="G367" s="359">
        <f t="shared" ca="1" si="156"/>
        <v>56.93234113091227</v>
      </c>
      <c r="H367" s="360">
        <f t="shared" ca="1" si="157"/>
        <v>238.78678832241414</v>
      </c>
      <c r="I367" s="357">
        <f t="shared" ca="1" si="158"/>
        <v>245.47998236919437</v>
      </c>
      <c r="J367" s="359">
        <f t="shared" ca="1" si="159"/>
        <v>107.16540606317372</v>
      </c>
      <c r="K367" s="360">
        <f t="shared" ca="1" si="160"/>
        <v>480.89554313841808</v>
      </c>
      <c r="L367" s="357">
        <f t="shared" ca="1" si="145"/>
        <v>492.69153399168431</v>
      </c>
      <c r="M367" s="359">
        <f t="shared" ca="1" si="161"/>
        <v>1.3367426788798664</v>
      </c>
      <c r="N367" s="357">
        <f t="shared" ca="1" si="162"/>
        <v>76.58971379482783</v>
      </c>
      <c r="O367" s="343"/>
      <c r="P367" s="363">
        <f t="shared" ca="1" si="163"/>
        <v>11</v>
      </c>
      <c r="Q367" s="357">
        <f t="shared" ca="1" si="164"/>
        <v>658.35000000000434</v>
      </c>
      <c r="R367" s="359">
        <f t="shared" ca="1" si="165"/>
        <v>0.32978875395039337</v>
      </c>
      <c r="S367" s="360">
        <f t="shared" ca="1" si="166"/>
        <v>9.977589638725668</v>
      </c>
      <c r="T367" s="357">
        <f t="shared" ca="1" si="146"/>
        <v>97.88015435589881</v>
      </c>
      <c r="U367" s="364">
        <f t="shared" ca="1" si="147"/>
        <v>0</v>
      </c>
      <c r="V367" s="359">
        <f t="shared" ca="1" si="148"/>
        <v>1.1674735076546083</v>
      </c>
      <c r="W367" s="357">
        <f t="shared" ca="1" si="149"/>
        <v>159.24243837549747</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480.89554313841808</v>
      </c>
      <c r="AF367" s="344"/>
      <c r="AG367" s="359">
        <f t="shared" ca="1" si="172"/>
        <v>40.528984278573461</v>
      </c>
      <c r="AH367" s="357">
        <f t="shared" ca="1" si="173"/>
        <v>50.071718086041152</v>
      </c>
    </row>
    <row r="368" spans="1:34" x14ac:dyDescent="0.25">
      <c r="A368" s="402">
        <f t="shared" ca="1" si="151"/>
        <v>0.01</v>
      </c>
      <c r="B368" s="357">
        <f t="shared" ca="1" si="152"/>
        <v>3.6399999999999664</v>
      </c>
      <c r="C368" s="342"/>
      <c r="D368" s="359">
        <f t="shared" ca="1" si="153"/>
        <v>11.575029268183934</v>
      </c>
      <c r="E368" s="360">
        <f t="shared" ca="1" si="154"/>
        <v>38.738224239225055</v>
      </c>
      <c r="F368" s="357">
        <f t="shared" ca="1" si="155"/>
        <v>40.430574071707149</v>
      </c>
      <c r="G368" s="359">
        <f t="shared" ca="1" si="156"/>
        <v>57.048091423594109</v>
      </c>
      <c r="H368" s="360">
        <f t="shared" ca="1" si="157"/>
        <v>239.17417056480639</v>
      </c>
      <c r="I368" s="357">
        <f t="shared" ca="1" si="158"/>
        <v>245.88364850155824</v>
      </c>
      <c r="J368" s="359">
        <f t="shared" ca="1" si="159"/>
        <v>107.73530822594626</v>
      </c>
      <c r="K368" s="360">
        <f t="shared" ca="1" si="160"/>
        <v>483.28534793285417</v>
      </c>
      <c r="L368" s="357">
        <f t="shared" ca="1" si="145"/>
        <v>495.14808306719669</v>
      </c>
      <c r="M368" s="359">
        <f t="shared" ca="1" si="161"/>
        <v>1.3366501489317169</v>
      </c>
      <c r="N368" s="357">
        <f t="shared" ca="1" si="162"/>
        <v>76.584412219320299</v>
      </c>
      <c r="O368" s="343"/>
      <c r="P368" s="363">
        <f t="shared" ca="1" si="163"/>
        <v>11</v>
      </c>
      <c r="Q368" s="357">
        <f t="shared" ca="1" si="164"/>
        <v>657.05000000000439</v>
      </c>
      <c r="R368" s="359">
        <f t="shared" ca="1" si="165"/>
        <v>0.32913754201124928</v>
      </c>
      <c r="S368" s="360">
        <f t="shared" ca="1" si="166"/>
        <v>9.9742982633055561</v>
      </c>
      <c r="T368" s="357">
        <f t="shared" ca="1" si="146"/>
        <v>97.847865963027516</v>
      </c>
      <c r="U368" s="364">
        <f t="shared" ca="1" si="147"/>
        <v>0</v>
      </c>
      <c r="V368" s="359">
        <f t="shared" ca="1" si="148"/>
        <v>1.1671943754469549</v>
      </c>
      <c r="W368" s="357">
        <f t="shared" ca="1" si="149"/>
        <v>159.72838528639898</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483.28534793285417</v>
      </c>
      <c r="AF368" s="344"/>
      <c r="AG368" s="359">
        <f t="shared" ca="1" si="172"/>
        <v>40.366507976163611</v>
      </c>
      <c r="AH368" s="357">
        <f t="shared" ca="1" si="173"/>
        <v>49.909031039896917</v>
      </c>
    </row>
    <row r="369" spans="1:34" x14ac:dyDescent="0.25">
      <c r="A369" s="402">
        <f t="shared" ca="1" si="151"/>
        <v>0.01</v>
      </c>
      <c r="B369" s="357">
        <f t="shared" ca="1" si="152"/>
        <v>3.6499999999999662</v>
      </c>
      <c r="C369" s="342"/>
      <c r="D369" s="359">
        <f t="shared" ca="1" si="153"/>
        <v>11.541779487792605</v>
      </c>
      <c r="E369" s="360">
        <f t="shared" ca="1" si="154"/>
        <v>38.578920066359998</v>
      </c>
      <c r="F369" s="357">
        <f t="shared" ca="1" si="155"/>
        <v>40.268421216027633</v>
      </c>
      <c r="G369" s="359">
        <f t="shared" ca="1" si="156"/>
        <v>57.163509218472036</v>
      </c>
      <c r="H369" s="360">
        <f t="shared" ca="1" si="157"/>
        <v>239.55995976546998</v>
      </c>
      <c r="I369" s="357">
        <f t="shared" ca="1" si="158"/>
        <v>246.28569002076415</v>
      </c>
      <c r="J369" s="359">
        <f t="shared" ca="1" si="159"/>
        <v>108.30636622915658</v>
      </c>
      <c r="K369" s="360">
        <f t="shared" ca="1" si="160"/>
        <v>485.67901858450557</v>
      </c>
      <c r="L369" s="357">
        <f t="shared" ca="1" si="145"/>
        <v>497.60865954982404</v>
      </c>
      <c r="M369" s="359">
        <f t="shared" ca="1" si="161"/>
        <v>1.3365577341802184</v>
      </c>
      <c r="N369" s="357">
        <f t="shared" ca="1" si="162"/>
        <v>76.579117244094689</v>
      </c>
      <c r="O369" s="343"/>
      <c r="P369" s="363">
        <f t="shared" ca="1" si="163"/>
        <v>11</v>
      </c>
      <c r="Q369" s="357">
        <f t="shared" ca="1" si="164"/>
        <v>655.75000000000443</v>
      </c>
      <c r="R369" s="359">
        <f t="shared" ca="1" si="165"/>
        <v>0.3284863300721052</v>
      </c>
      <c r="S369" s="360">
        <f t="shared" ca="1" si="166"/>
        <v>9.9710134000048356</v>
      </c>
      <c r="T369" s="357">
        <f t="shared" ca="1" si="146"/>
        <v>97.815641454047437</v>
      </c>
      <c r="U369" s="364">
        <f t="shared" ca="1" si="147"/>
        <v>0</v>
      </c>
      <c r="V369" s="359">
        <f t="shared" ca="1" si="148"/>
        <v>1.1669148569860655</v>
      </c>
      <c r="W369" s="357">
        <f t="shared" ca="1" si="149"/>
        <v>160.21277563088998</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485.67901858450557</v>
      </c>
      <c r="AF369" s="344"/>
      <c r="AG369" s="359">
        <f t="shared" ca="1" si="172"/>
        <v>40.204046750613941</v>
      </c>
      <c r="AH369" s="357">
        <f t="shared" ca="1" si="173"/>
        <v>49.746359253048936</v>
      </c>
    </row>
    <row r="370" spans="1:34" x14ac:dyDescent="0.25">
      <c r="A370" s="402">
        <f t="shared" ca="1" si="151"/>
        <v>0.01</v>
      </c>
      <c r="B370" s="357">
        <f t="shared" ca="1" si="152"/>
        <v>3.6599999999999659</v>
      </c>
      <c r="C370" s="342"/>
      <c r="D370" s="359">
        <f t="shared" ca="1" si="153"/>
        <v>11.520998202633757</v>
      </c>
      <c r="E370" s="360">
        <f t="shared" ca="1" si="154"/>
        <v>38.472022983101382</v>
      </c>
      <c r="F370" s="357">
        <f t="shared" ca="1" si="155"/>
        <v>40.160054183197651</v>
      </c>
      <c r="G370" s="359">
        <f t="shared" ca="1" si="156"/>
        <v>57.278719200498372</v>
      </c>
      <c r="H370" s="360">
        <f t="shared" ca="1" si="157"/>
        <v>239.94467999530099</v>
      </c>
      <c r="I370" s="357">
        <f t="shared" ca="1" si="158"/>
        <v>246.68664562820771</v>
      </c>
      <c r="J370" s="359">
        <f t="shared" ca="1" si="159"/>
        <v>108.87857737125144</v>
      </c>
      <c r="K370" s="360">
        <f t="shared" ca="1" si="160"/>
        <v>488.07654178330944</v>
      </c>
      <c r="L370" s="357">
        <f t="shared" ca="1" si="145"/>
        <v>500.07324988399665</v>
      </c>
      <c r="M370" s="359">
        <f t="shared" ca="1" si="161"/>
        <v>1.3364654338889319</v>
      </c>
      <c r="N370" s="357">
        <f t="shared" ca="1" si="162"/>
        <v>76.573828826956145</v>
      </c>
      <c r="O370" s="343"/>
      <c r="P370" s="363">
        <f t="shared" ca="1" si="163"/>
        <v>12</v>
      </c>
      <c r="Q370" s="357">
        <f t="shared" ca="1" si="164"/>
        <v>654.98666666666747</v>
      </c>
      <c r="R370" s="359">
        <f t="shared" ca="1" si="165"/>
        <v>0.32810395177963164</v>
      </c>
      <c r="S370" s="360">
        <f t="shared" ca="1" si="166"/>
        <v>9.9677323604870391</v>
      </c>
      <c r="T370" s="357">
        <f t="shared" ca="1" si="146"/>
        <v>97.783454456377854</v>
      </c>
      <c r="U370" s="364">
        <f t="shared" ca="1" si="147"/>
        <v>0</v>
      </c>
      <c r="V370" s="359">
        <f t="shared" ca="1" si="148"/>
        <v>1.1666349541192693</v>
      </c>
      <c r="W370" s="357">
        <f t="shared" ca="1" si="149"/>
        <v>160.69630153565134</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488.07654178330944</v>
      </c>
      <c r="AF370" s="344"/>
      <c r="AG370" s="359">
        <f t="shared" ca="1" si="172"/>
        <v>40.095455663939347</v>
      </c>
      <c r="AH370" s="357">
        <f t="shared" ca="1" si="173"/>
        <v>49.637557785670928</v>
      </c>
    </row>
    <row r="371" spans="1:34" x14ac:dyDescent="0.25">
      <c r="A371" s="402">
        <f t="shared" ca="1" si="151"/>
        <v>0.01</v>
      </c>
      <c r="B371" s="357">
        <f t="shared" ca="1" si="152"/>
        <v>3.6699999999999657</v>
      </c>
      <c r="C371" s="342"/>
      <c r="D371" s="359">
        <f t="shared" ca="1" si="153"/>
        <v>11.512699376422978</v>
      </c>
      <c r="E371" s="360">
        <f t="shared" ca="1" si="154"/>
        <v>38.417526842707019</v>
      </c>
      <c r="F371" s="357">
        <f t="shared" ca="1" si="155"/>
        <v>40.105468650073199</v>
      </c>
      <c r="G371" s="359">
        <f t="shared" ca="1" si="156"/>
        <v>57.393846194262601</v>
      </c>
      <c r="H371" s="360">
        <f t="shared" ca="1" si="157"/>
        <v>240.32885526372806</v>
      </c>
      <c r="I371" s="357">
        <f t="shared" ca="1" si="158"/>
        <v>247.08705399786655</v>
      </c>
      <c r="J371" s="359">
        <f t="shared" ca="1" si="159"/>
        <v>109.45194019822524</v>
      </c>
      <c r="K371" s="360">
        <f t="shared" ca="1" si="160"/>
        <v>490.47790945960458</v>
      </c>
      <c r="L371" s="357">
        <f t="shared" ca="1" si="145"/>
        <v>502.54184590043837</v>
      </c>
      <c r="M371" s="359">
        <f t="shared" ca="1" si="161"/>
        <v>1.3363732475272005</v>
      </c>
      <c r="N371" s="357">
        <f t="shared" ca="1" si="162"/>
        <v>76.568546937500273</v>
      </c>
      <c r="O371" s="343"/>
      <c r="P371" s="363">
        <f t="shared" ca="1" si="163"/>
        <v>12</v>
      </c>
      <c r="Q371" s="357">
        <f t="shared" ca="1" si="164"/>
        <v>654.76000000000079</v>
      </c>
      <c r="R371" s="359">
        <f t="shared" ca="1" si="165"/>
        <v>0.32799040713383215</v>
      </c>
      <c r="S371" s="360">
        <f t="shared" ca="1" si="166"/>
        <v>9.9644524564157013</v>
      </c>
      <c r="T371" s="357">
        <f t="shared" ca="1" si="146"/>
        <v>97.751278597438031</v>
      </c>
      <c r="U371" s="364">
        <f t="shared" ca="1" si="147"/>
        <v>0</v>
      </c>
      <c r="V371" s="359">
        <f t="shared" ca="1" si="148"/>
        <v>1.1663546680811543</v>
      </c>
      <c r="W371" s="357">
        <f t="shared" ca="1" si="149"/>
        <v>161.17965893645078</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490.47790945960458</v>
      </c>
      <c r="AF371" s="344"/>
      <c r="AG371" s="359">
        <f t="shared" ca="1" si="172"/>
        <v>40.040731974575309</v>
      </c>
      <c r="AH371" s="357">
        <f t="shared" ca="1" si="173"/>
        <v>49.582623894827471</v>
      </c>
    </row>
    <row r="372" spans="1:34" x14ac:dyDescent="0.25">
      <c r="A372" s="402">
        <f t="shared" ca="1" si="151"/>
        <v>0.01</v>
      </c>
      <c r="B372" s="357">
        <f t="shared" ca="1" si="152"/>
        <v>3.6799999999999655</v>
      </c>
      <c r="C372" s="342"/>
      <c r="D372" s="359">
        <f t="shared" ca="1" si="153"/>
        <v>11.504379315027732</v>
      </c>
      <c r="E372" s="360">
        <f t="shared" ca="1" si="154"/>
        <v>38.363009732473962</v>
      </c>
      <c r="F372" s="357">
        <f t="shared" ca="1" si="155"/>
        <v>40.050858407254267</v>
      </c>
      <c r="G372" s="359">
        <f t="shared" ca="1" si="156"/>
        <v>57.508889987412878</v>
      </c>
      <c r="H372" s="360">
        <f t="shared" ca="1" si="157"/>
        <v>240.71248536105279</v>
      </c>
      <c r="I372" s="357">
        <f t="shared" ca="1" si="158"/>
        <v>247.4869148789071</v>
      </c>
      <c r="J372" s="359">
        <f t="shared" ca="1" si="159"/>
        <v>110.02645387913363</v>
      </c>
      <c r="K372" s="360">
        <f t="shared" ca="1" si="160"/>
        <v>492.88311616272847</v>
      </c>
      <c r="L372" s="357">
        <f t="shared" ca="1" si="145"/>
        <v>505.01444212170685</v>
      </c>
      <c r="M372" s="359">
        <f t="shared" ca="1" si="161"/>
        <v>1.3362811745673988</v>
      </c>
      <c r="N372" s="357">
        <f t="shared" ca="1" si="162"/>
        <v>76.563271545496349</v>
      </c>
      <c r="O372" s="343"/>
      <c r="P372" s="363">
        <f t="shared" ca="1" si="163"/>
        <v>12</v>
      </c>
      <c r="Q372" s="357">
        <f t="shared" ca="1" si="164"/>
        <v>654.5333333333341</v>
      </c>
      <c r="R372" s="359">
        <f t="shared" ca="1" si="165"/>
        <v>0.32787686248803266</v>
      </c>
      <c r="S372" s="360">
        <f t="shared" ca="1" si="166"/>
        <v>9.9611736877908204</v>
      </c>
      <c r="T372" s="357">
        <f t="shared" ca="1" si="146"/>
        <v>97.719113877227954</v>
      </c>
      <c r="U372" s="364">
        <f t="shared" ca="1" si="147"/>
        <v>0</v>
      </c>
      <c r="V372" s="359">
        <f t="shared" ca="1" si="148"/>
        <v>1.1660739998001415</v>
      </c>
      <c r="W372" s="357">
        <f t="shared" ca="1" si="149"/>
        <v>161.66284355256613</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492.88311616272847</v>
      </c>
      <c r="AF372" s="344"/>
      <c r="AG372" s="359">
        <f t="shared" ca="1" si="172"/>
        <v>39.985983201407194</v>
      </c>
      <c r="AH372" s="357">
        <f t="shared" ca="1" si="173"/>
        <v>49.527665098498936</v>
      </c>
    </row>
    <row r="373" spans="1:34" x14ac:dyDescent="0.25">
      <c r="A373" s="402">
        <f t="shared" ca="1" si="151"/>
        <v>0.01</v>
      </c>
      <c r="B373" s="357">
        <f t="shared" ca="1" si="152"/>
        <v>3.6899999999999653</v>
      </c>
      <c r="C373" s="342"/>
      <c r="D373" s="359">
        <f t="shared" ca="1" si="153"/>
        <v>11.496038154602266</v>
      </c>
      <c r="E373" s="360">
        <f t="shared" ca="1" si="154"/>
        <v>38.308472058936893</v>
      </c>
      <c r="F373" s="357">
        <f t="shared" ca="1" si="155"/>
        <v>39.996223881041814</v>
      </c>
      <c r="G373" s="359">
        <f t="shared" ca="1" si="156"/>
        <v>57.623850368958898</v>
      </c>
      <c r="H373" s="360">
        <f t="shared" ca="1" si="157"/>
        <v>241.09557008164217</v>
      </c>
      <c r="I373" s="357">
        <f t="shared" ca="1" si="158"/>
        <v>247.88622802474563</v>
      </c>
      <c r="J373" s="359">
        <f t="shared" ca="1" si="159"/>
        <v>110.60211758091549</v>
      </c>
      <c r="K373" s="360">
        <f t="shared" ca="1" si="160"/>
        <v>495.29215643994195</v>
      </c>
      <c r="L373" s="357">
        <f t="shared" ca="1" si="145"/>
        <v>507.49103306788641</v>
      </c>
      <c r="M373" s="359">
        <f t="shared" ca="1" si="161"/>
        <v>1.3361892144849086</v>
      </c>
      <c r="N373" s="357">
        <f t="shared" ca="1" si="162"/>
        <v>76.558002620885986</v>
      </c>
      <c r="O373" s="343"/>
      <c r="P373" s="363">
        <f t="shared" ca="1" si="163"/>
        <v>12</v>
      </c>
      <c r="Q373" s="357">
        <f t="shared" ca="1" si="164"/>
        <v>654.30666666666752</v>
      </c>
      <c r="R373" s="359">
        <f t="shared" ca="1" si="165"/>
        <v>0.32776331784223323</v>
      </c>
      <c r="S373" s="360">
        <f t="shared" ca="1" si="166"/>
        <v>9.957896054612398</v>
      </c>
      <c r="T373" s="357">
        <f t="shared" ca="1" si="146"/>
        <v>97.686960295747625</v>
      </c>
      <c r="U373" s="364">
        <f t="shared" ca="1" si="147"/>
        <v>0</v>
      </c>
      <c r="V373" s="359">
        <f t="shared" ca="1" si="148"/>
        <v>1.1657929502045883</v>
      </c>
      <c r="W373" s="357">
        <f t="shared" ca="1" si="149"/>
        <v>162.14585111651138</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495.29215643994195</v>
      </c>
      <c r="AF373" s="344"/>
      <c r="AG373" s="359">
        <f t="shared" ca="1" si="172"/>
        <v>39.931209769416114</v>
      </c>
      <c r="AH373" s="357">
        <f t="shared" ca="1" si="173"/>
        <v>49.472681820766113</v>
      </c>
    </row>
    <row r="374" spans="1:34" x14ac:dyDescent="0.25">
      <c r="A374" s="402">
        <f t="shared" ca="1" si="151"/>
        <v>0.01</v>
      </c>
      <c r="B374" s="357">
        <f t="shared" ca="1" si="152"/>
        <v>3.6999999999999651</v>
      </c>
      <c r="C374" s="342"/>
      <c r="D374" s="359">
        <f t="shared" ca="1" si="153"/>
        <v>11.487676031032768</v>
      </c>
      <c r="E374" s="360">
        <f t="shared" ca="1" si="154"/>
        <v>38.253914227901362</v>
      </c>
      <c r="F374" s="357">
        <f t="shared" ca="1" si="155"/>
        <v>39.941565496980701</v>
      </c>
      <c r="G374" s="359">
        <f t="shared" ca="1" si="156"/>
        <v>57.738727129269229</v>
      </c>
      <c r="H374" s="360">
        <f t="shared" ca="1" si="157"/>
        <v>241.47810922392117</v>
      </c>
      <c r="I374" s="357">
        <f t="shared" ca="1" si="158"/>
        <v>248.28499319304058</v>
      </c>
      <c r="J374" s="359">
        <f t="shared" ca="1" si="159"/>
        <v>111.17893046840663</v>
      </c>
      <c r="K374" s="360">
        <f t="shared" ca="1" si="160"/>
        <v>497.70502483646976</v>
      </c>
      <c r="L374" s="357">
        <f t="shared" ca="1" si="145"/>
        <v>509.97161325662995</v>
      </c>
      <c r="M374" s="359">
        <f t="shared" ca="1" si="161"/>
        <v>1.3360973667580958</v>
      </c>
      <c r="N374" s="357">
        <f t="shared" ca="1" si="162"/>
        <v>76.552740133781739</v>
      </c>
      <c r="O374" s="343"/>
      <c r="P374" s="363">
        <f t="shared" ca="1" si="163"/>
        <v>12</v>
      </c>
      <c r="Q374" s="357">
        <f t="shared" ca="1" si="164"/>
        <v>654.08000000000084</v>
      </c>
      <c r="R374" s="359">
        <f t="shared" ca="1" si="165"/>
        <v>0.32764977319643374</v>
      </c>
      <c r="S374" s="360">
        <f t="shared" ca="1" si="166"/>
        <v>9.9546195568804343</v>
      </c>
      <c r="T374" s="357">
        <f t="shared" ca="1" si="146"/>
        <v>97.65481785299707</v>
      </c>
      <c r="U374" s="364">
        <f t="shared" ca="1" si="147"/>
        <v>0</v>
      </c>
      <c r="V374" s="359">
        <f t="shared" ca="1" si="148"/>
        <v>1.1655115202227828</v>
      </c>
      <c r="W374" s="357">
        <f t="shared" ca="1" si="149"/>
        <v>162.62867737408112</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497.70502483646976</v>
      </c>
      <c r="AF374" s="344"/>
      <c r="AG374" s="359">
        <f t="shared" ca="1" si="172"/>
        <v>39.87641210282429</v>
      </c>
      <c r="AH374" s="357">
        <f t="shared" ca="1" si="173"/>
        <v>49.417674484955519</v>
      </c>
    </row>
    <row r="375" spans="1:34" x14ac:dyDescent="0.25">
      <c r="A375" s="402">
        <f t="shared" ca="1" si="151"/>
        <v>0.01</v>
      </c>
      <c r="B375" s="357">
        <f t="shared" ca="1" si="152"/>
        <v>3.7099999999999649</v>
      </c>
      <c r="C375" s="342"/>
      <c r="D375" s="359">
        <f t="shared" ca="1" si="153"/>
        <v>11.479293079936941</v>
      </c>
      <c r="E375" s="360">
        <f t="shared" ca="1" si="154"/>
        <v>38.1993366444377</v>
      </c>
      <c r="F375" s="357">
        <f t="shared" ca="1" si="155"/>
        <v>39.886883679853568</v>
      </c>
      <c r="G375" s="359">
        <f t="shared" ca="1" si="156"/>
        <v>57.853520060068597</v>
      </c>
      <c r="H375" s="360">
        <f t="shared" ca="1" si="157"/>
        <v>241.86010259036556</v>
      </c>
      <c r="I375" s="357">
        <f t="shared" ca="1" si="158"/>
        <v>248.68321014568497</v>
      </c>
      <c r="J375" s="359">
        <f t="shared" ca="1" si="159"/>
        <v>111.75689170435332</v>
      </c>
      <c r="K375" s="360">
        <f t="shared" ca="1" si="160"/>
        <v>500.12171589554117</v>
      </c>
      <c r="L375" s="357">
        <f t="shared" ca="1" si="145"/>
        <v>512.45617720320138</v>
      </c>
      <c r="M375" s="359">
        <f t="shared" ca="1" si="161"/>
        <v>1.3360056308682886</v>
      </c>
      <c r="N375" s="357">
        <f t="shared" ca="1" si="162"/>
        <v>76.547484054465912</v>
      </c>
      <c r="O375" s="343"/>
      <c r="P375" s="363">
        <f t="shared" ca="1" si="163"/>
        <v>12</v>
      </c>
      <c r="Q375" s="357">
        <f t="shared" ca="1" si="164"/>
        <v>653.85333333333415</v>
      </c>
      <c r="R375" s="359">
        <f t="shared" ca="1" si="165"/>
        <v>0.32753622855063425</v>
      </c>
      <c r="S375" s="360">
        <f t="shared" ca="1" si="166"/>
        <v>9.9513441945949275</v>
      </c>
      <c r="T375" s="357">
        <f t="shared" ca="1" si="146"/>
        <v>97.622686548976247</v>
      </c>
      <c r="U375" s="364">
        <f t="shared" ca="1" si="147"/>
        <v>0</v>
      </c>
      <c r="V375" s="359">
        <f t="shared" ca="1" si="148"/>
        <v>1.165229710782937</v>
      </c>
      <c r="W375" s="357">
        <f t="shared" ca="1" si="149"/>
        <v>163.11131808439478</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500.12171589554117</v>
      </c>
      <c r="AF375" s="344"/>
      <c r="AG375" s="359">
        <f t="shared" ca="1" si="172"/>
        <v>39.821590625088909</v>
      </c>
      <c r="AH375" s="357">
        <f t="shared" ca="1" si="173"/>
        <v>49.36264351363323</v>
      </c>
    </row>
    <row r="376" spans="1:34" x14ac:dyDescent="0.25">
      <c r="A376" s="402">
        <f t="shared" ca="1" si="151"/>
        <v>0.01</v>
      </c>
      <c r="B376" s="357">
        <f t="shared" ca="1" si="152"/>
        <v>3.7199999999999647</v>
      </c>
      <c r="C376" s="342"/>
      <c r="D376" s="359">
        <f t="shared" ca="1" si="153"/>
        <v>11.470889436663503</v>
      </c>
      <c r="E376" s="360">
        <f t="shared" ca="1" si="154"/>
        <v>38.144739712874873</v>
      </c>
      <c r="F376" s="357">
        <f t="shared" ca="1" si="155"/>
        <v>39.832178853674719</v>
      </c>
      <c r="G376" s="359">
        <f t="shared" ca="1" si="156"/>
        <v>57.968228954435233</v>
      </c>
      <c r="H376" s="360">
        <f t="shared" ca="1" si="157"/>
        <v>242.2415499874943</v>
      </c>
      <c r="I376" s="357">
        <f t="shared" ca="1" si="158"/>
        <v>249.08087864879857</v>
      </c>
      <c r="J376" s="359">
        <f t="shared" ca="1" si="159"/>
        <v>112.33600044942584</v>
      </c>
      <c r="K376" s="360">
        <f t="shared" ca="1" si="160"/>
        <v>502.54222415843049</v>
      </c>
      <c r="L376" s="357">
        <f t="shared" ca="1" si="145"/>
        <v>514.94471942051757</v>
      </c>
      <c r="M376" s="359">
        <f t="shared" ca="1" si="161"/>
        <v>1.3359140062997537</v>
      </c>
      <c r="N376" s="357">
        <f t="shared" ca="1" si="162"/>
        <v>76.542234353389148</v>
      </c>
      <c r="O376" s="343"/>
      <c r="P376" s="363">
        <f t="shared" ca="1" si="163"/>
        <v>12</v>
      </c>
      <c r="Q376" s="357">
        <f t="shared" ca="1" si="164"/>
        <v>653.62666666666746</v>
      </c>
      <c r="R376" s="359">
        <f t="shared" ca="1" si="165"/>
        <v>0.32742268390483475</v>
      </c>
      <c r="S376" s="360">
        <f t="shared" ca="1" si="166"/>
        <v>9.9480699677558793</v>
      </c>
      <c r="T376" s="357">
        <f t="shared" ca="1" si="146"/>
        <v>97.590566383685186</v>
      </c>
      <c r="U376" s="364">
        <f t="shared" ca="1" si="147"/>
        <v>0</v>
      </c>
      <c r="V376" s="359">
        <f t="shared" ca="1" si="148"/>
        <v>1.1649475228131767</v>
      </c>
      <c r="W376" s="357">
        <f t="shared" ca="1" si="149"/>
        <v>163.5937690199392</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502.54222415843049</v>
      </c>
      <c r="AF376" s="344"/>
      <c r="AG376" s="359">
        <f t="shared" ca="1" si="172"/>
        <v>39.766745758895958</v>
      </c>
      <c r="AH376" s="357">
        <f t="shared" ca="1" si="173"/>
        <v>49.307589328598667</v>
      </c>
    </row>
    <row r="377" spans="1:34" x14ac:dyDescent="0.25">
      <c r="A377" s="402">
        <f t="shared" ca="1" si="151"/>
        <v>0.01</v>
      </c>
      <c r="B377" s="357">
        <f t="shared" ca="1" si="152"/>
        <v>3.7299999999999645</v>
      </c>
      <c r="C377" s="342"/>
      <c r="D377" s="359">
        <f t="shared" ca="1" si="153"/>
        <v>11.462465236291836</v>
      </c>
      <c r="E377" s="360">
        <f t="shared" ca="1" si="154"/>
        <v>38.090123836794497</v>
      </c>
      <c r="F377" s="357">
        <f t="shared" ca="1" si="155"/>
        <v>39.777451441684136</v>
      </c>
      <c r="G377" s="359">
        <f t="shared" ca="1" si="156"/>
        <v>58.082853606798153</v>
      </c>
      <c r="H377" s="360">
        <f t="shared" ca="1" si="157"/>
        <v>242.62245122586225</v>
      </c>
      <c r="I377" s="357">
        <f t="shared" ca="1" si="158"/>
        <v>249.47799847272034</v>
      </c>
      <c r="J377" s="359">
        <f t="shared" ca="1" si="159"/>
        <v>112.91625586223201</v>
      </c>
      <c r="K377" s="360">
        <f t="shared" ca="1" si="160"/>
        <v>504.96654416449729</v>
      </c>
      <c r="L377" s="357">
        <f t="shared" ca="1" si="145"/>
        <v>517.43723441919042</v>
      </c>
      <c r="M377" s="359">
        <f t="shared" ca="1" si="161"/>
        <v>1.335822492539674</v>
      </c>
      <c r="N377" s="357">
        <f t="shared" ca="1" si="162"/>
        <v>76.536991001169213</v>
      </c>
      <c r="O377" s="343"/>
      <c r="P377" s="363">
        <f t="shared" ca="1" si="163"/>
        <v>12</v>
      </c>
      <c r="Q377" s="357">
        <f t="shared" ca="1" si="164"/>
        <v>653.40000000000089</v>
      </c>
      <c r="R377" s="359">
        <f t="shared" ca="1" si="165"/>
        <v>0.32730913925903532</v>
      </c>
      <c r="S377" s="360">
        <f t="shared" ca="1" si="166"/>
        <v>9.9447968763632897</v>
      </c>
      <c r="T377" s="357">
        <f t="shared" ca="1" si="146"/>
        <v>97.558457357123871</v>
      </c>
      <c r="U377" s="364">
        <f t="shared" ca="1" si="147"/>
        <v>0</v>
      </c>
      <c r="V377" s="359">
        <f t="shared" ca="1" si="148"/>
        <v>1.1646649572415371</v>
      </c>
      <c r="W377" s="357">
        <f t="shared" ca="1" si="149"/>
        <v>164.07602596661241</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504.96654416449729</v>
      </c>
      <c r="AF377" s="344"/>
      <c r="AG377" s="359">
        <f t="shared" ca="1" si="172"/>
        <v>39.711877926154216</v>
      </c>
      <c r="AH377" s="357">
        <f t="shared" ca="1" si="173"/>
        <v>49.252512350878582</v>
      </c>
    </row>
    <row r="378" spans="1:34" x14ac:dyDescent="0.25">
      <c r="A378" s="402">
        <f t="shared" ca="1" si="151"/>
        <v>0.01</v>
      </c>
      <c r="B378" s="357">
        <f t="shared" ca="1" si="152"/>
        <v>3.7399999999999642</v>
      </c>
      <c r="C378" s="342"/>
      <c r="D378" s="359">
        <f t="shared" ca="1" si="153"/>
        <v>11.454020613631471</v>
      </c>
      <c r="E378" s="360">
        <f t="shared" ca="1" si="154"/>
        <v>38.035489419024714</v>
      </c>
      <c r="F378" s="357">
        <f t="shared" ca="1" si="155"/>
        <v>39.722701866341311</v>
      </c>
      <c r="G378" s="359">
        <f t="shared" ca="1" si="156"/>
        <v>58.197393812934465</v>
      </c>
      <c r="H378" s="360">
        <f t="shared" ca="1" si="157"/>
        <v>243.0028061200525</v>
      </c>
      <c r="I378" s="357">
        <f t="shared" ca="1" si="158"/>
        <v>249.87456939200035</v>
      </c>
      <c r="J378" s="359">
        <f t="shared" ca="1" si="159"/>
        <v>113.49765709933067</v>
      </c>
      <c r="K378" s="360">
        <f t="shared" ca="1" si="160"/>
        <v>507.39467045122689</v>
      </c>
      <c r="L378" s="357">
        <f t="shared" ca="1" si="145"/>
        <v>519.93371670756881</v>
      </c>
      <c r="M378" s="359">
        <f t="shared" ca="1" si="161"/>
        <v>1.3357310890781269</v>
      </c>
      <c r="N378" s="357">
        <f t="shared" ca="1" si="162"/>
        <v>76.531753968589683</v>
      </c>
      <c r="O378" s="343"/>
      <c r="P378" s="363">
        <f t="shared" ca="1" si="163"/>
        <v>12</v>
      </c>
      <c r="Q378" s="357">
        <f t="shared" ca="1" si="164"/>
        <v>653.1733333333342</v>
      </c>
      <c r="R378" s="359">
        <f t="shared" ca="1" si="165"/>
        <v>0.32719559461323577</v>
      </c>
      <c r="S378" s="360">
        <f t="shared" ca="1" si="166"/>
        <v>9.941524920417157</v>
      </c>
      <c r="T378" s="357">
        <f t="shared" ca="1" si="146"/>
        <v>97.526359469292316</v>
      </c>
      <c r="U378" s="364">
        <f t="shared" ca="1" si="147"/>
        <v>0</v>
      </c>
      <c r="V378" s="359">
        <f t="shared" ca="1" si="148"/>
        <v>1.1643820149959521</v>
      </c>
      <c r="W378" s="357">
        <f t="shared" ca="1" si="149"/>
        <v>164.55808472376475</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507.39467045122689</v>
      </c>
      <c r="AF378" s="344"/>
      <c r="AG378" s="359">
        <f t="shared" ca="1" si="172"/>
        <v>39.656987547989161</v>
      </c>
      <c r="AH378" s="357">
        <f t="shared" ca="1" si="173"/>
        <v>49.197413000720893</v>
      </c>
    </row>
    <row r="379" spans="1:34" x14ac:dyDescent="0.25">
      <c r="A379" s="402">
        <f t="shared" ca="1" si="151"/>
        <v>0.01</v>
      </c>
      <c r="B379" s="357">
        <f t="shared" ca="1" si="152"/>
        <v>3.749999999999964</v>
      </c>
      <c r="C379" s="342"/>
      <c r="D379" s="359">
        <f t="shared" ca="1" si="153"/>
        <v>11.445555703221697</v>
      </c>
      <c r="E379" s="360">
        <f t="shared" ca="1" si="154"/>
        <v>37.980836861634401</v>
      </c>
      <c r="F379" s="357">
        <f t="shared" ca="1" si="155"/>
        <v>39.667930549319522</v>
      </c>
      <c r="G379" s="359">
        <f t="shared" ca="1" si="156"/>
        <v>58.31184936996668</v>
      </c>
      <c r="H379" s="360">
        <f t="shared" ca="1" si="157"/>
        <v>243.38261448866885</v>
      </c>
      <c r="I379" s="357">
        <f t="shared" ca="1" si="158"/>
        <v>250.27059118539214</v>
      </c>
      <c r="J379" s="359">
        <f t="shared" ca="1" si="159"/>
        <v>114.08020331524517</v>
      </c>
      <c r="K379" s="360">
        <f t="shared" ca="1" si="160"/>
        <v>509.82659755427051</v>
      </c>
      <c r="L379" s="357">
        <f t="shared" ca="1" si="145"/>
        <v>522.4341607917803</v>
      </c>
      <c r="M379" s="359">
        <f t="shared" ca="1" si="161"/>
        <v>1.3356397954080619</v>
      </c>
      <c r="N379" s="357">
        <f t="shared" ca="1" si="162"/>
        <v>76.526523226598698</v>
      </c>
      <c r="O379" s="343"/>
      <c r="P379" s="363">
        <f t="shared" ca="1" si="163"/>
        <v>12</v>
      </c>
      <c r="Q379" s="357">
        <f t="shared" ca="1" si="164"/>
        <v>652.94666666666751</v>
      </c>
      <c r="R379" s="359">
        <f t="shared" ca="1" si="165"/>
        <v>0.32708204996743628</v>
      </c>
      <c r="S379" s="360">
        <f t="shared" ca="1" si="166"/>
        <v>9.9382540999174829</v>
      </c>
      <c r="T379" s="357">
        <f t="shared" ca="1" si="146"/>
        <v>97.494272720190509</v>
      </c>
      <c r="U379" s="364">
        <f t="shared" ca="1" si="147"/>
        <v>0</v>
      </c>
      <c r="V379" s="359">
        <f t="shared" ca="1" si="148"/>
        <v>1.1640986970042491</v>
      </c>
      <c r="W379" s="357">
        <f t="shared" ca="1" si="149"/>
        <v>165.03994110424171</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509.82659755427051</v>
      </c>
      <c r="AF379" s="344"/>
      <c r="AG379" s="359">
        <f t="shared" ca="1" si="172"/>
        <v>39.602075044737077</v>
      </c>
      <c r="AH379" s="357">
        <f t="shared" ca="1" si="173"/>
        <v>49.142291697588796</v>
      </c>
    </row>
    <row r="380" spans="1:34" x14ac:dyDescent="0.25">
      <c r="A380" s="402">
        <f t="shared" ca="1" si="151"/>
        <v>0.01</v>
      </c>
      <c r="B380" s="357">
        <f t="shared" ca="1" si="152"/>
        <v>3.7599999999999638</v>
      </c>
      <c r="C380" s="342"/>
      <c r="D380" s="359">
        <f t="shared" ca="1" si="153"/>
        <v>11.437070639331051</v>
      </c>
      <c r="E380" s="360">
        <f t="shared" ca="1" si="154"/>
        <v>37.926166565927112</v>
      </c>
      <c r="F380" s="357">
        <f t="shared" ca="1" si="155"/>
        <v>39.613137911499713</v>
      </c>
      <c r="G380" s="359">
        <f t="shared" ca="1" si="156"/>
        <v>58.426220076359989</v>
      </c>
      <c r="H380" s="360">
        <f t="shared" ca="1" si="157"/>
        <v>243.76187615432812</v>
      </c>
      <c r="I380" s="357">
        <f t="shared" ca="1" si="158"/>
        <v>250.66606363584452</v>
      </c>
      <c r="J380" s="359">
        <f t="shared" ca="1" si="159"/>
        <v>114.66389366247681</v>
      </c>
      <c r="K380" s="360">
        <f t="shared" ca="1" si="160"/>
        <v>512.26232000748553</v>
      </c>
      <c r="L380" s="357">
        <f t="shared" ca="1" si="145"/>
        <v>524.93856117577354</v>
      </c>
      <c r="M380" s="359">
        <f t="shared" ca="1" si="161"/>
        <v>1.335548611025279</v>
      </c>
      <c r="N380" s="357">
        <f t="shared" ca="1" si="162"/>
        <v>76.521298746307735</v>
      </c>
      <c r="O380" s="343"/>
      <c r="P380" s="363">
        <f t="shared" ca="1" si="163"/>
        <v>12</v>
      </c>
      <c r="Q380" s="357">
        <f t="shared" ca="1" si="164"/>
        <v>652.72000000000082</v>
      </c>
      <c r="R380" s="359">
        <f t="shared" ca="1" si="165"/>
        <v>0.32696850532163679</v>
      </c>
      <c r="S380" s="360">
        <f t="shared" ca="1" si="166"/>
        <v>9.9349844148642656</v>
      </c>
      <c r="T380" s="357">
        <f t="shared" ca="1" si="146"/>
        <v>97.462197109818447</v>
      </c>
      <c r="U380" s="364">
        <f t="shared" ca="1" si="147"/>
        <v>0</v>
      </c>
      <c r="V380" s="359">
        <f t="shared" ca="1" si="148"/>
        <v>1.1638150041941411</v>
      </c>
      <c r="W380" s="357">
        <f t="shared" ca="1" si="149"/>
        <v>165.5215909344243</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512.26232000748553</v>
      </c>
      <c r="AF380" s="344"/>
      <c r="AG380" s="359">
        <f t="shared" ca="1" si="172"/>
        <v>39.547140835939018</v>
      </c>
      <c r="AH380" s="357">
        <f t="shared" ca="1" si="173"/>
        <v>49.087148860154691</v>
      </c>
    </row>
    <row r="381" spans="1:34" x14ac:dyDescent="0.25">
      <c r="A381" s="402">
        <f t="shared" ca="1" si="151"/>
        <v>0.01</v>
      </c>
      <c r="B381" s="357">
        <f t="shared" ca="1" si="152"/>
        <v>3.7699999999999636</v>
      </c>
      <c r="C381" s="342"/>
      <c r="D381" s="359">
        <f t="shared" ca="1" si="153"/>
        <v>11.428565555956903</v>
      </c>
      <c r="E381" s="360">
        <f t="shared" ca="1" si="154"/>
        <v>37.871478932435288</v>
      </c>
      <c r="F381" s="357">
        <f t="shared" ca="1" si="155"/>
        <v>39.558324372964719</v>
      </c>
      <c r="G381" s="359">
        <f t="shared" ca="1" si="156"/>
        <v>58.540505731919559</v>
      </c>
      <c r="H381" s="360">
        <f t="shared" ca="1" si="157"/>
        <v>244.14059094365248</v>
      </c>
      <c r="I381" s="357">
        <f t="shared" ca="1" si="158"/>
        <v>251.06098653049375</v>
      </c>
      <c r="J381" s="359">
        <f t="shared" ca="1" si="159"/>
        <v>115.24872729151821</v>
      </c>
      <c r="K381" s="360">
        <f t="shared" ca="1" si="160"/>
        <v>514.70183234297542</v>
      </c>
      <c r="L381" s="357">
        <f t="shared" ca="1" si="145"/>
        <v>527.44691236135907</v>
      </c>
      <c r="M381" s="359">
        <f t="shared" ca="1" si="161"/>
        <v>1.3354575354284068</v>
      </c>
      <c r="N381" s="357">
        <f t="shared" ca="1" si="162"/>
        <v>76.51608049899032</v>
      </c>
      <c r="O381" s="343"/>
      <c r="P381" s="363">
        <f t="shared" ca="1" si="163"/>
        <v>12</v>
      </c>
      <c r="Q381" s="357">
        <f t="shared" ca="1" si="164"/>
        <v>652.49333333333425</v>
      </c>
      <c r="R381" s="359">
        <f t="shared" ca="1" si="165"/>
        <v>0.32685496067583736</v>
      </c>
      <c r="S381" s="360">
        <f t="shared" ca="1" si="166"/>
        <v>9.931715865257507</v>
      </c>
      <c r="T381" s="357">
        <f t="shared" ca="1" si="146"/>
        <v>97.430132638176147</v>
      </c>
      <c r="U381" s="364">
        <f t="shared" ca="1" si="147"/>
        <v>0</v>
      </c>
      <c r="V381" s="359">
        <f t="shared" ca="1" si="148"/>
        <v>1.1635309374932179</v>
      </c>
      <c r="W381" s="357">
        <f t="shared" ca="1" si="149"/>
        <v>166.00303005427</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514.70183234297542</v>
      </c>
      <c r="AF381" s="344"/>
      <c r="AG381" s="359">
        <f t="shared" ca="1" si="172"/>
        <v>39.492185340335013</v>
      </c>
      <c r="AH381" s="357">
        <f t="shared" ca="1" si="173"/>
        <v>49.031984906294326</v>
      </c>
    </row>
    <row r="382" spans="1:34" x14ac:dyDescent="0.25">
      <c r="A382" s="402">
        <f t="shared" ca="1" si="151"/>
        <v>0.01</v>
      </c>
      <c r="B382" s="357">
        <f t="shared" ca="1" si="152"/>
        <v>3.7799999999999634</v>
      </c>
      <c r="C382" s="342"/>
      <c r="D382" s="359">
        <f t="shared" ca="1" si="153"/>
        <v>11.420040586824975</v>
      </c>
      <c r="E382" s="360">
        <f t="shared" ca="1" si="154"/>
        <v>37.816774360914344</v>
      </c>
      <c r="F382" s="357">
        <f t="shared" ca="1" si="155"/>
        <v>39.503490352993346</v>
      </c>
      <c r="G382" s="359">
        <f t="shared" ca="1" si="156"/>
        <v>58.654706137787812</v>
      </c>
      <c r="H382" s="360">
        <f t="shared" ca="1" si="157"/>
        <v>244.51875868726162</v>
      </c>
      <c r="I382" s="357">
        <f t="shared" ca="1" si="158"/>
        <v>251.45535966065532</v>
      </c>
      <c r="J382" s="359">
        <f t="shared" ca="1" si="159"/>
        <v>115.83470335086675</v>
      </c>
      <c r="K382" s="360">
        <f t="shared" ca="1" si="160"/>
        <v>517.14512909113</v>
      </c>
      <c r="L382" s="357">
        <f t="shared" ca="1" si="145"/>
        <v>529.95920884825159</v>
      </c>
      <c r="M382" s="359">
        <f t="shared" ca="1" si="161"/>
        <v>1.3353665681188813</v>
      </c>
      <c r="N382" s="357">
        <f t="shared" ca="1" si="162"/>
        <v>76.510868456080857</v>
      </c>
      <c r="O382" s="343"/>
      <c r="P382" s="363">
        <f t="shared" ca="1" si="163"/>
        <v>12</v>
      </c>
      <c r="Q382" s="357">
        <f t="shared" ca="1" si="164"/>
        <v>652.26666666666756</v>
      </c>
      <c r="R382" s="359">
        <f t="shared" ca="1" si="165"/>
        <v>0.32674141603003787</v>
      </c>
      <c r="S382" s="360">
        <f t="shared" ca="1" si="166"/>
        <v>9.9284484510972071</v>
      </c>
      <c r="T382" s="357">
        <f t="shared" ca="1" si="146"/>
        <v>97.398079305263607</v>
      </c>
      <c r="U382" s="364">
        <f t="shared" ca="1" si="147"/>
        <v>0</v>
      </c>
      <c r="V382" s="359">
        <f t="shared" ca="1" si="148"/>
        <v>1.163246497828941</v>
      </c>
      <c r="W382" s="357">
        <f t="shared" ca="1" si="149"/>
        <v>166.48425431735288</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517.14512909113</v>
      </c>
      <c r="AF382" s="344"/>
      <c r="AG382" s="359">
        <f t="shared" ca="1" si="172"/>
        <v>39.437208975858098</v>
      </c>
      <c r="AH382" s="357">
        <f t="shared" ca="1" si="173"/>
        <v>48.976800253080825</v>
      </c>
    </row>
    <row r="383" spans="1:34" x14ac:dyDescent="0.25">
      <c r="A383" s="402">
        <f t="shared" ca="1" si="151"/>
        <v>0.01</v>
      </c>
      <c r="B383" s="357">
        <f t="shared" ca="1" si="152"/>
        <v>3.7899999999999632</v>
      </c>
      <c r="C383" s="342"/>
      <c r="D383" s="359">
        <f t="shared" ca="1" si="153"/>
        <v>11.411495865388893</v>
      </c>
      <c r="E383" s="360">
        <f t="shared" ca="1" si="154"/>
        <v>37.762053250337011</v>
      </c>
      <c r="F383" s="357">
        <f t="shared" ca="1" si="155"/>
        <v>39.448636270054706</v>
      </c>
      <c r="G383" s="359">
        <f t="shared" ca="1" si="156"/>
        <v>58.768821096441698</v>
      </c>
      <c r="H383" s="360">
        <f t="shared" ca="1" si="157"/>
        <v>244.89637921976498</v>
      </c>
      <c r="I383" s="357">
        <f t="shared" ca="1" si="158"/>
        <v>251.84918282181602</v>
      </c>
      <c r="J383" s="359">
        <f t="shared" ca="1" si="159"/>
        <v>116.42182098703789</v>
      </c>
      <c r="K383" s="360">
        <f t="shared" ca="1" si="160"/>
        <v>519.59220478066516</v>
      </c>
      <c r="L383" s="357">
        <f t="shared" ca="1" si="145"/>
        <v>532.47544513411185</v>
      </c>
      <c r="M383" s="359">
        <f t="shared" ca="1" si="161"/>
        <v>1.3352757086009248</v>
      </c>
      <c r="N383" s="357">
        <f t="shared" ca="1" si="162"/>
        <v>76.505662589173355</v>
      </c>
      <c r="O383" s="343"/>
      <c r="P383" s="363">
        <f t="shared" ca="1" si="163"/>
        <v>12</v>
      </c>
      <c r="Q383" s="357">
        <f t="shared" ca="1" si="164"/>
        <v>652.04000000000087</v>
      </c>
      <c r="R383" s="359">
        <f t="shared" ca="1" si="165"/>
        <v>0.32662787138423838</v>
      </c>
      <c r="S383" s="360">
        <f t="shared" ca="1" si="166"/>
        <v>9.925182172383364</v>
      </c>
      <c r="T383" s="357">
        <f t="shared" ca="1" si="146"/>
        <v>97.3660371110808</v>
      </c>
      <c r="U383" s="364">
        <f t="shared" ca="1" si="147"/>
        <v>0</v>
      </c>
      <c r="V383" s="359">
        <f t="shared" ca="1" si="148"/>
        <v>1.1629616861286338</v>
      </c>
      <c r="W383" s="357">
        <f t="shared" ca="1" si="149"/>
        <v>166.96525959090334</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519.59220478066516</v>
      </c>
      <c r="AF383" s="344"/>
      <c r="AG383" s="359">
        <f t="shared" ca="1" si="172"/>
        <v>39.382212159628615</v>
      </c>
      <c r="AH383" s="357">
        <f t="shared" ca="1" si="173"/>
        <v>48.921595316778955</v>
      </c>
    </row>
    <row r="384" spans="1:34" x14ac:dyDescent="0.25">
      <c r="A384" s="402">
        <f t="shared" ca="1" si="151"/>
        <v>0.01</v>
      </c>
      <c r="B384" s="357">
        <f t="shared" ca="1" si="152"/>
        <v>3.799999999999963</v>
      </c>
      <c r="C384" s="342"/>
      <c r="D384" s="359">
        <f t="shared" ca="1" si="153"/>
        <v>11.402931524829706</v>
      </c>
      <c r="E384" s="360">
        <f t="shared" ca="1" si="154"/>
        <v>37.707315998887516</v>
      </c>
      <c r="F384" s="357">
        <f t="shared" ca="1" si="155"/>
        <v>39.393762541802396</v>
      </c>
      <c r="G384" s="359">
        <f t="shared" ca="1" si="156"/>
        <v>58.882850411689994</v>
      </c>
      <c r="H384" s="360">
        <f t="shared" ca="1" si="157"/>
        <v>245.27345237975385</v>
      </c>
      <c r="I384" s="357">
        <f t="shared" ca="1" si="158"/>
        <v>252.24245581362555</v>
      </c>
      <c r="J384" s="359">
        <f t="shared" ca="1" si="159"/>
        <v>117.01007934457854</v>
      </c>
      <c r="K384" s="360">
        <f t="shared" ca="1" si="160"/>
        <v>522.04305393866275</v>
      </c>
      <c r="L384" s="357">
        <f t="shared" ca="1" si="145"/>
        <v>534.99561571458696</v>
      </c>
      <c r="M384" s="359">
        <f t="shared" ca="1" si="161"/>
        <v>1.3351849563815252</v>
      </c>
      <c r="N384" s="357">
        <f t="shared" ca="1" si="162"/>
        <v>76.500462870020314</v>
      </c>
      <c r="O384" s="343"/>
      <c r="P384" s="363">
        <f t="shared" ca="1" si="163"/>
        <v>12</v>
      </c>
      <c r="Q384" s="357">
        <f t="shared" ca="1" si="164"/>
        <v>651.81333333333419</v>
      </c>
      <c r="R384" s="359">
        <f t="shared" ca="1" si="165"/>
        <v>0.32651432673843889</v>
      </c>
      <c r="S384" s="360">
        <f t="shared" ca="1" si="166"/>
        <v>9.9219170291159795</v>
      </c>
      <c r="T384" s="357">
        <f t="shared" ca="1" si="146"/>
        <v>97.334006055627768</v>
      </c>
      <c r="U384" s="364">
        <f t="shared" ca="1" si="147"/>
        <v>0</v>
      </c>
      <c r="V384" s="359">
        <f t="shared" ca="1" si="148"/>
        <v>1.1626765033194759</v>
      </c>
      <c r="W384" s="357">
        <f t="shared" ca="1" si="149"/>
        <v>167.44604175584686</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522.04305393866275</v>
      </c>
      <c r="AF384" s="344"/>
      <c r="AG384" s="359">
        <f t="shared" ca="1" si="172"/>
        <v>39.327195307948401</v>
      </c>
      <c r="AH384" s="357">
        <f t="shared" ca="1" si="173"/>
        <v>48.866370512839268</v>
      </c>
    </row>
    <row r="385" spans="1:34" x14ac:dyDescent="0.25">
      <c r="A385" s="402">
        <f t="shared" ca="1" si="151"/>
        <v>0.01</v>
      </c>
      <c r="B385" s="357">
        <f t="shared" ca="1" si="152"/>
        <v>3.8099999999999627</v>
      </c>
      <c r="C385" s="342"/>
      <c r="D385" s="359">
        <f t="shared" ca="1" si="153"/>
        <v>11.380772416681031</v>
      </c>
      <c r="E385" s="360">
        <f t="shared" ca="1" si="154"/>
        <v>37.596015875098587</v>
      </c>
      <c r="F385" s="357">
        <f t="shared" ca="1" si="155"/>
        <v>39.280814534336642</v>
      </c>
      <c r="G385" s="359">
        <f t="shared" ca="1" si="156"/>
        <v>58.996658135856805</v>
      </c>
      <c r="H385" s="360">
        <f t="shared" ca="1" si="157"/>
        <v>245.64941253850483</v>
      </c>
      <c r="I385" s="357">
        <f t="shared" ca="1" si="158"/>
        <v>252.63459690175392</v>
      </c>
      <c r="J385" s="359">
        <f t="shared" ca="1" si="159"/>
        <v>117.59947688731627</v>
      </c>
      <c r="K385" s="360">
        <f t="shared" ca="1" si="160"/>
        <v>524.49766826325401</v>
      </c>
      <c r="L385" s="357">
        <f t="shared" ca="1" si="145"/>
        <v>537.51971217599157</v>
      </c>
      <c r="M385" s="359">
        <f t="shared" ca="1" si="161"/>
        <v>1.3350943107617581</v>
      </c>
      <c r="N385" s="357">
        <f t="shared" ca="1" si="162"/>
        <v>76.4952692585763</v>
      </c>
      <c r="O385" s="343"/>
      <c r="P385" s="363">
        <f t="shared" ca="1" si="163"/>
        <v>13</v>
      </c>
      <c r="Q385" s="357">
        <f t="shared" ca="1" si="164"/>
        <v>651.01000000000511</v>
      </c>
      <c r="R385" s="359">
        <f t="shared" ca="1" si="165"/>
        <v>0.32611191115553406</v>
      </c>
      <c r="S385" s="360">
        <f t="shared" ca="1" si="166"/>
        <v>9.9186559100044249</v>
      </c>
      <c r="T385" s="357">
        <f t="shared" ca="1" si="146"/>
        <v>97.302014477143416</v>
      </c>
      <c r="U385" s="364">
        <f t="shared" ca="1" si="147"/>
        <v>0</v>
      </c>
      <c r="V385" s="359">
        <f t="shared" ca="1" si="148"/>
        <v>1.1623909506573709</v>
      </c>
      <c r="W385" s="357">
        <f t="shared" ca="1" si="149"/>
        <v>167.92582365847736</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524.49766826325401</v>
      </c>
      <c r="AF385" s="344"/>
      <c r="AG385" s="359">
        <f t="shared" ca="1" si="172"/>
        <v>39.214005022607573</v>
      </c>
      <c r="AH385" s="357">
        <f t="shared" ca="1" si="173"/>
        <v>48.752972442204872</v>
      </c>
    </row>
    <row r="386" spans="1:34" x14ac:dyDescent="0.25">
      <c r="A386" s="402">
        <f t="shared" ca="1" si="151"/>
        <v>0.01</v>
      </c>
      <c r="B386" s="357">
        <f t="shared" ca="1" si="152"/>
        <v>3.8199999999999625</v>
      </c>
      <c r="C386" s="342"/>
      <c r="D386" s="359">
        <f t="shared" ca="1" si="153"/>
        <v>11.345004836130915</v>
      </c>
      <c r="E386" s="360">
        <f t="shared" ca="1" si="154"/>
        <v>37.428163335021964</v>
      </c>
      <c r="F386" s="357">
        <f t="shared" ca="1" si="155"/>
        <v>39.109801141976121</v>
      </c>
      <c r="G386" s="359">
        <f t="shared" ca="1" si="156"/>
        <v>59.110108184218113</v>
      </c>
      <c r="H386" s="360">
        <f t="shared" ca="1" si="157"/>
        <v>246.02369417185506</v>
      </c>
      <c r="I386" s="357">
        <f t="shared" ca="1" si="158"/>
        <v>253.02502442153116</v>
      </c>
      <c r="J386" s="359">
        <f t="shared" ca="1" si="159"/>
        <v>118.19001071891664</v>
      </c>
      <c r="K386" s="360">
        <f t="shared" ca="1" si="160"/>
        <v>526.95603379680585</v>
      </c>
      <c r="L386" s="357">
        <f t="shared" ca="1" si="145"/>
        <v>540.04772028830757</v>
      </c>
      <c r="M386" s="359">
        <f t="shared" ca="1" si="161"/>
        <v>1.335003770838977</v>
      </c>
      <c r="N386" s="357">
        <f t="shared" ca="1" si="162"/>
        <v>76.490081703123508</v>
      </c>
      <c r="O386" s="343"/>
      <c r="P386" s="363">
        <f t="shared" ca="1" si="163"/>
        <v>13</v>
      </c>
      <c r="Q386" s="357">
        <f t="shared" ca="1" si="164"/>
        <v>649.63000000000523</v>
      </c>
      <c r="R386" s="359">
        <f t="shared" ca="1" si="165"/>
        <v>0.32542062463551963</v>
      </c>
      <c r="S386" s="360">
        <f t="shared" ca="1" si="166"/>
        <v>9.9154017037580697</v>
      </c>
      <c r="T386" s="357">
        <f t="shared" ca="1" si="146"/>
        <v>97.270090713866665</v>
      </c>
      <c r="U386" s="364">
        <f t="shared" ca="1" si="147"/>
        <v>0</v>
      </c>
      <c r="V386" s="359">
        <f t="shared" ca="1" si="148"/>
        <v>1.1621050300552831</v>
      </c>
      <c r="W386" s="357">
        <f t="shared" ca="1" si="149"/>
        <v>168.40382431401576</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526.95603379680585</v>
      </c>
      <c r="AF386" s="344"/>
      <c r="AG386" s="359">
        <f t="shared" ca="1" si="172"/>
        <v>39.0426482693738</v>
      </c>
      <c r="AH386" s="357">
        <f t="shared" ca="1" si="173"/>
        <v>48.581408069322649</v>
      </c>
    </row>
    <row r="387" spans="1:34" x14ac:dyDescent="0.25">
      <c r="A387" s="402">
        <f t="shared" ca="1" si="151"/>
        <v>0.01</v>
      </c>
      <c r="B387" s="357">
        <f t="shared" ca="1" si="152"/>
        <v>3.8299999999999623</v>
      </c>
      <c r="C387" s="342"/>
      <c r="D387" s="359">
        <f t="shared" ca="1" si="153"/>
        <v>11.309209721248402</v>
      </c>
      <c r="E387" s="360">
        <f t="shared" ca="1" si="154"/>
        <v>37.260351235267159</v>
      </c>
      <c r="F387" s="357">
        <f t="shared" ca="1" si="155"/>
        <v>38.938823797010798</v>
      </c>
      <c r="G387" s="359">
        <f t="shared" ca="1" si="156"/>
        <v>59.2232002814306</v>
      </c>
      <c r="H387" s="360">
        <f t="shared" ca="1" si="157"/>
        <v>246.39629768420772</v>
      </c>
      <c r="I387" s="357">
        <f t="shared" ca="1" si="158"/>
        <v>253.41373870423669</v>
      </c>
      <c r="J387" s="359">
        <f t="shared" ca="1" si="159"/>
        <v>118.78167726124488</v>
      </c>
      <c r="K387" s="360">
        <f t="shared" ca="1" si="160"/>
        <v>529.41813375608615</v>
      </c>
      <c r="L387" s="357">
        <f t="shared" ca="1" si="145"/>
        <v>542.57962291517322</v>
      </c>
      <c r="M387" s="359">
        <f t="shared" ca="1" si="161"/>
        <v>1.3349133357166283</v>
      </c>
      <c r="N387" s="357">
        <f t="shared" ca="1" si="162"/>
        <v>76.484900152293179</v>
      </c>
      <c r="O387" s="343"/>
      <c r="P387" s="363">
        <f t="shared" ca="1" si="163"/>
        <v>13</v>
      </c>
      <c r="Q387" s="357">
        <f t="shared" ca="1" si="164"/>
        <v>648.25000000000523</v>
      </c>
      <c r="R387" s="359">
        <f t="shared" ca="1" si="165"/>
        <v>0.32472933811550514</v>
      </c>
      <c r="S387" s="360">
        <f t="shared" ca="1" si="166"/>
        <v>9.9121544103769139</v>
      </c>
      <c r="T387" s="357">
        <f t="shared" ca="1" si="146"/>
        <v>97.238234765797529</v>
      </c>
      <c r="U387" s="364">
        <f t="shared" ca="1" si="147"/>
        <v>0</v>
      </c>
      <c r="V387" s="359">
        <f t="shared" ca="1" si="148"/>
        <v>1.1618187437534013</v>
      </c>
      <c r="W387" s="357">
        <f t="shared" ca="1" si="149"/>
        <v>168.88003452658472</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529.41813375608615</v>
      </c>
      <c r="AF387" s="344"/>
      <c r="AG387" s="359">
        <f t="shared" ca="1" si="172"/>
        <v>38.871324643197347</v>
      </c>
      <c r="AH387" s="357">
        <f t="shared" ca="1" si="173"/>
        <v>48.409876987352447</v>
      </c>
    </row>
    <row r="388" spans="1:34" x14ac:dyDescent="0.25">
      <c r="A388" s="402">
        <f t="shared" ca="1" si="151"/>
        <v>0.01</v>
      </c>
      <c r="B388" s="357">
        <f t="shared" ca="1" si="152"/>
        <v>3.8399999999999621</v>
      </c>
      <c r="C388" s="342"/>
      <c r="D388" s="359">
        <f t="shared" ca="1" si="153"/>
        <v>11.273387485471364</v>
      </c>
      <c r="E388" s="360">
        <f t="shared" ca="1" si="154"/>
        <v>37.092580839600053</v>
      </c>
      <c r="F388" s="357">
        <f t="shared" ca="1" si="155"/>
        <v>38.767883856871102</v>
      </c>
      <c r="G388" s="359">
        <f t="shared" ca="1" si="156"/>
        <v>59.335934156285312</v>
      </c>
      <c r="H388" s="360">
        <f t="shared" ca="1" si="157"/>
        <v>246.76722349260373</v>
      </c>
      <c r="I388" s="357">
        <f t="shared" ca="1" si="158"/>
        <v>253.80074009436552</v>
      </c>
      <c r="J388" s="359">
        <f t="shared" ca="1" si="159"/>
        <v>119.37447293343347</v>
      </c>
      <c r="K388" s="360">
        <f t="shared" ca="1" si="160"/>
        <v>531.88395136197016</v>
      </c>
      <c r="L388" s="357">
        <f t="shared" ref="L388:L451" ca="1" si="174">SQRT(pos_x^2+pos_z^2)</f>
        <v>545.11540292359894</v>
      </c>
      <c r="M388" s="359">
        <f t="shared" ca="1" si="161"/>
        <v>1.3348230045041829</v>
      </c>
      <c r="N388" s="357">
        <f t="shared" ca="1" si="162"/>
        <v>76.47972455506175</v>
      </c>
      <c r="O388" s="343"/>
      <c r="P388" s="363">
        <f t="shared" ca="1" si="163"/>
        <v>13</v>
      </c>
      <c r="Q388" s="357">
        <f t="shared" ca="1" si="164"/>
        <v>646.87000000000523</v>
      </c>
      <c r="R388" s="359">
        <f t="shared" ca="1" si="165"/>
        <v>0.32403805159549065</v>
      </c>
      <c r="S388" s="360">
        <f t="shared" ca="1" si="166"/>
        <v>9.9089140298609593</v>
      </c>
      <c r="T388" s="357">
        <f t="shared" ref="T388:T451" ca="1" si="175">m*g</f>
        <v>97.206446632936022</v>
      </c>
      <c r="U388" s="364">
        <f t="shared" ref="U388:U451" ca="1" si="176">IF(pos_xz&lt;L_rampe,Poids*COS(Beta),0)</f>
        <v>0</v>
      </c>
      <c r="V388" s="359">
        <f t="shared" ref="V388:V451" ca="1" si="177">Rho_moyen*(20000-Alt_rampe-pos_z)/(20000+Alt_rampe+pos_z)</f>
        <v>1.1615320939898266</v>
      </c>
      <c r="W388" s="357">
        <f t="shared" ref="W388:W451" ca="1" si="178">1/2*Rho*Sref*Cx*vit_xz^2</f>
        <v>169.35444518341552</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531.88395136197016</v>
      </c>
      <c r="AF388" s="344"/>
      <c r="AG388" s="359">
        <f t="shared" ca="1" si="172"/>
        <v>38.700035465630101</v>
      </c>
      <c r="AH388" s="357">
        <f t="shared" ca="1" si="173"/>
        <v>48.238380516066258</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11.237538540201886</v>
      </c>
      <c r="E389" s="360">
        <f t="shared" ref="E389:E452" ca="1" si="183">IF(AND(L388&lt;L_rampe,Poussee&lt;Poids*SIN(M388)),0,(-W388+Poussee)/m*SIN(M388)+U388/m*COS(M388)-Poids/m)</f>
        <v>36.924853405236263</v>
      </c>
      <c r="F389" s="357">
        <f t="shared" ref="F389:F452" ca="1" si="184">SQRT(acc_x^2+acc_z^2)</f>
        <v>38.596982672751906</v>
      </c>
      <c r="G389" s="359">
        <f t="shared" ref="G389:G452" ca="1" si="185">G388+acc_x*pas</f>
        <v>59.44830954168733</v>
      </c>
      <c r="H389" s="360">
        <f t="shared" ref="H389:H452" ca="1" si="186">H388+acc_z*pas</f>
        <v>247.13647202665609</v>
      </c>
      <c r="I389" s="357">
        <f t="shared" ref="I389:I452" ca="1" si="187">SQRT(vit_x^2+vit_z^2)</f>
        <v>254.18602894955976</v>
      </c>
      <c r="J389" s="359">
        <f t="shared" ref="J389:J452" ca="1" si="188">J388+0.5*(vit_x+G388)*pas*(K388&gt;=0)</f>
        <v>119.96839415192333</v>
      </c>
      <c r="K389" s="360">
        <f t="shared" ref="K389:K452" ca="1" si="189">K388+0.5*(vit_z+H388)*pas</f>
        <v>534.35346983956651</v>
      </c>
      <c r="L389" s="357">
        <f t="shared" ca="1" si="174"/>
        <v>547.65504318409762</v>
      </c>
      <c r="M389" s="359">
        <f t="shared" ref="M389:M452" ca="1" si="190">IF(AND(L388&gt;L_rampe,G389&gt;0),ATAN2(G389,H389),$M$4)</f>
        <v>1.3347327763170707</v>
      </c>
      <c r="N389" s="357">
        <f t="shared" ref="N389:N452" ca="1" si="191">DEGREES(Beta)</f>
        <v>76.474554860747105</v>
      </c>
      <c r="O389" s="343"/>
      <c r="P389" s="363">
        <f t="shared" ref="P389:P452" ca="1" si="192">MATCH(t-pas/2-T_ini,CdP_t)</f>
        <v>13</v>
      </c>
      <c r="Q389" s="357">
        <f t="shared" ref="Q389:Q452" ca="1" si="193">(INDEX(CdP,2,i_P+1)-INDEX(CdP,2,i_P+0))/(INDEX(CdP,1,i_P+1)-INDEX(CdP,1,i_P+0))*(t-pas/2-T_ini-INDEX(CdP,1,i_P+0))+INDEX(CdP,2,i_P+0)</f>
        <v>645.49000000000524</v>
      </c>
      <c r="R389" s="359">
        <f t="shared" ref="R389:R452" ca="1" si="194">Poussee/(g*ISP)</f>
        <v>0.32334676507547616</v>
      </c>
      <c r="S389" s="360">
        <f t="shared" ref="S389:S452" ca="1" si="195">S388-Débit*pas</f>
        <v>9.905680562210204</v>
      </c>
      <c r="T389" s="357">
        <f t="shared" ca="1" si="175"/>
        <v>97.174726315282101</v>
      </c>
      <c r="U389" s="364">
        <f t="shared" ca="1" si="176"/>
        <v>0</v>
      </c>
      <c r="V389" s="359">
        <f t="shared" ca="1" si="177"/>
        <v>1.1612450830005527</v>
      </c>
      <c r="W389" s="357">
        <f t="shared" ca="1" si="178"/>
        <v>169.8270472547739</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534.35346983956651</v>
      </c>
      <c r="AF389" s="344"/>
      <c r="AG389" s="359">
        <f t="shared" ref="AG389:AG452" ca="1" si="201">IF(AND(L388&lt;L_rampe,Poussee&lt;Poids*SIN(M388)),0,(-W388+Poussee)/m-Poids*SIN(M388)/m)</f>
        <v>38.528782051407404</v>
      </c>
      <c r="AH389" s="357">
        <f t="shared" ref="AH389:AH452" ca="1" si="202">IF(AND(L388&lt;L_rampe,Poussee&lt;Poids*SIN(M388)), g*SIN(M388), (-W388+Poussee)/m)</f>
        <v>48.066919968429914</v>
      </c>
    </row>
    <row r="390" spans="1:34" x14ac:dyDescent="0.25">
      <c r="A390" s="402">
        <f t="shared" ca="1" si="180"/>
        <v>0.01</v>
      </c>
      <c r="B390" s="357">
        <f t="shared" ca="1" si="181"/>
        <v>3.8599999999999617</v>
      </c>
      <c r="C390" s="342"/>
      <c r="D390" s="359">
        <f t="shared" ca="1" si="182"/>
        <v>11.201663294807418</v>
      </c>
      <c r="E390" s="360">
        <f t="shared" ca="1" si="183"/>
        <v>36.757170182828013</v>
      </c>
      <c r="F390" s="357">
        <f t="shared" ca="1" si="184"/>
        <v>38.426121589611625</v>
      </c>
      <c r="G390" s="359">
        <f t="shared" ca="1" si="185"/>
        <v>59.560326174635406</v>
      </c>
      <c r="H390" s="360">
        <f t="shared" ca="1" si="186"/>
        <v>247.50404372848436</v>
      </c>
      <c r="I390" s="357">
        <f t="shared" ca="1" si="187"/>
        <v>254.5696056405408</v>
      </c>
      <c r="J390" s="359">
        <f t="shared" ca="1" si="188"/>
        <v>120.56343733050495</v>
      </c>
      <c r="K390" s="360">
        <f t="shared" ca="1" si="189"/>
        <v>536.82667241834224</v>
      </c>
      <c r="L390" s="357">
        <f t="shared" ca="1" si="174"/>
        <v>550.19852657081583</v>
      </c>
      <c r="M390" s="359">
        <f t="shared" ca="1" si="190"/>
        <v>1.3346426502766144</v>
      </c>
      <c r="N390" s="357">
        <f t="shared" ca="1" si="191"/>
        <v>76.469391019004746</v>
      </c>
      <c r="O390" s="343"/>
      <c r="P390" s="363">
        <f t="shared" ca="1" si="192"/>
        <v>13</v>
      </c>
      <c r="Q390" s="357">
        <f t="shared" ca="1" si="193"/>
        <v>644.11000000000524</v>
      </c>
      <c r="R390" s="359">
        <f t="shared" ca="1" si="194"/>
        <v>0.32265547855546167</v>
      </c>
      <c r="S390" s="360">
        <f t="shared" ca="1" si="195"/>
        <v>9.9024540074246499</v>
      </c>
      <c r="T390" s="357">
        <f t="shared" ca="1" si="175"/>
        <v>97.143073812835823</v>
      </c>
      <c r="U390" s="364">
        <f t="shared" ca="1" si="176"/>
        <v>0</v>
      </c>
      <c r="V390" s="359">
        <f t="shared" ca="1" si="177"/>
        <v>1.1609577130194448</v>
      </c>
      <c r="W390" s="357">
        <f t="shared" ca="1" si="178"/>
        <v>170.29783179388318</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536.82667241834224</v>
      </c>
      <c r="AF390" s="344"/>
      <c r="AG390" s="359">
        <f t="shared" ca="1" si="201"/>
        <v>38.357565708435317</v>
      </c>
      <c r="AH390" s="357">
        <f t="shared" ca="1" si="202"/>
        <v>47.895496650590253</v>
      </c>
    </row>
    <row r="391" spans="1:34" x14ac:dyDescent="0.25">
      <c r="A391" s="402">
        <f t="shared" ca="1" si="180"/>
        <v>0.01</v>
      </c>
      <c r="B391" s="357">
        <f t="shared" ca="1" si="181"/>
        <v>3.8699999999999615</v>
      </c>
      <c r="C391" s="342"/>
      <c r="D391" s="359">
        <f t="shared" ca="1" si="182"/>
        <v>11.165762156621966</v>
      </c>
      <c r="E391" s="360">
        <f t="shared" ca="1" si="183"/>
        <v>36.589532416451462</v>
      </c>
      <c r="F391" s="357">
        <f t="shared" ca="1" si="184"/>
        <v>38.25530194617216</v>
      </c>
      <c r="G391" s="359">
        <f t="shared" ca="1" si="185"/>
        <v>59.671983796201623</v>
      </c>
      <c r="H391" s="360">
        <f t="shared" ca="1" si="186"/>
        <v>247.86993905264887</v>
      </c>
      <c r="I391" s="357">
        <f t="shared" ca="1" si="187"/>
        <v>254.95147055104039</v>
      </c>
      <c r="J391" s="359">
        <f t="shared" ca="1" si="188"/>
        <v>121.15959888035914</v>
      </c>
      <c r="K391" s="360">
        <f t="shared" ca="1" si="189"/>
        <v>539.30354233224796</v>
      </c>
      <c r="L391" s="357">
        <f t="shared" ca="1" si="174"/>
        <v>552.74583596166542</v>
      </c>
      <c r="M391" s="359">
        <f t="shared" ca="1" si="190"/>
        <v>1.3345526255099658</v>
      </c>
      <c r="N391" s="357">
        <f t="shared" ca="1" si="191"/>
        <v>76.464232979824118</v>
      </c>
      <c r="O391" s="343"/>
      <c r="P391" s="363">
        <f t="shared" ca="1" si="192"/>
        <v>13</v>
      </c>
      <c r="Q391" s="357">
        <f t="shared" ca="1" si="193"/>
        <v>642.73000000000536</v>
      </c>
      <c r="R391" s="359">
        <f t="shared" ca="1" si="194"/>
        <v>0.32196419203544724</v>
      </c>
      <c r="S391" s="360">
        <f t="shared" ca="1" si="195"/>
        <v>9.8992343655042951</v>
      </c>
      <c r="T391" s="357">
        <f t="shared" ca="1" si="175"/>
        <v>97.111489125597146</v>
      </c>
      <c r="U391" s="364">
        <f t="shared" ca="1" si="176"/>
        <v>0</v>
      </c>
      <c r="V391" s="359">
        <f t="shared" ca="1" si="177"/>
        <v>1.1606699862782217</v>
      </c>
      <c r="W391" s="357">
        <f t="shared" ca="1" si="178"/>
        <v>170.76678993684271</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539.30354233224796</v>
      </c>
      <c r="AF391" s="344"/>
      <c r="AG391" s="359">
        <f t="shared" ca="1" si="201"/>
        <v>38.186387737778297</v>
      </c>
      <c r="AH391" s="357">
        <f t="shared" ca="1" si="202"/>
        <v>47.724111861862674</v>
      </c>
    </row>
    <row r="392" spans="1:34" x14ac:dyDescent="0.25">
      <c r="A392" s="402">
        <f t="shared" ca="1" si="180"/>
        <v>0.01</v>
      </c>
      <c r="B392" s="357">
        <f t="shared" ca="1" si="181"/>
        <v>3.8799999999999613</v>
      </c>
      <c r="C392" s="342"/>
      <c r="D392" s="359">
        <f t="shared" ca="1" si="182"/>
        <v>11.129835530947286</v>
      </c>
      <c r="E392" s="360">
        <f t="shared" ca="1" si="183"/>
        <v>36.421941343594433</v>
      </c>
      <c r="F392" s="357">
        <f t="shared" ca="1" si="184"/>
        <v>38.084525074919476</v>
      </c>
      <c r="G392" s="359">
        <f t="shared" ca="1" si="185"/>
        <v>59.783282151511095</v>
      </c>
      <c r="H392" s="360">
        <f t="shared" ca="1" si="186"/>
        <v>248.23415846608481</v>
      </c>
      <c r="I392" s="357">
        <f t="shared" ca="1" si="187"/>
        <v>255.33162407773247</v>
      </c>
      <c r="J392" s="359">
        <f t="shared" ca="1" si="188"/>
        <v>121.7568752100977</v>
      </c>
      <c r="K392" s="360">
        <f t="shared" ca="1" si="189"/>
        <v>541.78406281984167</v>
      </c>
      <c r="L392" s="357">
        <f t="shared" ca="1" si="174"/>
        <v>555.29695423845192</v>
      </c>
      <c r="M392" s="359">
        <f t="shared" ca="1" si="190"/>
        <v>1.3344627011500403</v>
      </c>
      <c r="N392" s="357">
        <f t="shared" ca="1" si="191"/>
        <v>76.459080693524982</v>
      </c>
      <c r="O392" s="343"/>
      <c r="P392" s="363">
        <f t="shared" ca="1" si="192"/>
        <v>13</v>
      </c>
      <c r="Q392" s="357">
        <f t="shared" ca="1" si="193"/>
        <v>641.35000000000537</v>
      </c>
      <c r="R392" s="359">
        <f t="shared" ca="1" si="194"/>
        <v>0.32127290551543275</v>
      </c>
      <c r="S392" s="360">
        <f t="shared" ca="1" si="195"/>
        <v>9.8960216364491416</v>
      </c>
      <c r="T392" s="357">
        <f t="shared" ca="1" si="175"/>
        <v>97.079972253566083</v>
      </c>
      <c r="U392" s="364">
        <f t="shared" ca="1" si="176"/>
        <v>0</v>
      </c>
      <c r="V392" s="359">
        <f t="shared" ca="1" si="177"/>
        <v>1.1603819050064339</v>
      </c>
      <c r="W392" s="357">
        <f t="shared" ca="1" si="178"/>
        <v>171.23391290254418</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541.78406281984167</v>
      </c>
      <c r="AF392" s="344"/>
      <c r="AG392" s="359">
        <f t="shared" ca="1" si="201"/>
        <v>38.015249433647277</v>
      </c>
      <c r="AH392" s="357">
        <f t="shared" ca="1" si="202"/>
        <v>47.552766894719099</v>
      </c>
    </row>
    <row r="393" spans="1:34" x14ac:dyDescent="0.25">
      <c r="A393" s="402">
        <f t="shared" ca="1" si="180"/>
        <v>0.01</v>
      </c>
      <c r="B393" s="357">
        <f t="shared" ca="1" si="181"/>
        <v>3.889999999999961</v>
      </c>
      <c r="C393" s="342"/>
      <c r="D393" s="359">
        <f t="shared" ca="1" si="182"/>
        <v>11.093883821054108</v>
      </c>
      <c r="E393" s="360">
        <f t="shared" ca="1" si="183"/>
        <v>36.254398195144482</v>
      </c>
      <c r="F393" s="357">
        <f t="shared" ca="1" si="184"/>
        <v>37.913792302104802</v>
      </c>
      <c r="G393" s="359">
        <f t="shared" ca="1" si="185"/>
        <v>59.894220989721639</v>
      </c>
      <c r="H393" s="360">
        <f t="shared" ca="1" si="186"/>
        <v>248.59670244803624</v>
      </c>
      <c r="I393" s="357">
        <f t="shared" ca="1" si="187"/>
        <v>255.71006663016433</v>
      </c>
      <c r="J393" s="359">
        <f t="shared" ca="1" si="188"/>
        <v>122.35526272580387</v>
      </c>
      <c r="K393" s="360">
        <f t="shared" ca="1" si="189"/>
        <v>544.26821712441222</v>
      </c>
      <c r="L393" s="357">
        <f t="shared" ca="1" si="174"/>
        <v>557.85186428700479</v>
      </c>
      <c r="M393" s="359">
        <f t="shared" ca="1" si="190"/>
        <v>1.3343728763354552</v>
      </c>
      <c r="N393" s="357">
        <f t="shared" ca="1" si="191"/>
        <v>76.453934110753707</v>
      </c>
      <c r="O393" s="343"/>
      <c r="P393" s="363">
        <f t="shared" ca="1" si="192"/>
        <v>13</v>
      </c>
      <c r="Q393" s="357">
        <f t="shared" ca="1" si="193"/>
        <v>639.97000000000537</v>
      </c>
      <c r="R393" s="359">
        <f t="shared" ca="1" si="194"/>
        <v>0.32058161899541826</v>
      </c>
      <c r="S393" s="360">
        <f t="shared" ca="1" si="195"/>
        <v>9.8928158202591874</v>
      </c>
      <c r="T393" s="357">
        <f t="shared" ca="1" si="175"/>
        <v>97.048523196742636</v>
      </c>
      <c r="U393" s="364">
        <f t="shared" ca="1" si="176"/>
        <v>0</v>
      </c>
      <c r="V393" s="359">
        <f t="shared" ca="1" si="177"/>
        <v>1.1600934714314466</v>
      </c>
      <c r="W393" s="357">
        <f t="shared" ca="1" si="178"/>
        <v>171.69919199258362</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544.26821712441222</v>
      </c>
      <c r="AF393" s="344"/>
      <c r="AG393" s="359">
        <f t="shared" ca="1" si="201"/>
        <v>37.844152083388138</v>
      </c>
      <c r="AH393" s="357">
        <f t="shared" ca="1" si="202"/>
        <v>47.381463034776338</v>
      </c>
    </row>
    <row r="394" spans="1:34" x14ac:dyDescent="0.25">
      <c r="A394" s="402">
        <f t="shared" ca="1" si="180"/>
        <v>0.01</v>
      </c>
      <c r="B394" s="357">
        <f t="shared" ca="1" si="181"/>
        <v>3.8999999999999608</v>
      </c>
      <c r="C394" s="342"/>
      <c r="D394" s="359">
        <f t="shared" ca="1" si="182"/>
        <v>11.057907428183322</v>
      </c>
      <c r="E394" s="360">
        <f t="shared" ca="1" si="183"/>
        <v>36.086904195377443</v>
      </c>
      <c r="F394" s="357">
        <f t="shared" ca="1" si="184"/>
        <v>37.743104947746708</v>
      </c>
      <c r="G394" s="359">
        <f t="shared" ca="1" si="185"/>
        <v>60.004800064003469</v>
      </c>
      <c r="H394" s="360">
        <f t="shared" ca="1" si="186"/>
        <v>248.95757148999002</v>
      </c>
      <c r="I394" s="357">
        <f t="shared" ca="1" si="187"/>
        <v>256.08679863068795</v>
      </c>
      <c r="J394" s="359">
        <f t="shared" ca="1" si="188"/>
        <v>122.9547578310725</v>
      </c>
      <c r="K394" s="360">
        <f t="shared" ca="1" si="189"/>
        <v>546.75598849410233</v>
      </c>
      <c r="L394" s="357">
        <f t="shared" ca="1" si="174"/>
        <v>560.41054899730489</v>
      </c>
      <c r="M394" s="359">
        <f t="shared" ca="1" si="190"/>
        <v>1.3342831502104673</v>
      </c>
      <c r="N394" s="357">
        <f t="shared" ca="1" si="191"/>
        <v>76.448793182479832</v>
      </c>
      <c r="O394" s="343"/>
      <c r="P394" s="363">
        <f t="shared" ca="1" si="192"/>
        <v>13</v>
      </c>
      <c r="Q394" s="357">
        <f t="shared" ca="1" si="193"/>
        <v>638.59000000000538</v>
      </c>
      <c r="R394" s="359">
        <f t="shared" ca="1" si="194"/>
        <v>0.31989033247540377</v>
      </c>
      <c r="S394" s="360">
        <f t="shared" ca="1" si="195"/>
        <v>9.8896169169344326</v>
      </c>
      <c r="T394" s="357">
        <f t="shared" ca="1" si="175"/>
        <v>97.017141955126789</v>
      </c>
      <c r="U394" s="364">
        <f t="shared" ca="1" si="176"/>
        <v>0</v>
      </c>
      <c r="V394" s="359">
        <f t="shared" ca="1" si="177"/>
        <v>1.1598046877784169</v>
      </c>
      <c r="W394" s="357">
        <f t="shared" ca="1" si="178"/>
        <v>172.16261859117031</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546.75598849410233</v>
      </c>
      <c r="AF394" s="344"/>
      <c r="AG394" s="359">
        <f t="shared" ca="1" si="201"/>
        <v>37.673096967470542</v>
      </c>
      <c r="AH394" s="357">
        <f t="shared" ca="1" si="202"/>
        <v>47.210201560784803</v>
      </c>
    </row>
    <row r="395" spans="1:34" x14ac:dyDescent="0.25">
      <c r="A395" s="402">
        <f t="shared" ca="1" si="180"/>
        <v>0.01</v>
      </c>
      <c r="B395" s="357">
        <f t="shared" ca="1" si="181"/>
        <v>3.9099999999999606</v>
      </c>
      <c r="C395" s="342"/>
      <c r="D395" s="359">
        <f t="shared" ca="1" si="182"/>
        <v>11.021906751547224</v>
      </c>
      <c r="E395" s="360">
        <f t="shared" ca="1" si="183"/>
        <v>35.919460561946352</v>
      </c>
      <c r="F395" s="357">
        <f t="shared" ca="1" si="184"/>
        <v>37.57246432563376</v>
      </c>
      <c r="G395" s="359">
        <f t="shared" ca="1" si="185"/>
        <v>60.115019131518942</v>
      </c>
      <c r="H395" s="360">
        <f t="shared" ca="1" si="186"/>
        <v>249.31676609560947</v>
      </c>
      <c r="I395" s="357">
        <f t="shared" ca="1" si="187"/>
        <v>256.46182051439104</v>
      </c>
      <c r="J395" s="359">
        <f t="shared" ca="1" si="188"/>
        <v>123.55535692705011</v>
      </c>
      <c r="K395" s="360">
        <f t="shared" ca="1" si="189"/>
        <v>549.24736018203032</v>
      </c>
      <c r="L395" s="357">
        <f t="shared" ca="1" si="174"/>
        <v>562.9729912636127</v>
      </c>
      <c r="M395" s="359">
        <f t="shared" ca="1" si="190"/>
        <v>1.3341935219249101</v>
      </c>
      <c r="N395" s="357">
        <f t="shared" ca="1" si="191"/>
        <v>76.443657859992413</v>
      </c>
      <c r="O395" s="343"/>
      <c r="P395" s="363">
        <f t="shared" ca="1" si="192"/>
        <v>13</v>
      </c>
      <c r="Q395" s="357">
        <f t="shared" ca="1" si="193"/>
        <v>637.21000000000549</v>
      </c>
      <c r="R395" s="359">
        <f t="shared" ca="1" si="194"/>
        <v>0.31919904595538934</v>
      </c>
      <c r="S395" s="360">
        <f t="shared" ca="1" si="195"/>
        <v>9.8864249264748789</v>
      </c>
      <c r="T395" s="357">
        <f t="shared" ca="1" si="175"/>
        <v>96.985828528718571</v>
      </c>
      <c r="U395" s="364">
        <f t="shared" ca="1" si="176"/>
        <v>0</v>
      </c>
      <c r="V395" s="359">
        <f t="shared" ca="1" si="177"/>
        <v>1.1595155562702781</v>
      </c>
      <c r="W395" s="357">
        <f t="shared" ca="1" si="178"/>
        <v>172.62418416503263</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549.24736018203032</v>
      </c>
      <c r="AF395" s="344"/>
      <c r="AG395" s="359">
        <f t="shared" ca="1" si="201"/>
        <v>37.502085359477235</v>
      </c>
      <c r="AH395" s="357">
        <f t="shared" ca="1" si="202"/>
        <v>47.03898374461771</v>
      </c>
    </row>
    <row r="396" spans="1:34" x14ac:dyDescent="0.25">
      <c r="A396" s="402">
        <f t="shared" ca="1" si="180"/>
        <v>0.01</v>
      </c>
      <c r="B396" s="357">
        <f t="shared" ca="1" si="181"/>
        <v>3.9199999999999604</v>
      </c>
      <c r="C396" s="342"/>
      <c r="D396" s="359">
        <f t="shared" ca="1" si="182"/>
        <v>10.985882188330789</v>
      </c>
      <c r="E396" s="360">
        <f t="shared" ca="1" si="183"/>
        <v>35.752068505870625</v>
      </c>
      <c r="F396" s="357">
        <f t="shared" ca="1" si="184"/>
        <v>37.401871743327902</v>
      </c>
      <c r="G396" s="359">
        <f t="shared" ca="1" si="185"/>
        <v>60.224877953402249</v>
      </c>
      <c r="H396" s="360">
        <f t="shared" ca="1" si="186"/>
        <v>249.67428678066818</v>
      </c>
      <c r="I396" s="357">
        <f t="shared" ca="1" si="187"/>
        <v>256.8351327290282</v>
      </c>
      <c r="J396" s="359">
        <f t="shared" ca="1" si="188"/>
        <v>124.15705641247472</v>
      </c>
      <c r="K396" s="360">
        <f t="shared" ca="1" si="189"/>
        <v>551.74231544641168</v>
      </c>
      <c r="L396" s="357">
        <f t="shared" ca="1" si="174"/>
        <v>565.5391739845951</v>
      </c>
      <c r="M396" s="359">
        <f t="shared" ca="1" si="190"/>
        <v>1.334103990634135</v>
      </c>
      <c r="N396" s="357">
        <f t="shared" ca="1" si="191"/>
        <v>76.43852809489664</v>
      </c>
      <c r="O396" s="343"/>
      <c r="P396" s="363">
        <f t="shared" ca="1" si="192"/>
        <v>13</v>
      </c>
      <c r="Q396" s="357">
        <f t="shared" ca="1" si="193"/>
        <v>635.8300000000055</v>
      </c>
      <c r="R396" s="359">
        <f t="shared" ca="1" si="194"/>
        <v>0.31850775943537485</v>
      </c>
      <c r="S396" s="360">
        <f t="shared" ca="1" si="195"/>
        <v>9.8832398488805246</v>
      </c>
      <c r="T396" s="357">
        <f t="shared" ca="1" si="175"/>
        <v>96.954582917517953</v>
      </c>
      <c r="U396" s="364">
        <f t="shared" ca="1" si="176"/>
        <v>0</v>
      </c>
      <c r="V396" s="359">
        <f t="shared" ca="1" si="177"/>
        <v>1.1592260791277178</v>
      </c>
      <c r="W396" s="357">
        <f t="shared" ca="1" si="178"/>
        <v>173.08388026332011</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551.74231544641168</v>
      </c>
      <c r="AF396" s="344"/>
      <c r="AG396" s="359">
        <f t="shared" ca="1" si="201"/>
        <v>37.33111852609359</v>
      </c>
      <c r="AH396" s="357">
        <f t="shared" ca="1" si="202"/>
        <v>46.867810851260508</v>
      </c>
    </row>
    <row r="397" spans="1:34" x14ac:dyDescent="0.25">
      <c r="A397" s="402">
        <f t="shared" ca="1" si="180"/>
        <v>0.01</v>
      </c>
      <c r="B397" s="357">
        <f t="shared" ca="1" si="181"/>
        <v>3.9299999999999602</v>
      </c>
      <c r="C397" s="342"/>
      <c r="D397" s="359">
        <f t="shared" ca="1" si="182"/>
        <v>10.949834133692882</v>
      </c>
      <c r="E397" s="360">
        <f t="shared" ca="1" si="183"/>
        <v>35.58472923152587</v>
      </c>
      <c r="F397" s="357">
        <f t="shared" ca="1" si="184"/>
        <v>37.231328502168672</v>
      </c>
      <c r="G397" s="359">
        <f t="shared" ca="1" si="185"/>
        <v>60.33437629473918</v>
      </c>
      <c r="H397" s="360">
        <f t="shared" ca="1" si="186"/>
        <v>250.03013407298343</v>
      </c>
      <c r="I397" s="357">
        <f t="shared" ca="1" si="187"/>
        <v>257.20673573495162</v>
      </c>
      <c r="J397" s="359">
        <f t="shared" ca="1" si="188"/>
        <v>124.75985268371542</v>
      </c>
      <c r="K397" s="360">
        <f t="shared" ca="1" si="189"/>
        <v>554.24083755067988</v>
      </c>
      <c r="L397" s="357">
        <f t="shared" ca="1" si="174"/>
        <v>568.10908006345176</v>
      </c>
      <c r="M397" s="359">
        <f t="shared" ca="1" si="190"/>
        <v>1.3340145554989491</v>
      </c>
      <c r="N397" s="357">
        <f t="shared" ca="1" si="191"/>
        <v>76.433403839110312</v>
      </c>
      <c r="O397" s="343"/>
      <c r="P397" s="363">
        <f t="shared" ca="1" si="192"/>
        <v>13</v>
      </c>
      <c r="Q397" s="357">
        <f t="shared" ca="1" si="193"/>
        <v>634.4500000000055</v>
      </c>
      <c r="R397" s="359">
        <f t="shared" ca="1" si="194"/>
        <v>0.31781647291536036</v>
      </c>
      <c r="S397" s="360">
        <f t="shared" ca="1" si="195"/>
        <v>9.8800616841513715</v>
      </c>
      <c r="T397" s="357">
        <f t="shared" ca="1" si="175"/>
        <v>96.923405121524965</v>
      </c>
      <c r="U397" s="364">
        <f t="shared" ca="1" si="176"/>
        <v>0</v>
      </c>
      <c r="V397" s="359">
        <f t="shared" ca="1" si="177"/>
        <v>1.15893625856916</v>
      </c>
      <c r="W397" s="357">
        <f t="shared" ca="1" si="178"/>
        <v>173.54169851750237</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554.24083755067988</v>
      </c>
      <c r="AF397" s="344"/>
      <c r="AG397" s="359">
        <f t="shared" ca="1" si="201"/>
        <v>37.160197727097696</v>
      </c>
      <c r="AH397" s="357">
        <f t="shared" ca="1" si="202"/>
        <v>46.696684138800855</v>
      </c>
    </row>
    <row r="398" spans="1:34" x14ac:dyDescent="0.25">
      <c r="A398" s="402">
        <f t="shared" ca="1" si="180"/>
        <v>0.01</v>
      </c>
      <c r="B398" s="357">
        <f t="shared" ca="1" si="181"/>
        <v>3.93999999999996</v>
      </c>
      <c r="C398" s="342"/>
      <c r="D398" s="359">
        <f t="shared" ca="1" si="182"/>
        <v>10.913762980767611</v>
      </c>
      <c r="E398" s="360">
        <f t="shared" ca="1" si="183"/>
        <v>35.417443936633909</v>
      </c>
      <c r="F398" s="357">
        <f t="shared" ca="1" si="184"/>
        <v>37.060835897278132</v>
      </c>
      <c r="G398" s="359">
        <f t="shared" ca="1" si="185"/>
        <v>60.443513924546856</v>
      </c>
      <c r="H398" s="360">
        <f t="shared" ca="1" si="186"/>
        <v>250.38430851234978</v>
      </c>
      <c r="I398" s="357">
        <f t="shared" ca="1" si="187"/>
        <v>257.57663000504226</v>
      </c>
      <c r="J398" s="359">
        <f t="shared" ca="1" si="188"/>
        <v>125.36374213481186</v>
      </c>
      <c r="K398" s="360">
        <f t="shared" ca="1" si="189"/>
        <v>556.74290976360658</v>
      </c>
      <c r="L398" s="357">
        <f t="shared" ca="1" si="174"/>
        <v>570.68269240804125</v>
      </c>
      <c r="M398" s="359">
        <f t="shared" ca="1" si="190"/>
        <v>1.3339252156855577</v>
      </c>
      <c r="N398" s="357">
        <f t="shared" ca="1" si="191"/>
        <v>76.428285044860488</v>
      </c>
      <c r="O398" s="343"/>
      <c r="P398" s="363">
        <f t="shared" ca="1" si="192"/>
        <v>13</v>
      </c>
      <c r="Q398" s="357">
        <f t="shared" ca="1" si="193"/>
        <v>633.07000000000551</v>
      </c>
      <c r="R398" s="359">
        <f t="shared" ca="1" si="194"/>
        <v>0.31712518639534587</v>
      </c>
      <c r="S398" s="360">
        <f t="shared" ca="1" si="195"/>
        <v>9.8768904322874178</v>
      </c>
      <c r="T398" s="357">
        <f t="shared" ca="1" si="175"/>
        <v>96.892295140739577</v>
      </c>
      <c r="U398" s="364">
        <f t="shared" ca="1" si="176"/>
        <v>0</v>
      </c>
      <c r="V398" s="359">
        <f t="shared" ca="1" si="177"/>
        <v>1.1586460968107464</v>
      </c>
      <c r="W398" s="357">
        <f t="shared" ca="1" si="178"/>
        <v>173.99763064126526</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556.74290976360658</v>
      </c>
      <c r="AF398" s="344"/>
      <c r="AG398" s="359">
        <f t="shared" ca="1" si="201"/>
        <v>36.989324215350791</v>
      </c>
      <c r="AH398" s="357">
        <f t="shared" ca="1" si="202"/>
        <v>46.525604858418951</v>
      </c>
    </row>
    <row r="399" spans="1:34" x14ac:dyDescent="0.25">
      <c r="A399" s="402">
        <f t="shared" ca="1" si="180"/>
        <v>0.01</v>
      </c>
      <c r="B399" s="357">
        <f t="shared" ca="1" si="181"/>
        <v>3.9499999999999598</v>
      </c>
      <c r="C399" s="342"/>
      <c r="D399" s="359">
        <f t="shared" ca="1" si="182"/>
        <v>10.877669120665557</v>
      </c>
      <c r="E399" s="360">
        <f t="shared" ca="1" si="183"/>
        <v>35.250213812253207</v>
      </c>
      <c r="F399" s="357">
        <f t="shared" ca="1" si="184"/>
        <v>36.890395217566422</v>
      </c>
      <c r="G399" s="359">
        <f t="shared" ca="1" si="185"/>
        <v>60.552290615753513</v>
      </c>
      <c r="H399" s="360">
        <f t="shared" ca="1" si="186"/>
        <v>250.73681065047231</v>
      </c>
      <c r="I399" s="357">
        <f t="shared" ca="1" si="187"/>
        <v>257.9448160246402</v>
      </c>
      <c r="J399" s="359">
        <f t="shared" ca="1" si="188"/>
        <v>125.96872115751336</v>
      </c>
      <c r="K399" s="360">
        <f t="shared" ca="1" si="189"/>
        <v>559.24851535942071</v>
      </c>
      <c r="L399" s="357">
        <f t="shared" ca="1" si="174"/>
        <v>573.25999393100471</v>
      </c>
      <c r="M399" s="359">
        <f t="shared" ca="1" si="190"/>
        <v>1.3338359703655049</v>
      </c>
      <c r="N399" s="357">
        <f t="shared" ca="1" si="191"/>
        <v>76.423171664680183</v>
      </c>
      <c r="O399" s="343"/>
      <c r="P399" s="363">
        <f t="shared" ca="1" si="192"/>
        <v>13</v>
      </c>
      <c r="Q399" s="357">
        <f t="shared" ca="1" si="193"/>
        <v>631.69000000000551</v>
      </c>
      <c r="R399" s="359">
        <f t="shared" ca="1" si="194"/>
        <v>0.31643389987533138</v>
      </c>
      <c r="S399" s="360">
        <f t="shared" ca="1" si="195"/>
        <v>9.8737260932886652</v>
      </c>
      <c r="T399" s="357">
        <f t="shared" ca="1" si="175"/>
        <v>96.861252975161804</v>
      </c>
      <c r="U399" s="364">
        <f t="shared" ca="1" si="176"/>
        <v>0</v>
      </c>
      <c r="V399" s="359">
        <f t="shared" ca="1" si="177"/>
        <v>1.1583555960663174</v>
      </c>
      <c r="W399" s="357">
        <f t="shared" ca="1" si="178"/>
        <v>174.45166843040286</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559.24851535942071</v>
      </c>
      <c r="AF399" s="344"/>
      <c r="AG399" s="359">
        <f t="shared" ca="1" si="201"/>
        <v>36.818499236787957</v>
      </c>
      <c r="AH399" s="357">
        <f t="shared" ca="1" si="202"/>
        <v>46.354574254378129</v>
      </c>
    </row>
    <row r="400" spans="1:34" x14ac:dyDescent="0.25">
      <c r="A400" s="402">
        <f t="shared" ca="1" si="180"/>
        <v>0.01</v>
      </c>
      <c r="B400" s="357">
        <f t="shared" ca="1" si="181"/>
        <v>3.9599999999999596</v>
      </c>
      <c r="C400" s="342"/>
      <c r="D400" s="359">
        <f t="shared" ca="1" si="182"/>
        <v>10.841552942475117</v>
      </c>
      <c r="E400" s="360">
        <f t="shared" ca="1" si="183"/>
        <v>35.08304004276976</v>
      </c>
      <c r="F400" s="357">
        <f t="shared" ca="1" si="184"/>
        <v>36.720007745738251</v>
      </c>
      <c r="G400" s="359">
        <f t="shared" ca="1" si="185"/>
        <v>60.660706145178267</v>
      </c>
      <c r="H400" s="360">
        <f t="shared" ca="1" si="186"/>
        <v>251.0876410509</v>
      </c>
      <c r="I400" s="357">
        <f t="shared" ca="1" si="187"/>
        <v>258.31129429147552</v>
      </c>
      <c r="J400" s="359">
        <f t="shared" ca="1" si="188"/>
        <v>126.57478614131801</v>
      </c>
      <c r="K400" s="360">
        <f t="shared" ca="1" si="189"/>
        <v>561.75763761792757</v>
      </c>
      <c r="L400" s="357">
        <f t="shared" ca="1" si="174"/>
        <v>575.8409675498915</v>
      </c>
      <c r="M400" s="359">
        <f t="shared" ca="1" si="190"/>
        <v>1.3337468187156161</v>
      </c>
      <c r="N400" s="357">
        <f t="shared" ca="1" si="191"/>
        <v>76.418063651404921</v>
      </c>
      <c r="O400" s="343"/>
      <c r="P400" s="363">
        <f t="shared" ca="1" si="192"/>
        <v>13</v>
      </c>
      <c r="Q400" s="357">
        <f t="shared" ca="1" si="193"/>
        <v>630.31000000000563</v>
      </c>
      <c r="R400" s="359">
        <f t="shared" ca="1" si="194"/>
        <v>0.31574261335531695</v>
      </c>
      <c r="S400" s="360">
        <f t="shared" ca="1" si="195"/>
        <v>9.8705686671551121</v>
      </c>
      <c r="T400" s="357">
        <f t="shared" ca="1" si="175"/>
        <v>96.83027862479166</v>
      </c>
      <c r="U400" s="364">
        <f t="shared" ca="1" si="176"/>
        <v>0</v>
      </c>
      <c r="V400" s="359">
        <f t="shared" ca="1" si="177"/>
        <v>1.1580647585473942</v>
      </c>
      <c r="W400" s="357">
        <f t="shared" ca="1" si="178"/>
        <v>174.90380376270724</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561.75763761792757</v>
      </c>
      <c r="AF400" s="344"/>
      <c r="AG400" s="359">
        <f t="shared" ca="1" si="201"/>
        <v>36.647724030409371</v>
      </c>
      <c r="AH400" s="357">
        <f t="shared" ca="1" si="202"/>
        <v>46.183593564016</v>
      </c>
    </row>
    <row r="401" spans="1:34" x14ac:dyDescent="0.25">
      <c r="A401" s="402">
        <f t="shared" ca="1" si="180"/>
        <v>0.01</v>
      </c>
      <c r="B401" s="357">
        <f t="shared" ca="1" si="181"/>
        <v>3.9699999999999593</v>
      </c>
      <c r="C401" s="342"/>
      <c r="D401" s="359">
        <f t="shared" ca="1" si="182"/>
        <v>10.805414833263841</v>
      </c>
      <c r="E401" s="360">
        <f t="shared" ca="1" si="183"/>
        <v>34.915923805888255</v>
      </c>
      <c r="F401" s="357">
        <f t="shared" ca="1" si="184"/>
        <v>36.549674758300007</v>
      </c>
      <c r="G401" s="359">
        <f t="shared" ca="1" si="185"/>
        <v>60.768760293510908</v>
      </c>
      <c r="H401" s="360">
        <f t="shared" ca="1" si="186"/>
        <v>251.43680028895889</v>
      </c>
      <c r="I401" s="357">
        <f t="shared" ca="1" si="187"/>
        <v>258.67606531559892</v>
      </c>
      <c r="J401" s="359">
        <f t="shared" ca="1" si="188"/>
        <v>127.18193347351146</v>
      </c>
      <c r="K401" s="360">
        <f t="shared" ca="1" si="189"/>
        <v>564.27025982462692</v>
      </c>
      <c r="L401" s="357">
        <f t="shared" ca="1" si="174"/>
        <v>578.42559618728205</v>
      </c>
      <c r="M401" s="359">
        <f t="shared" ca="1" si="190"/>
        <v>1.3336577599179407</v>
      </c>
      <c r="N401" s="357">
        <f t="shared" ca="1" si="191"/>
        <v>76.412960958169606</v>
      </c>
      <c r="O401" s="343"/>
      <c r="P401" s="363">
        <f t="shared" ca="1" si="192"/>
        <v>13</v>
      </c>
      <c r="Q401" s="357">
        <f t="shared" ca="1" si="193"/>
        <v>628.93000000000563</v>
      </c>
      <c r="R401" s="359">
        <f t="shared" ca="1" si="194"/>
        <v>0.31505132683530246</v>
      </c>
      <c r="S401" s="360">
        <f t="shared" ca="1" si="195"/>
        <v>9.8674181538867582</v>
      </c>
      <c r="T401" s="357">
        <f t="shared" ca="1" si="175"/>
        <v>96.799372089629102</v>
      </c>
      <c r="U401" s="364">
        <f t="shared" ca="1" si="176"/>
        <v>0</v>
      </c>
      <c r="V401" s="359">
        <f t="shared" ca="1" si="177"/>
        <v>1.1577735864631591</v>
      </c>
      <c r="W401" s="357">
        <f t="shared" ca="1" si="178"/>
        <v>175.35402859785447</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564.27025982462692</v>
      </c>
      <c r="AF401" s="344"/>
      <c r="AG401" s="359">
        <f t="shared" ca="1" si="201"/>
        <v>36.476999828271779</v>
      </c>
      <c r="AH401" s="357">
        <f t="shared" ca="1" si="202"/>
        <v>46.012664017735815</v>
      </c>
    </row>
    <row r="402" spans="1:34" x14ac:dyDescent="0.25">
      <c r="A402" s="402">
        <f t="shared" ca="1" si="180"/>
        <v>0.01</v>
      </c>
      <c r="B402" s="357">
        <f t="shared" ca="1" si="181"/>
        <v>3.9799999999999591</v>
      </c>
      <c r="C402" s="342"/>
      <c r="D402" s="359">
        <f t="shared" ca="1" si="182"/>
        <v>10.769255178079773</v>
      </c>
      <c r="E402" s="360">
        <f t="shared" ca="1" si="183"/>
        <v>34.748866272623737</v>
      </c>
      <c r="F402" s="357">
        <f t="shared" ca="1" si="184"/>
        <v>36.379397525567761</v>
      </c>
      <c r="G402" s="359">
        <f t="shared" ca="1" si="185"/>
        <v>60.876452845291709</v>
      </c>
      <c r="H402" s="360">
        <f t="shared" ca="1" si="186"/>
        <v>251.78428895168514</v>
      </c>
      <c r="I402" s="357">
        <f t="shared" ca="1" si="187"/>
        <v>259.03912961931195</v>
      </c>
      <c r="J402" s="359">
        <f t="shared" ca="1" si="188"/>
        <v>127.79015953920548</v>
      </c>
      <c r="K402" s="360">
        <f t="shared" ca="1" si="189"/>
        <v>566.78636527083017</v>
      </c>
      <c r="L402" s="357">
        <f t="shared" ca="1" si="174"/>
        <v>581.01386277091058</v>
      </c>
      <c r="M402" s="359">
        <f t="shared" ca="1" si="190"/>
        <v>1.3335687931596956</v>
      </c>
      <c r="N402" s="357">
        <f t="shared" ca="1" si="191"/>
        <v>76.407863538405209</v>
      </c>
      <c r="O402" s="343"/>
      <c r="P402" s="363">
        <f t="shared" ca="1" si="192"/>
        <v>13</v>
      </c>
      <c r="Q402" s="357">
        <f t="shared" ca="1" si="193"/>
        <v>627.55000000000564</v>
      </c>
      <c r="R402" s="359">
        <f t="shared" ca="1" si="194"/>
        <v>0.31436004031528797</v>
      </c>
      <c r="S402" s="360">
        <f t="shared" ca="1" si="195"/>
        <v>9.8642745534836056</v>
      </c>
      <c r="T402" s="357">
        <f t="shared" ca="1" si="175"/>
        <v>96.768533369674174</v>
      </c>
      <c r="U402" s="364">
        <f t="shared" ca="1" si="176"/>
        <v>0</v>
      </c>
      <c r="V402" s="359">
        <f t="shared" ca="1" si="177"/>
        <v>1.1574820820204381</v>
      </c>
      <c r="W402" s="357">
        <f t="shared" ca="1" si="178"/>
        <v>175.80233497728739</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566.78636527083017</v>
      </c>
      <c r="AF402" s="344"/>
      <c r="AG402" s="359">
        <f t="shared" ca="1" si="201"/>
        <v>36.306327855480475</v>
      </c>
      <c r="AH402" s="357">
        <f t="shared" ca="1" si="202"/>
        <v>45.84178683899836</v>
      </c>
    </row>
    <row r="403" spans="1:34" x14ac:dyDescent="0.25">
      <c r="A403" s="402">
        <f t="shared" ca="1" si="180"/>
        <v>0.01</v>
      </c>
      <c r="B403" s="357">
        <f t="shared" ca="1" si="181"/>
        <v>3.9899999999999589</v>
      </c>
      <c r="C403" s="342"/>
      <c r="D403" s="359">
        <f t="shared" ca="1" si="182"/>
        <v>10.73307435995285</v>
      </c>
      <c r="E403" s="360">
        <f t="shared" ca="1" si="183"/>
        <v>34.581868607293558</v>
      </c>
      <c r="F403" s="357">
        <f t="shared" ca="1" si="184"/>
        <v>36.209177311676008</v>
      </c>
      <c r="G403" s="359">
        <f t="shared" ca="1" si="185"/>
        <v>60.983783588891235</v>
      </c>
      <c r="H403" s="360">
        <f t="shared" ca="1" si="186"/>
        <v>252.13010763775807</v>
      </c>
      <c r="I403" s="357">
        <f t="shared" ca="1" si="187"/>
        <v>259.40048773709771</v>
      </c>
      <c r="J403" s="359">
        <f t="shared" ca="1" si="188"/>
        <v>128.39946072137639</v>
      </c>
      <c r="K403" s="360">
        <f t="shared" ca="1" si="189"/>
        <v>569.30593725377742</v>
      </c>
      <c r="L403" s="357">
        <f t="shared" ca="1" si="174"/>
        <v>583.60575023378772</v>
      </c>
      <c r="M403" s="359">
        <f t="shared" ca="1" si="190"/>
        <v>1.3334799176332095</v>
      </c>
      <c r="N403" s="357">
        <f t="shared" ca="1" si="191"/>
        <v>76.402771345835546</v>
      </c>
      <c r="O403" s="343"/>
      <c r="P403" s="363">
        <f t="shared" ca="1" si="192"/>
        <v>13</v>
      </c>
      <c r="Q403" s="357">
        <f t="shared" ca="1" si="193"/>
        <v>626.17000000000564</v>
      </c>
      <c r="R403" s="359">
        <f t="shared" ca="1" si="194"/>
        <v>0.31366875379527348</v>
      </c>
      <c r="S403" s="360">
        <f t="shared" ca="1" si="195"/>
        <v>9.8611378659456523</v>
      </c>
      <c r="T403" s="357">
        <f t="shared" ca="1" si="175"/>
        <v>96.73776246492686</v>
      </c>
      <c r="U403" s="364">
        <f t="shared" ca="1" si="176"/>
        <v>0</v>
      </c>
      <c r="V403" s="359">
        <f t="shared" ca="1" si="177"/>
        <v>1.1571902474236824</v>
      </c>
      <c r="W403" s="357">
        <f t="shared" ca="1" si="178"/>
        <v>176.24871502409582</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569.30593725377742</v>
      </c>
      <c r="AF403" s="344"/>
      <c r="AG403" s="359">
        <f t="shared" ca="1" si="201"/>
        <v>36.135709330181598</v>
      </c>
      <c r="AH403" s="357">
        <f t="shared" ca="1" si="202"/>
        <v>45.670963244314137</v>
      </c>
    </row>
    <row r="404" spans="1:34" x14ac:dyDescent="0.25">
      <c r="A404" s="402">
        <f t="shared" ca="1" si="180"/>
        <v>0.01</v>
      </c>
      <c r="B404" s="357">
        <f t="shared" ca="1" si="181"/>
        <v>3.9999999999999587</v>
      </c>
      <c r="C404" s="342"/>
      <c r="D404" s="359">
        <f t="shared" ca="1" si="182"/>
        <v>10.696872759896284</v>
      </c>
      <c r="E404" s="360">
        <f t="shared" ca="1" si="183"/>
        <v>34.41493196750973</v>
      </c>
      <c r="F404" s="357">
        <f t="shared" ca="1" si="184"/>
        <v>36.039015374587223</v>
      </c>
      <c r="G404" s="359">
        <f t="shared" ca="1" si="185"/>
        <v>61.090752316490196</v>
      </c>
      <c r="H404" s="360">
        <f t="shared" ca="1" si="186"/>
        <v>252.47425695743317</v>
      </c>
      <c r="I404" s="357">
        <f t="shared" ca="1" si="187"/>
        <v>259.76014021555108</v>
      </c>
      <c r="J404" s="359">
        <f t="shared" ca="1" si="188"/>
        <v>129.00983340090329</v>
      </c>
      <c r="K404" s="360">
        <f t="shared" ca="1" si="189"/>
        <v>571.82895907675334</v>
      </c>
      <c r="L404" s="357">
        <f t="shared" ca="1" si="174"/>
        <v>586.20124151432162</v>
      </c>
      <c r="M404" s="359">
        <f t="shared" ca="1" si="190"/>
        <v>1.3333911325358685</v>
      </c>
      <c r="N404" s="357">
        <f t="shared" ca="1" si="191"/>
        <v>76.397684334474249</v>
      </c>
      <c r="O404" s="343"/>
      <c r="P404" s="363">
        <f t="shared" ca="1" si="192"/>
        <v>13</v>
      </c>
      <c r="Q404" s="357">
        <f t="shared" ca="1" si="193"/>
        <v>624.79000000000565</v>
      </c>
      <c r="R404" s="359">
        <f t="shared" ca="1" si="194"/>
        <v>0.31297746727525899</v>
      </c>
      <c r="S404" s="360">
        <f t="shared" ca="1" si="195"/>
        <v>9.8580080912729002</v>
      </c>
      <c r="T404" s="357">
        <f t="shared" ca="1" si="175"/>
        <v>96.707059375387161</v>
      </c>
      <c r="U404" s="364">
        <f t="shared" ca="1" si="176"/>
        <v>0</v>
      </c>
      <c r="V404" s="359">
        <f t="shared" ca="1" si="177"/>
        <v>1.1568980848749524</v>
      </c>
      <c r="W404" s="357">
        <f t="shared" ca="1" si="178"/>
        <v>176.69316094289366</v>
      </c>
      <c r="X404" s="343"/>
      <c r="Y404" s="367" t="str">
        <f t="shared" ca="1" si="196"/>
        <v/>
      </c>
      <c r="Z404" s="368" t="str">
        <f t="shared" ca="1" si="197"/>
        <v/>
      </c>
      <c r="AA404" s="369" t="str">
        <f t="shared" ca="1" si="198"/>
        <v/>
      </c>
      <c r="AB404" s="344"/>
      <c r="AC404" s="363">
        <f t="shared" ca="1" si="199"/>
        <v>3.9999999999999587</v>
      </c>
      <c r="AD404" s="376">
        <f t="shared" ca="1" si="200"/>
        <v>129.00983340090329</v>
      </c>
      <c r="AE404" s="377">
        <f t="shared" ca="1" si="179"/>
        <v>571.82895907675334</v>
      </c>
      <c r="AF404" s="344"/>
      <c r="AG404" s="359">
        <f t="shared" ca="1" si="201"/>
        <v>35.965145463554755</v>
      </c>
      <c r="AH404" s="357">
        <f t="shared" ca="1" si="202"/>
        <v>45.500194443235905</v>
      </c>
    </row>
    <row r="405" spans="1:34" x14ac:dyDescent="0.25">
      <c r="A405" s="402">
        <f t="shared" ca="1" si="180"/>
        <v>0.01</v>
      </c>
      <c r="B405" s="357">
        <f t="shared" ca="1" si="181"/>
        <v>4.0099999999999589</v>
      </c>
      <c r="C405" s="342"/>
      <c r="D405" s="359">
        <f t="shared" ca="1" si="182"/>
        <v>10.649909319279599</v>
      </c>
      <c r="E405" s="360">
        <f t="shared" ca="1" si="183"/>
        <v>34.203665572806592</v>
      </c>
      <c r="F405" s="357">
        <f t="shared" ca="1" si="184"/>
        <v>35.823334673439788</v>
      </c>
      <c r="G405" s="359">
        <f t="shared" ca="1" si="185"/>
        <v>61.197251409682991</v>
      </c>
      <c r="H405" s="360">
        <f t="shared" ca="1" si="186"/>
        <v>252.81629361316124</v>
      </c>
      <c r="I405" s="357">
        <f t="shared" ca="1" si="187"/>
        <v>260.11763088340649</v>
      </c>
      <c r="J405" s="359">
        <f t="shared" ca="1" si="188"/>
        <v>129.62127341953416</v>
      </c>
      <c r="K405" s="360">
        <f t="shared" ca="1" si="189"/>
        <v>574.35541182960628</v>
      </c>
      <c r="L405" s="357">
        <f t="shared" ca="1" si="174"/>
        <v>588.80031727306186</v>
      </c>
      <c r="M405" s="359">
        <f t="shared" ca="1" si="190"/>
        <v>1.333302436914324</v>
      </c>
      <c r="N405" s="357">
        <f t="shared" ca="1" si="191"/>
        <v>76.392602449698458</v>
      </c>
      <c r="O405" s="343"/>
      <c r="P405" s="363">
        <f t="shared" ca="1" si="192"/>
        <v>14</v>
      </c>
      <c r="Q405" s="357">
        <f t="shared" ca="1" si="193"/>
        <v>622.96000000000936</v>
      </c>
      <c r="R405" s="359">
        <f t="shared" ca="1" si="194"/>
        <v>0.31206076123785031</v>
      </c>
      <c r="S405" s="360">
        <f t="shared" ca="1" si="195"/>
        <v>9.8548874836605211</v>
      </c>
      <c r="T405" s="357">
        <f t="shared" ca="1" si="175"/>
        <v>96.676446214709713</v>
      </c>
      <c r="U405" s="364">
        <f t="shared" ca="1" si="176"/>
        <v>0</v>
      </c>
      <c r="V405" s="359">
        <f t="shared" ca="1" si="177"/>
        <v>1.1566055968308269</v>
      </c>
      <c r="W405" s="357">
        <f t="shared" ca="1" si="178"/>
        <v>177.13504301015004</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574.35541182960628</v>
      </c>
      <c r="AF405" s="344"/>
      <c r="AG405" s="359">
        <f t="shared" ca="1" si="201"/>
        <v>35.748964469399908</v>
      </c>
      <c r="AH405" s="357">
        <f t="shared" ca="1" si="202"/>
        <v>45.283808647945449</v>
      </c>
    </row>
    <row r="406" spans="1:34" x14ac:dyDescent="0.25">
      <c r="A406" s="402">
        <f t="shared" ca="1" si="180"/>
        <v>0.01</v>
      </c>
      <c r="B406" s="357">
        <f t="shared" ca="1" si="181"/>
        <v>4.0199999999999587</v>
      </c>
      <c r="C406" s="342"/>
      <c r="D406" s="359">
        <f t="shared" ca="1" si="182"/>
        <v>10.592174886949214</v>
      </c>
      <c r="E406" s="360">
        <f t="shared" ca="1" si="183"/>
        <v>33.948082831105665</v>
      </c>
      <c r="F406" s="357">
        <f t="shared" ca="1" si="184"/>
        <v>35.562149776740561</v>
      </c>
      <c r="G406" s="359">
        <f t="shared" ca="1" si="185"/>
        <v>61.303173158552482</v>
      </c>
      <c r="H406" s="360">
        <f t="shared" ca="1" si="186"/>
        <v>253.15577444147229</v>
      </c>
      <c r="I406" s="357">
        <f t="shared" ca="1" si="187"/>
        <v>260.47250367815997</v>
      </c>
      <c r="J406" s="359">
        <f t="shared" ca="1" si="188"/>
        <v>130.23377554237533</v>
      </c>
      <c r="K406" s="360">
        <f t="shared" ca="1" si="189"/>
        <v>576.8852721698795</v>
      </c>
      <c r="L406" s="357">
        <f t="shared" ca="1" si="174"/>
        <v>591.40295360992047</v>
      </c>
      <c r="M406" s="359">
        <f t="shared" ca="1" si="190"/>
        <v>1.3332138296658869</v>
      </c>
      <c r="N406" s="357">
        <f t="shared" ca="1" si="191"/>
        <v>76.387525628328746</v>
      </c>
      <c r="O406" s="343"/>
      <c r="P406" s="363">
        <f t="shared" ca="1" si="192"/>
        <v>14</v>
      </c>
      <c r="Q406" s="357">
        <f t="shared" ca="1" si="193"/>
        <v>620.68000000000939</v>
      </c>
      <c r="R406" s="359">
        <f t="shared" ca="1" si="194"/>
        <v>0.31091863568304379</v>
      </c>
      <c r="S406" s="360">
        <f t="shared" ca="1" si="195"/>
        <v>9.8517782973036905</v>
      </c>
      <c r="T406" s="357">
        <f t="shared" ca="1" si="175"/>
        <v>96.645945096549212</v>
      </c>
      <c r="U406" s="364">
        <f t="shared" ca="1" si="176"/>
        <v>0</v>
      </c>
      <c r="V406" s="359">
        <f t="shared" ca="1" si="177"/>
        <v>1.156312786258872</v>
      </c>
      <c r="W406" s="357">
        <f t="shared" ca="1" si="178"/>
        <v>177.57372902449072</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576.8852721698795</v>
      </c>
      <c r="AF406" s="344"/>
      <c r="AG406" s="359">
        <f t="shared" ca="1" si="201"/>
        <v>35.487177223685642</v>
      </c>
      <c r="AH406" s="357">
        <f t="shared" ca="1" si="202"/>
        <v>45.021816732442311</v>
      </c>
    </row>
    <row r="407" spans="1:34" x14ac:dyDescent="0.25">
      <c r="A407" s="402">
        <f t="shared" ca="1" si="180"/>
        <v>0.01</v>
      </c>
      <c r="B407" s="357">
        <f t="shared" ca="1" si="181"/>
        <v>4.0299999999999585</v>
      </c>
      <c r="C407" s="342"/>
      <c r="D407" s="359">
        <f t="shared" ca="1" si="182"/>
        <v>10.534416583764958</v>
      </c>
      <c r="E407" s="360">
        <f t="shared" ca="1" si="183"/>
        <v>33.692615788821534</v>
      </c>
      <c r="F407" s="357">
        <f t="shared" ca="1" si="184"/>
        <v>35.30108059894836</v>
      </c>
      <c r="G407" s="359">
        <f t="shared" ca="1" si="185"/>
        <v>61.408517324390132</v>
      </c>
      <c r="H407" s="360">
        <f t="shared" ca="1" si="186"/>
        <v>253.49270059936052</v>
      </c>
      <c r="I407" s="357">
        <f t="shared" ca="1" si="187"/>
        <v>260.82475967042882</v>
      </c>
      <c r="J407" s="359">
        <f t="shared" ca="1" si="188"/>
        <v>130.84733399479003</v>
      </c>
      <c r="K407" s="360">
        <f t="shared" ca="1" si="189"/>
        <v>579.41851454508367</v>
      </c>
      <c r="L407" s="357">
        <f t="shared" ca="1" si="174"/>
        <v>594.00912435010241</v>
      </c>
      <c r="M407" s="359">
        <f t="shared" ca="1" si="190"/>
        <v>1.3331253096949891</v>
      </c>
      <c r="N407" s="357">
        <f t="shared" ca="1" si="191"/>
        <v>76.382453807593677</v>
      </c>
      <c r="O407" s="343"/>
      <c r="P407" s="363">
        <f t="shared" ca="1" si="192"/>
        <v>14</v>
      </c>
      <c r="Q407" s="357">
        <f t="shared" ca="1" si="193"/>
        <v>618.40000000000941</v>
      </c>
      <c r="R407" s="359">
        <f t="shared" ca="1" si="194"/>
        <v>0.30977651012823726</v>
      </c>
      <c r="S407" s="360">
        <f t="shared" ca="1" si="195"/>
        <v>9.8486805322024082</v>
      </c>
      <c r="T407" s="357">
        <f t="shared" ca="1" si="175"/>
        <v>96.615556020905629</v>
      </c>
      <c r="U407" s="364">
        <f t="shared" ca="1" si="176"/>
        <v>0</v>
      </c>
      <c r="V407" s="359">
        <f t="shared" ca="1" si="177"/>
        <v>1.1560196563798864</v>
      </c>
      <c r="W407" s="357">
        <f t="shared" ca="1" si="178"/>
        <v>178.00920815666817</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579.41851454508367</v>
      </c>
      <c r="AF407" s="344"/>
      <c r="AG407" s="359">
        <f t="shared" ca="1" si="201"/>
        <v>35.225497038543224</v>
      </c>
      <c r="AH407" s="357">
        <f t="shared" ca="1" si="202"/>
        <v>44.759932006540481</v>
      </c>
    </row>
    <row r="408" spans="1:34" x14ac:dyDescent="0.25">
      <c r="A408" s="402">
        <f t="shared" ca="1" si="180"/>
        <v>0.01</v>
      </c>
      <c r="B408" s="357">
        <f t="shared" ca="1" si="181"/>
        <v>4.0399999999999583</v>
      </c>
      <c r="C408" s="342"/>
      <c r="D408" s="359">
        <f t="shared" ca="1" si="182"/>
        <v>10.476635051310824</v>
      </c>
      <c r="E408" s="360">
        <f t="shared" ca="1" si="183"/>
        <v>33.437266471550096</v>
      </c>
      <c r="F408" s="357">
        <f t="shared" ca="1" si="184"/>
        <v>35.040129438799205</v>
      </c>
      <c r="G408" s="359">
        <f t="shared" ca="1" si="185"/>
        <v>61.513283674903242</v>
      </c>
      <c r="H408" s="360">
        <f t="shared" ca="1" si="186"/>
        <v>253.82707326407601</v>
      </c>
      <c r="I408" s="357">
        <f t="shared" ca="1" si="187"/>
        <v>261.17439995197793</v>
      </c>
      <c r="J408" s="359">
        <f t="shared" ca="1" si="188"/>
        <v>131.46194299978649</v>
      </c>
      <c r="K408" s="360">
        <f t="shared" ca="1" si="189"/>
        <v>581.9551134144009</v>
      </c>
      <c r="L408" s="357">
        <f t="shared" ca="1" si="174"/>
        <v>596.61880332960288</v>
      </c>
      <c r="M408" s="359">
        <f t="shared" ca="1" si="190"/>
        <v>1.333036875913086</v>
      </c>
      <c r="N408" s="357">
        <f t="shared" ca="1" si="191"/>
        <v>76.377386925124256</v>
      </c>
      <c r="O408" s="343"/>
      <c r="P408" s="363">
        <f t="shared" ca="1" si="192"/>
        <v>14</v>
      </c>
      <c r="Q408" s="357">
        <f t="shared" ca="1" si="193"/>
        <v>616.12000000000944</v>
      </c>
      <c r="R408" s="359">
        <f t="shared" ca="1" si="194"/>
        <v>0.30863438457343073</v>
      </c>
      <c r="S408" s="360">
        <f t="shared" ca="1" si="195"/>
        <v>9.8455941883566744</v>
      </c>
      <c r="T408" s="357">
        <f t="shared" ca="1" si="175"/>
        <v>96.585278987778977</v>
      </c>
      <c r="U408" s="364">
        <f t="shared" ca="1" si="176"/>
        <v>0</v>
      </c>
      <c r="V408" s="359">
        <f t="shared" ca="1" si="177"/>
        <v>1.1557262104105932</v>
      </c>
      <c r="W408" s="357">
        <f t="shared" ca="1" si="178"/>
        <v>178.4414697446071</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581.9551134144009</v>
      </c>
      <c r="AF408" s="344"/>
      <c r="AG408" s="359">
        <f t="shared" ca="1" si="201"/>
        <v>34.963926028750187</v>
      </c>
      <c r="AH408" s="357">
        <f t="shared" ca="1" si="202"/>
        <v>44.498156582712681</v>
      </c>
    </row>
    <row r="409" spans="1:34" x14ac:dyDescent="0.25">
      <c r="A409" s="402">
        <f t="shared" ca="1" si="180"/>
        <v>0.01</v>
      </c>
      <c r="B409" s="357">
        <f t="shared" ca="1" si="181"/>
        <v>4.0499999999999581</v>
      </c>
      <c r="C409" s="342"/>
      <c r="D409" s="359">
        <f t="shared" ca="1" si="182"/>
        <v>10.418830926860675</v>
      </c>
      <c r="E409" s="360">
        <f t="shared" ca="1" si="183"/>
        <v>33.182036890354546</v>
      </c>
      <c r="F409" s="357">
        <f t="shared" ca="1" si="184"/>
        <v>34.779298585154912</v>
      </c>
      <c r="G409" s="359">
        <f t="shared" ca="1" si="185"/>
        <v>61.61747198417185</v>
      </c>
      <c r="H409" s="360">
        <f t="shared" ca="1" si="186"/>
        <v>254.15889363297956</v>
      </c>
      <c r="I409" s="357">
        <f t="shared" ca="1" si="187"/>
        <v>261.52142563556896</v>
      </c>
      <c r="J409" s="359">
        <f t="shared" ca="1" si="188"/>
        <v>132.07759677808187</v>
      </c>
      <c r="K409" s="360">
        <f t="shared" ca="1" si="189"/>
        <v>584.49504324888619</v>
      </c>
      <c r="L409" s="357">
        <f t="shared" ca="1" si="174"/>
        <v>599.23196439541755</v>
      </c>
      <c r="M409" s="359">
        <f t="shared" ca="1" si="190"/>
        <v>1.3329485272385631</v>
      </c>
      <c r="N409" s="357">
        <f t="shared" ca="1" si="191"/>
        <v>76.372324918948522</v>
      </c>
      <c r="O409" s="343"/>
      <c r="P409" s="363">
        <f t="shared" ca="1" si="192"/>
        <v>14</v>
      </c>
      <c r="Q409" s="357">
        <f t="shared" ca="1" si="193"/>
        <v>613.84000000000947</v>
      </c>
      <c r="R409" s="359">
        <f t="shared" ca="1" si="194"/>
        <v>0.3074922590186242</v>
      </c>
      <c r="S409" s="360">
        <f t="shared" ca="1" si="195"/>
        <v>9.8425192657664891</v>
      </c>
      <c r="T409" s="357">
        <f t="shared" ca="1" si="175"/>
        <v>96.555113997169258</v>
      </c>
      <c r="U409" s="364">
        <f t="shared" ca="1" si="176"/>
        <v>0</v>
      </c>
      <c r="V409" s="359">
        <f t="shared" ca="1" si="177"/>
        <v>1.1554324515636136</v>
      </c>
      <c r="W409" s="357">
        <f t="shared" ca="1" si="178"/>
        <v>178.87050329300246</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584.49504324888619</v>
      </c>
      <c r="AF409" s="344"/>
      <c r="AG409" s="359">
        <f t="shared" ca="1" si="201"/>
        <v>34.702466293980642</v>
      </c>
      <c r="AH409" s="357">
        <f t="shared" ca="1" si="202"/>
        <v>44.236492558340508</v>
      </c>
    </row>
    <row r="410" spans="1:34" x14ac:dyDescent="0.25">
      <c r="A410" s="402">
        <f t="shared" ca="1" si="180"/>
        <v>0.01</v>
      </c>
      <c r="B410" s="357">
        <f t="shared" ca="1" si="181"/>
        <v>4.0599999999999579</v>
      </c>
      <c r="C410" s="342"/>
      <c r="D410" s="359">
        <f t="shared" ca="1" si="182"/>
        <v>10.361004843382483</v>
      </c>
      <c r="E410" s="360">
        <f t="shared" ca="1" si="183"/>
        <v>32.926929041757539</v>
      </c>
      <c r="F410" s="357">
        <f t="shared" ca="1" si="184"/>
        <v>34.518590317183168</v>
      </c>
      <c r="G410" s="359">
        <f t="shared" ca="1" si="185"/>
        <v>61.721082032605672</v>
      </c>
      <c r="H410" s="360">
        <f t="shared" ca="1" si="186"/>
        <v>254.48816292339714</v>
      </c>
      <c r="I410" s="357">
        <f t="shared" ca="1" si="187"/>
        <v>261.86583785480906</v>
      </c>
      <c r="J410" s="359">
        <f t="shared" ca="1" si="188"/>
        <v>132.69428954816576</v>
      </c>
      <c r="K410" s="360">
        <f t="shared" ca="1" si="189"/>
        <v>587.03827853166808</v>
      </c>
      <c r="L410" s="357">
        <f t="shared" ca="1" si="174"/>
        <v>601.8485814057525</v>
      </c>
      <c r="M410" s="359">
        <f t="shared" ca="1" si="190"/>
        <v>1.3328602625966408</v>
      </c>
      <c r="N410" s="357">
        <f t="shared" ca="1" si="191"/>
        <v>76.367267727486137</v>
      </c>
      <c r="O410" s="343"/>
      <c r="P410" s="363">
        <f t="shared" ca="1" si="192"/>
        <v>14</v>
      </c>
      <c r="Q410" s="357">
        <f t="shared" ca="1" si="193"/>
        <v>611.5600000000095</v>
      </c>
      <c r="R410" s="359">
        <f t="shared" ca="1" si="194"/>
        <v>0.30635013346381768</v>
      </c>
      <c r="S410" s="360">
        <f t="shared" ca="1" si="195"/>
        <v>9.8394557644318503</v>
      </c>
      <c r="T410" s="357">
        <f t="shared" ca="1" si="175"/>
        <v>96.525061049076456</v>
      </c>
      <c r="U410" s="364">
        <f t="shared" ca="1" si="176"/>
        <v>0</v>
      </c>
      <c r="V410" s="359">
        <f t="shared" ca="1" si="177"/>
        <v>1.1551383830474344</v>
      </c>
      <c r="W410" s="357">
        <f t="shared" ca="1" si="178"/>
        <v>179.296298472909</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587.03827853166808</v>
      </c>
      <c r="AF410" s="344"/>
      <c r="AG410" s="359">
        <f t="shared" ca="1" si="201"/>
        <v>34.441119918798258</v>
      </c>
      <c r="AH410" s="357">
        <f t="shared" ca="1" si="202"/>
        <v>43.974942015707249</v>
      </c>
    </row>
    <row r="411" spans="1:34" x14ac:dyDescent="0.25">
      <c r="A411" s="402">
        <f t="shared" ca="1" si="180"/>
        <v>0.01</v>
      </c>
      <c r="B411" s="357">
        <f t="shared" ca="1" si="181"/>
        <v>4.0699999999999577</v>
      </c>
      <c r="C411" s="342"/>
      <c r="D411" s="359">
        <f t="shared" ca="1" si="182"/>
        <v>10.303157429542853</v>
      </c>
      <c r="E411" s="360">
        <f t="shared" ca="1" si="183"/>
        <v>32.671944907734428</v>
      </c>
      <c r="F411" s="357">
        <f t="shared" ca="1" si="184"/>
        <v>34.258006904546825</v>
      </c>
      <c r="G411" s="359">
        <f t="shared" ca="1" si="185"/>
        <v>61.824113606901101</v>
      </c>
      <c r="H411" s="360">
        <f t="shared" ca="1" si="186"/>
        <v>254.81488237247447</v>
      </c>
      <c r="I411" s="357">
        <f t="shared" ca="1" si="187"/>
        <v>262.20763776399997</v>
      </c>
      <c r="J411" s="359">
        <f t="shared" ca="1" si="188"/>
        <v>133.3120155263633</v>
      </c>
      <c r="K411" s="360">
        <f t="shared" ca="1" si="189"/>
        <v>589.5847937581475</v>
      </c>
      <c r="L411" s="357">
        <f t="shared" ca="1" si="174"/>
        <v>604.46862823023218</v>
      </c>
      <c r="M411" s="359">
        <f t="shared" ca="1" si="190"/>
        <v>1.3327720809192842</v>
      </c>
      <c r="N411" s="357">
        <f t="shared" ca="1" si="191"/>
        <v>76.362215289543215</v>
      </c>
      <c r="O411" s="343"/>
      <c r="P411" s="363">
        <f t="shared" ca="1" si="192"/>
        <v>14</v>
      </c>
      <c r="Q411" s="357">
        <f t="shared" ca="1" si="193"/>
        <v>609.28000000000952</v>
      </c>
      <c r="R411" s="359">
        <f t="shared" ca="1" si="194"/>
        <v>0.30520800790901115</v>
      </c>
      <c r="S411" s="360">
        <f t="shared" ca="1" si="195"/>
        <v>9.83640368435276</v>
      </c>
      <c r="T411" s="357">
        <f t="shared" ca="1" si="175"/>
        <v>96.495120143500586</v>
      </c>
      <c r="U411" s="364">
        <f t="shared" ca="1" si="176"/>
        <v>0</v>
      </c>
      <c r="V411" s="359">
        <f t="shared" ca="1" si="177"/>
        <v>1.1548440080663809</v>
      </c>
      <c r="W411" s="357">
        <f t="shared" ca="1" si="178"/>
        <v>179.7188451213255</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589.5847937581475</v>
      </c>
      <c r="AF411" s="344"/>
      <c r="AG411" s="359">
        <f t="shared" ca="1" si="201"/>
        <v>34.179888972650375</v>
      </c>
      <c r="AH411" s="357">
        <f t="shared" ca="1" si="202"/>
        <v>43.713507021991809</v>
      </c>
    </row>
    <row r="412" spans="1:34" x14ac:dyDescent="0.25">
      <c r="A412" s="402">
        <f t="shared" ca="1" si="180"/>
        <v>0.01</v>
      </c>
      <c r="B412" s="357">
        <f t="shared" ca="1" si="181"/>
        <v>4.0799999999999574</v>
      </c>
      <c r="C412" s="342"/>
      <c r="D412" s="359">
        <f t="shared" ca="1" si="182"/>
        <v>10.245289309711437</v>
      </c>
      <c r="E412" s="360">
        <f t="shared" ca="1" si="183"/>
        <v>32.417086455707413</v>
      </c>
      <c r="F412" s="357">
        <f t="shared" ca="1" si="184"/>
        <v>33.997550607602548</v>
      </c>
      <c r="G412" s="359">
        <f t="shared" ca="1" si="185"/>
        <v>61.926566499998216</v>
      </c>
      <c r="H412" s="360">
        <f t="shared" ca="1" si="186"/>
        <v>255.13905323703153</v>
      </c>
      <c r="I412" s="357">
        <f t="shared" ca="1" si="187"/>
        <v>262.54682653798636</v>
      </c>
      <c r="J412" s="359">
        <f t="shared" ca="1" si="188"/>
        <v>133.9307689268978</v>
      </c>
      <c r="K412" s="360">
        <f t="shared" ca="1" si="189"/>
        <v>592.13456343619498</v>
      </c>
      <c r="L412" s="357">
        <f t="shared" ca="1" si="174"/>
        <v>607.09207875010463</v>
      </c>
      <c r="M412" s="359">
        <f t="shared" ca="1" si="190"/>
        <v>1.3326839811451101</v>
      </c>
      <c r="N412" s="357">
        <f t="shared" ca="1" si="191"/>
        <v>76.357167544306989</v>
      </c>
      <c r="O412" s="343"/>
      <c r="P412" s="363">
        <f t="shared" ca="1" si="192"/>
        <v>14</v>
      </c>
      <c r="Q412" s="357">
        <f t="shared" ca="1" si="193"/>
        <v>607.00000000000955</v>
      </c>
      <c r="R412" s="359">
        <f t="shared" ca="1" si="194"/>
        <v>0.30406588235420456</v>
      </c>
      <c r="S412" s="360">
        <f t="shared" ca="1" si="195"/>
        <v>9.8333630255292181</v>
      </c>
      <c r="T412" s="357">
        <f t="shared" ca="1" si="175"/>
        <v>96.465291280441633</v>
      </c>
      <c r="U412" s="364">
        <f t="shared" ca="1" si="176"/>
        <v>0</v>
      </c>
      <c r="V412" s="359">
        <f t="shared" ca="1" si="177"/>
        <v>1.15454932982059</v>
      </c>
      <c r="W412" s="357">
        <f t="shared" ca="1" si="178"/>
        <v>180.13813324077094</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592.13456343619498</v>
      </c>
      <c r="AF412" s="344"/>
      <c r="AG412" s="359">
        <f t="shared" ca="1" si="201"/>
        <v>33.918775509862996</v>
      </c>
      <c r="AH412" s="357">
        <f t="shared" ca="1" si="202"/>
        <v>43.452189629263522</v>
      </c>
    </row>
    <row r="413" spans="1:34" x14ac:dyDescent="0.25">
      <c r="A413" s="402">
        <f t="shared" ca="1" si="180"/>
        <v>0.01</v>
      </c>
      <c r="B413" s="357">
        <f t="shared" ca="1" si="181"/>
        <v>4.0899999999999572</v>
      </c>
      <c r="C413" s="342"/>
      <c r="D413" s="359">
        <f t="shared" ca="1" si="182"/>
        <v>10.187401103965566</v>
      </c>
      <c r="E413" s="360">
        <f t="shared" ca="1" si="183"/>
        <v>32.16235563854066</v>
      </c>
      <c r="F413" s="357">
        <f t="shared" ca="1" si="184"/>
        <v>33.737223677609379</v>
      </c>
      <c r="G413" s="359">
        <f t="shared" ca="1" si="185"/>
        <v>62.028440511037871</v>
      </c>
      <c r="H413" s="360">
        <f t="shared" ca="1" si="186"/>
        <v>255.46067679341695</v>
      </c>
      <c r="I413" s="357">
        <f t="shared" ca="1" si="187"/>
        <v>262.8834053720052</v>
      </c>
      <c r="J413" s="359">
        <f t="shared" ca="1" si="188"/>
        <v>134.55054396195297</v>
      </c>
      <c r="K413" s="360">
        <f t="shared" ca="1" si="189"/>
        <v>594.68756208634727</v>
      </c>
      <c r="L413" s="357">
        <f t="shared" ca="1" si="174"/>
        <v>609.71890685844789</v>
      </c>
      <c r="M413" s="359">
        <f t="shared" ca="1" si="190"/>
        <v>1.3325959622192984</v>
      </c>
      <c r="N413" s="357">
        <f t="shared" ca="1" si="191"/>
        <v>76.352124431340698</v>
      </c>
      <c r="O413" s="343"/>
      <c r="P413" s="363">
        <f t="shared" ca="1" si="192"/>
        <v>14</v>
      </c>
      <c r="Q413" s="357">
        <f t="shared" ca="1" si="193"/>
        <v>604.72000000000958</v>
      </c>
      <c r="R413" s="359">
        <f t="shared" ca="1" si="194"/>
        <v>0.30292375679939804</v>
      </c>
      <c r="S413" s="360">
        <f t="shared" ca="1" si="195"/>
        <v>9.8303337879612247</v>
      </c>
      <c r="T413" s="357">
        <f t="shared" ca="1" si="175"/>
        <v>96.435574459899613</v>
      </c>
      <c r="U413" s="364">
        <f t="shared" ca="1" si="176"/>
        <v>0</v>
      </c>
      <c r="V413" s="359">
        <f t="shared" ca="1" si="177"/>
        <v>1.1542543515059789</v>
      </c>
      <c r="W413" s="357">
        <f t="shared" ca="1" si="178"/>
        <v>180.55415299885496</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594.68756208634727</v>
      </c>
      <c r="AF413" s="344"/>
      <c r="AG413" s="359">
        <f t="shared" ca="1" si="201"/>
        <v>33.657781569636718</v>
      </c>
      <c r="AH413" s="357">
        <f t="shared" ca="1" si="202"/>
        <v>43.190991874477888</v>
      </c>
    </row>
    <row r="414" spans="1:34" x14ac:dyDescent="0.25">
      <c r="A414" s="402">
        <f t="shared" ca="1" si="180"/>
        <v>0.01</v>
      </c>
      <c r="B414" s="357">
        <f t="shared" ca="1" si="181"/>
        <v>4.099999999999957</v>
      </c>
      <c r="C414" s="342"/>
      <c r="D414" s="359">
        <f t="shared" ca="1" si="182"/>
        <v>10.129493428094863</v>
      </c>
      <c r="E414" s="360">
        <f t="shared" ca="1" si="183"/>
        <v>31.907754394536283</v>
      </c>
      <c r="F414" s="357">
        <f t="shared" ca="1" si="184"/>
        <v>33.477028356947493</v>
      </c>
      <c r="G414" s="359">
        <f t="shared" ca="1" si="185"/>
        <v>62.129735445318822</v>
      </c>
      <c r="H414" s="360">
        <f t="shared" ca="1" si="186"/>
        <v>255.77975433736231</v>
      </c>
      <c r="I414" s="357">
        <f t="shared" ca="1" si="187"/>
        <v>263.21737548153374</v>
      </c>
      <c r="J414" s="359">
        <f t="shared" ca="1" si="188"/>
        <v>135.17133484173476</v>
      </c>
      <c r="K414" s="360">
        <f t="shared" ca="1" si="189"/>
        <v>597.24376424200113</v>
      </c>
      <c r="L414" s="357">
        <f t="shared" ca="1" si="174"/>
        <v>612.34908646037138</v>
      </c>
      <c r="M414" s="359">
        <f t="shared" ca="1" si="190"/>
        <v>1.3325080230935022</v>
      </c>
      <c r="N414" s="357">
        <f t="shared" ca="1" si="191"/>
        <v>76.347085890578512</v>
      </c>
      <c r="O414" s="343"/>
      <c r="P414" s="363">
        <f t="shared" ca="1" si="192"/>
        <v>14</v>
      </c>
      <c r="Q414" s="357">
        <f t="shared" ca="1" si="193"/>
        <v>602.4400000000096</v>
      </c>
      <c r="R414" s="359">
        <f t="shared" ca="1" si="194"/>
        <v>0.30178163124459151</v>
      </c>
      <c r="S414" s="360">
        <f t="shared" ca="1" si="195"/>
        <v>9.8273159716487779</v>
      </c>
      <c r="T414" s="357">
        <f t="shared" ca="1" si="175"/>
        <v>96.40596968187451</v>
      </c>
      <c r="U414" s="364">
        <f t="shared" ca="1" si="176"/>
        <v>0</v>
      </c>
      <c r="V414" s="359">
        <f t="shared" ca="1" si="177"/>
        <v>1.1539590763142211</v>
      </c>
      <c r="W414" s="357">
        <f t="shared" ca="1" si="178"/>
        <v>180.96689472784087</v>
      </c>
      <c r="X414" s="343"/>
      <c r="Y414" s="367" t="str">
        <f t="shared" ca="1" si="196"/>
        <v/>
      </c>
      <c r="Z414" s="368" t="str">
        <f t="shared" ca="1" si="197"/>
        <v/>
      </c>
      <c r="AA414" s="369" t="str">
        <f t="shared" ca="1" si="198"/>
        <v/>
      </c>
      <c r="AB414" s="344"/>
      <c r="AC414" s="363" t="e">
        <f t="shared" ca="1" si="199"/>
        <v>#N/A</v>
      </c>
      <c r="AD414" s="376" t="e">
        <f t="shared" ca="1" si="200"/>
        <v>#N/A</v>
      </c>
      <c r="AE414" s="377">
        <f t="shared" ca="1" si="179"/>
        <v>597.24376424200113</v>
      </c>
      <c r="AF414" s="344"/>
      <c r="AG414" s="359">
        <f t="shared" ca="1" si="201"/>
        <v>33.396909176043543</v>
      </c>
      <c r="AH414" s="357">
        <f t="shared" ca="1" si="202"/>
        <v>42.929915779473276</v>
      </c>
    </row>
    <row r="415" spans="1:34" x14ac:dyDescent="0.25">
      <c r="A415" s="402">
        <f t="shared" ca="1" si="180"/>
        <v>0.01</v>
      </c>
      <c r="B415" s="357">
        <f t="shared" ca="1" si="181"/>
        <v>4.1099999999999568</v>
      </c>
      <c r="C415" s="342"/>
      <c r="D415" s="359">
        <f t="shared" ca="1" si="182"/>
        <v>10.012049659751243</v>
      </c>
      <c r="E415" s="360">
        <f t="shared" ca="1" si="183"/>
        <v>31.40826021033854</v>
      </c>
      <c r="F415" s="357">
        <f t="shared" ca="1" si="184"/>
        <v>32.965435653569941</v>
      </c>
      <c r="G415" s="359">
        <f t="shared" ca="1" si="185"/>
        <v>62.229855941916334</v>
      </c>
      <c r="H415" s="360">
        <f t="shared" ca="1" si="186"/>
        <v>256.09383693946569</v>
      </c>
      <c r="I415" s="357">
        <f t="shared" ca="1" si="187"/>
        <v>263.54621660902154</v>
      </c>
      <c r="J415" s="359">
        <f t="shared" ca="1" si="188"/>
        <v>135.79313279867094</v>
      </c>
      <c r="K415" s="360">
        <f t="shared" ca="1" si="189"/>
        <v>599.80313219838524</v>
      </c>
      <c r="L415" s="357">
        <f t="shared" ca="1" si="174"/>
        <v>614.98257886729698</v>
      </c>
      <c r="M415" s="359">
        <f t="shared" ca="1" si="190"/>
        <v>1.3324201618851523</v>
      </c>
      <c r="N415" s="357">
        <f t="shared" ca="1" si="191"/>
        <v>76.342051814157145</v>
      </c>
      <c r="O415" s="343"/>
      <c r="P415" s="363">
        <f t="shared" ca="1" si="192"/>
        <v>15</v>
      </c>
      <c r="Q415" s="357">
        <f t="shared" ca="1" si="193"/>
        <v>597.6833333333642</v>
      </c>
      <c r="R415" s="359">
        <f t="shared" ca="1" si="194"/>
        <v>0.299398863457016</v>
      </c>
      <c r="S415" s="360">
        <f t="shared" ca="1" si="195"/>
        <v>9.8243219830142081</v>
      </c>
      <c r="T415" s="357">
        <f t="shared" ca="1" si="175"/>
        <v>96.376598653369385</v>
      </c>
      <c r="U415" s="364">
        <f t="shared" ca="1" si="176"/>
        <v>0</v>
      </c>
      <c r="V415" s="359">
        <f t="shared" ca="1" si="177"/>
        <v>1.1536635088473677</v>
      </c>
      <c r="W415" s="357">
        <f t="shared" ca="1" si="178"/>
        <v>181.37287853975897</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599.80313219838524</v>
      </c>
      <c r="AF415" s="344"/>
      <c r="AG415" s="359">
        <f t="shared" ca="1" si="201"/>
        <v>32.884011025318223</v>
      </c>
      <c r="AH415" s="357">
        <f t="shared" ca="1" si="202"/>
        <v>42.416814038262025</v>
      </c>
    </row>
    <row r="416" spans="1:34" x14ac:dyDescent="0.25">
      <c r="A416" s="402">
        <f t="shared" ca="1" si="180"/>
        <v>0.01</v>
      </c>
      <c r="B416" s="357">
        <f t="shared" ca="1" si="181"/>
        <v>4.1199999999999566</v>
      </c>
      <c r="C416" s="342"/>
      <c r="D416" s="359">
        <f t="shared" ca="1" si="182"/>
        <v>9.835023084862561</v>
      </c>
      <c r="E416" s="360">
        <f t="shared" ca="1" si="183"/>
        <v>30.663961574674858</v>
      </c>
      <c r="F416" s="357">
        <f t="shared" ca="1" si="184"/>
        <v>32.202580929685055</v>
      </c>
      <c r="G416" s="359">
        <f t="shared" ca="1" si="185"/>
        <v>62.328206172764958</v>
      </c>
      <c r="H416" s="360">
        <f t="shared" ca="1" si="186"/>
        <v>256.40047655521244</v>
      </c>
      <c r="I416" s="357">
        <f t="shared" ca="1" si="187"/>
        <v>263.86740924649018</v>
      </c>
      <c r="J416" s="359">
        <f t="shared" ca="1" si="188"/>
        <v>136.41592310924435</v>
      </c>
      <c r="K416" s="360">
        <f t="shared" ca="1" si="189"/>
        <v>602.36560376585862</v>
      </c>
      <c r="L416" s="357">
        <f t="shared" ca="1" si="174"/>
        <v>617.61932019485482</v>
      </c>
      <c r="M416" s="359">
        <f t="shared" ca="1" si="190"/>
        <v>1.3323323758843728</v>
      </c>
      <c r="N416" s="357">
        <f t="shared" ca="1" si="191"/>
        <v>76.337022046812137</v>
      </c>
      <c r="O416" s="343"/>
      <c r="P416" s="363">
        <f t="shared" ca="1" si="192"/>
        <v>15</v>
      </c>
      <c r="Q416" s="357">
        <f t="shared" ca="1" si="193"/>
        <v>590.45000000003108</v>
      </c>
      <c r="R416" s="359">
        <f t="shared" ca="1" si="194"/>
        <v>0.29577545343665029</v>
      </c>
      <c r="S416" s="360">
        <f t="shared" ca="1" si="195"/>
        <v>9.8213642284798421</v>
      </c>
      <c r="T416" s="357">
        <f t="shared" ca="1" si="175"/>
        <v>96.347583081387256</v>
      </c>
      <c r="U416" s="364">
        <f t="shared" ca="1" si="176"/>
        <v>0</v>
      </c>
      <c r="V416" s="359">
        <f t="shared" ca="1" si="177"/>
        <v>1.1533676565298601</v>
      </c>
      <c r="W416" s="357">
        <f t="shared" ca="1" si="178"/>
        <v>181.76861260976315</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602.36560376585862</v>
      </c>
      <c r="AF416" s="344"/>
      <c r="AG416" s="359">
        <f t="shared" ca="1" si="201"/>
        <v>32.119162073713795</v>
      </c>
      <c r="AH416" s="357">
        <f t="shared" ca="1" si="202"/>
        <v>41.651761602938677</v>
      </c>
    </row>
    <row r="417" spans="1:34" x14ac:dyDescent="0.25">
      <c r="A417" s="402">
        <f t="shared" ca="1" si="180"/>
        <v>0.01</v>
      </c>
      <c r="B417" s="357">
        <f t="shared" ca="1" si="181"/>
        <v>4.1299999999999564</v>
      </c>
      <c r="C417" s="342"/>
      <c r="D417" s="359">
        <f t="shared" ca="1" si="182"/>
        <v>9.6579648778130558</v>
      </c>
      <c r="E417" s="360">
        <f t="shared" ca="1" si="183"/>
        <v>29.920114971716025</v>
      </c>
      <c r="F417" s="357">
        <f t="shared" ca="1" si="184"/>
        <v>31.440253903265095</v>
      </c>
      <c r="G417" s="359">
        <f t="shared" ca="1" si="185"/>
        <v>62.42478582154309</v>
      </c>
      <c r="H417" s="360">
        <f t="shared" ca="1" si="186"/>
        <v>256.69967770492957</v>
      </c>
      <c r="I417" s="357">
        <f t="shared" ca="1" si="187"/>
        <v>264.18095771398862</v>
      </c>
      <c r="J417" s="359">
        <f t="shared" ca="1" si="188"/>
        <v>137.03968806921588</v>
      </c>
      <c r="K417" s="360">
        <f t="shared" ca="1" si="189"/>
        <v>604.93110453715929</v>
      </c>
      <c r="L417" s="357">
        <f t="shared" ca="1" si="174"/>
        <v>620.25923398419116</v>
      </c>
      <c r="M417" s="359">
        <f t="shared" ca="1" si="190"/>
        <v>1.332244662398159</v>
      </c>
      <c r="N417" s="357">
        <f t="shared" ca="1" si="191"/>
        <v>76.33199643424571</v>
      </c>
      <c r="O417" s="343"/>
      <c r="P417" s="363">
        <f t="shared" ca="1" si="192"/>
        <v>15</v>
      </c>
      <c r="Q417" s="357">
        <f t="shared" ca="1" si="193"/>
        <v>583.21666666669807</v>
      </c>
      <c r="R417" s="359">
        <f t="shared" ca="1" si="194"/>
        <v>0.29215204341628465</v>
      </c>
      <c r="S417" s="360">
        <f t="shared" ca="1" si="195"/>
        <v>9.81844270804568</v>
      </c>
      <c r="T417" s="357">
        <f t="shared" ca="1" si="175"/>
        <v>96.318922965928124</v>
      </c>
      <c r="U417" s="364">
        <f t="shared" ca="1" si="176"/>
        <v>0</v>
      </c>
      <c r="V417" s="359">
        <f t="shared" ca="1" si="177"/>
        <v>1.153071528189207</v>
      </c>
      <c r="W417" s="357">
        <f t="shared" ca="1" si="178"/>
        <v>182.154073166161</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604.93110453715929</v>
      </c>
      <c r="AF417" s="344"/>
      <c r="AG417" s="359">
        <f t="shared" ca="1" si="201"/>
        <v>31.354745123979114</v>
      </c>
      <c r="AH417" s="357">
        <f t="shared" ca="1" si="202"/>
        <v>40.887141270170069</v>
      </c>
    </row>
    <row r="418" spans="1:34" x14ac:dyDescent="0.25">
      <c r="A418" s="402">
        <f t="shared" ca="1" si="180"/>
        <v>0.01</v>
      </c>
      <c r="B418" s="357">
        <f t="shared" ca="1" si="181"/>
        <v>4.1399999999999562</v>
      </c>
      <c r="C418" s="342"/>
      <c r="D418" s="359">
        <f t="shared" ca="1" si="182"/>
        <v>9.4808780904888952</v>
      </c>
      <c r="E418" s="360">
        <f t="shared" ca="1" si="183"/>
        <v>29.176731282437714</v>
      </c>
      <c r="F418" s="357">
        <f t="shared" ca="1" si="184"/>
        <v>30.678472870961031</v>
      </c>
      <c r="G418" s="359">
        <f t="shared" ca="1" si="185"/>
        <v>62.519594602447981</v>
      </c>
      <c r="H418" s="360">
        <f t="shared" ca="1" si="186"/>
        <v>256.99144501775396</v>
      </c>
      <c r="I418" s="357">
        <f t="shared" ca="1" si="187"/>
        <v>264.48686644438078</v>
      </c>
      <c r="J418" s="359">
        <f t="shared" ca="1" si="188"/>
        <v>137.66440997133583</v>
      </c>
      <c r="K418" s="360">
        <f t="shared" ca="1" si="189"/>
        <v>607.49956015077271</v>
      </c>
      <c r="L418" s="357">
        <f t="shared" ca="1" si="174"/>
        <v>622.90224382011843</v>
      </c>
      <c r="M418" s="359">
        <f t="shared" ca="1" si="190"/>
        <v>1.3321570187498681</v>
      </c>
      <c r="N418" s="357">
        <f t="shared" ca="1" si="191"/>
        <v>76.326974823097515</v>
      </c>
      <c r="O418" s="343"/>
      <c r="P418" s="363">
        <f t="shared" ca="1" si="192"/>
        <v>15</v>
      </c>
      <c r="Q418" s="357">
        <f t="shared" ca="1" si="193"/>
        <v>575.98333333336495</v>
      </c>
      <c r="R418" s="359">
        <f t="shared" ca="1" si="194"/>
        <v>0.28852863339591894</v>
      </c>
      <c r="S418" s="360">
        <f t="shared" ca="1" si="195"/>
        <v>9.8155574217117216</v>
      </c>
      <c r="T418" s="357">
        <f t="shared" ca="1" si="175"/>
        <v>96.290618306991988</v>
      </c>
      <c r="U418" s="364">
        <f t="shared" ca="1" si="176"/>
        <v>0</v>
      </c>
      <c r="V418" s="359">
        <f t="shared" ca="1" si="177"/>
        <v>1.1527751326392117</v>
      </c>
      <c r="W418" s="357">
        <f t="shared" ca="1" si="178"/>
        <v>182.52923759538081</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607.49956015077271</v>
      </c>
      <c r="AF418" s="344"/>
      <c r="AG418" s="359">
        <f t="shared" ca="1" si="201"/>
        <v>30.59077145762086</v>
      </c>
      <c r="AH418" s="357">
        <f t="shared" ca="1" si="202"/>
        <v>40.122964315410691</v>
      </c>
    </row>
    <row r="419" spans="1:34" x14ac:dyDescent="0.25">
      <c r="A419" s="402">
        <f t="shared" ca="1" si="180"/>
        <v>0.01</v>
      </c>
      <c r="B419" s="357">
        <f t="shared" ca="1" si="181"/>
        <v>4.1499999999999559</v>
      </c>
      <c r="C419" s="342"/>
      <c r="D419" s="359">
        <f t="shared" ca="1" si="182"/>
        <v>9.3037657427160969</v>
      </c>
      <c r="E419" s="360">
        <f t="shared" ca="1" si="183"/>
        <v>28.433821277652164</v>
      </c>
      <c r="F419" s="357">
        <f t="shared" ca="1" si="184"/>
        <v>29.917256716564147</v>
      </c>
      <c r="G419" s="359">
        <f t="shared" ca="1" si="185"/>
        <v>62.612632259875141</v>
      </c>
      <c r="H419" s="360">
        <f t="shared" ca="1" si="186"/>
        <v>257.27578323053046</v>
      </c>
      <c r="I419" s="357">
        <f t="shared" ca="1" si="187"/>
        <v>264.78513998220001</v>
      </c>
      <c r="J419" s="359">
        <f t="shared" ca="1" si="188"/>
        <v>138.29007110564746</v>
      </c>
      <c r="K419" s="360">
        <f t="shared" ca="1" si="189"/>
        <v>610.07089629201414</v>
      </c>
      <c r="L419" s="357">
        <f t="shared" ca="1" si="174"/>
        <v>625.54827333223966</v>
      </c>
      <c r="M419" s="359">
        <f t="shared" ca="1" si="190"/>
        <v>1.3320694422787176</v>
      </c>
      <c r="N419" s="357">
        <f t="shared" ca="1" si="191"/>
        <v>76.321957060915949</v>
      </c>
      <c r="O419" s="343"/>
      <c r="P419" s="363">
        <f t="shared" ca="1" si="192"/>
        <v>15</v>
      </c>
      <c r="Q419" s="357">
        <f t="shared" ca="1" si="193"/>
        <v>568.75000000003183</v>
      </c>
      <c r="R419" s="359">
        <f t="shared" ca="1" si="194"/>
        <v>0.28490522337555324</v>
      </c>
      <c r="S419" s="360">
        <f t="shared" ca="1" si="195"/>
        <v>9.8127083694779653</v>
      </c>
      <c r="T419" s="357">
        <f t="shared" ca="1" si="175"/>
        <v>96.262669104578848</v>
      </c>
      <c r="U419" s="364">
        <f t="shared" ca="1" si="176"/>
        <v>0</v>
      </c>
      <c r="V419" s="359">
        <f t="shared" ca="1" si="177"/>
        <v>1.1524784786798408</v>
      </c>
      <c r="W419" s="357">
        <f t="shared" ca="1" si="178"/>
        <v>182.89408443739498</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610.07089629201414</v>
      </c>
      <c r="AF419" s="344"/>
      <c r="AG419" s="359">
        <f t="shared" ca="1" si="201"/>
        <v>29.82725224161598</v>
      </c>
      <c r="AH419" s="357">
        <f t="shared" ca="1" si="202"/>
        <v>39.359241899614098</v>
      </c>
    </row>
    <row r="420" spans="1:34" x14ac:dyDescent="0.25">
      <c r="A420" s="402">
        <f t="shared" ca="1" si="180"/>
        <v>0.01</v>
      </c>
      <c r="B420" s="357">
        <f t="shared" ca="1" si="181"/>
        <v>4.1599999999999557</v>
      </c>
      <c r="C420" s="342"/>
      <c r="D420" s="359">
        <f t="shared" ca="1" si="182"/>
        <v>9.1266308222690302</v>
      </c>
      <c r="E420" s="360">
        <f t="shared" ca="1" si="183"/>
        <v>27.691395617891992</v>
      </c>
      <c r="F420" s="357">
        <f t="shared" ca="1" si="184"/>
        <v>29.156625000719799</v>
      </c>
      <c r="G420" s="359">
        <f t="shared" ca="1" si="185"/>
        <v>62.703898568097834</v>
      </c>
      <c r="H420" s="360">
        <f t="shared" ca="1" si="186"/>
        <v>257.55269718670939</v>
      </c>
      <c r="I420" s="357">
        <f t="shared" ca="1" si="187"/>
        <v>265.0757829825032</v>
      </c>
      <c r="J420" s="359">
        <f t="shared" ca="1" si="188"/>
        <v>138.91665375978732</v>
      </c>
      <c r="K420" s="360">
        <f t="shared" ca="1" si="189"/>
        <v>612.64503869410032</v>
      </c>
      <c r="L420" s="357">
        <f t="shared" ca="1" si="174"/>
        <v>628.19724619605927</v>
      </c>
      <c r="M420" s="359">
        <f t="shared" ca="1" si="190"/>
        <v>1.3319819303392908</v>
      </c>
      <c r="N420" s="357">
        <f t="shared" ca="1" si="191"/>
        <v>76.316942996129782</v>
      </c>
      <c r="O420" s="343"/>
      <c r="P420" s="363">
        <f t="shared" ca="1" si="192"/>
        <v>15</v>
      </c>
      <c r="Q420" s="357">
        <f t="shared" ca="1" si="193"/>
        <v>561.51666666669871</v>
      </c>
      <c r="R420" s="359">
        <f t="shared" ca="1" si="194"/>
        <v>0.28128181335518754</v>
      </c>
      <c r="S420" s="360">
        <f t="shared" ca="1" si="195"/>
        <v>9.8098955513444128</v>
      </c>
      <c r="T420" s="357">
        <f t="shared" ca="1" si="175"/>
        <v>96.23507535868869</v>
      </c>
      <c r="U420" s="364">
        <f t="shared" ca="1" si="176"/>
        <v>0</v>
      </c>
      <c r="V420" s="359">
        <f t="shared" ca="1" si="177"/>
        <v>1.1521815750970874</v>
      </c>
      <c r="W420" s="357">
        <f t="shared" ca="1" si="178"/>
        <v>183.248593381061</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612.64503869410032</v>
      </c>
      <c r="AF420" s="344"/>
      <c r="AG420" s="359">
        <f t="shared" ca="1" si="201"/>
        <v>29.064198528298668</v>
      </c>
      <c r="AH420" s="357">
        <f t="shared" ca="1" si="202"/>
        <v>38.595985069118782</v>
      </c>
    </row>
    <row r="421" spans="1:34" x14ac:dyDescent="0.25">
      <c r="A421" s="402">
        <f t="shared" ca="1" si="180"/>
        <v>0.01</v>
      </c>
      <c r="B421" s="357">
        <f t="shared" ca="1" si="181"/>
        <v>4.1699999999999555</v>
      </c>
      <c r="C421" s="342"/>
      <c r="D421" s="359">
        <f t="shared" ca="1" si="182"/>
        <v>8.9494762848803404</v>
      </c>
      <c r="E421" s="360">
        <f t="shared" ca="1" si="183"/>
        <v>26.949464853308669</v>
      </c>
      <c r="F421" s="357">
        <f t="shared" ca="1" si="184"/>
        <v>28.396598064792109</v>
      </c>
      <c r="G421" s="359">
        <f t="shared" ca="1" si="185"/>
        <v>62.793393330946635</v>
      </c>
      <c r="H421" s="360">
        <f t="shared" ca="1" si="186"/>
        <v>257.82219183524251</v>
      </c>
      <c r="I421" s="357">
        <f t="shared" ca="1" si="187"/>
        <v>265.3588002097228</v>
      </c>
      <c r="J421" s="359">
        <f t="shared" ca="1" si="188"/>
        <v>139.54414021928255</v>
      </c>
      <c r="K421" s="360">
        <f t="shared" ca="1" si="189"/>
        <v>615.22191313921007</v>
      </c>
      <c r="L421" s="357">
        <f t="shared" ca="1" si="174"/>
        <v>630.84908613408368</v>
      </c>
      <c r="M421" s="359">
        <f t="shared" ca="1" si="190"/>
        <v>1.3318944803010484</v>
      </c>
      <c r="N421" s="357">
        <f t="shared" ca="1" si="191"/>
        <v>76.311932478020239</v>
      </c>
      <c r="O421" s="343"/>
      <c r="P421" s="363">
        <f t="shared" ca="1" si="192"/>
        <v>15</v>
      </c>
      <c r="Q421" s="357">
        <f t="shared" ca="1" si="193"/>
        <v>554.28333333336559</v>
      </c>
      <c r="R421" s="359">
        <f t="shared" ca="1" si="194"/>
        <v>0.27765840333482183</v>
      </c>
      <c r="S421" s="360">
        <f t="shared" ca="1" si="195"/>
        <v>9.8071189673110641</v>
      </c>
      <c r="T421" s="357">
        <f t="shared" ca="1" si="175"/>
        <v>96.207837069321542</v>
      </c>
      <c r="U421" s="364">
        <f t="shared" ca="1" si="176"/>
        <v>0</v>
      </c>
      <c r="V421" s="359">
        <f t="shared" ca="1" si="177"/>
        <v>1.1518844306628406</v>
      </c>
      <c r="W421" s="357">
        <f t="shared" ca="1" si="178"/>
        <v>183.59274525938255</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615.22191313921007</v>
      </c>
      <c r="AF421" s="344"/>
      <c r="AG421" s="359">
        <f t="shared" ca="1" si="201"/>
        <v>28.301621255261928</v>
      </c>
      <c r="AH421" s="357">
        <f t="shared" ca="1" si="202"/>
        <v>37.833204755548678</v>
      </c>
    </row>
    <row r="422" spans="1:34" x14ac:dyDescent="0.25">
      <c r="A422" s="402">
        <f t="shared" ca="1" si="180"/>
        <v>0.01</v>
      </c>
      <c r="B422" s="357">
        <f t="shared" ca="1" si="181"/>
        <v>4.1799999999999553</v>
      </c>
      <c r="C422" s="342"/>
      <c r="D422" s="359">
        <f t="shared" ca="1" si="182"/>
        <v>8.7723050542523939</v>
      </c>
      <c r="E422" s="360">
        <f t="shared" ca="1" si="183"/>
        <v>26.208039423585213</v>
      </c>
      <c r="F422" s="357">
        <f t="shared" ca="1" si="184"/>
        <v>27.637197151539425</v>
      </c>
      <c r="G422" s="359">
        <f t="shared" ca="1" si="185"/>
        <v>62.881116381489157</v>
      </c>
      <c r="H422" s="360">
        <f t="shared" ca="1" si="186"/>
        <v>258.08427222947836</v>
      </c>
      <c r="I422" s="357">
        <f t="shared" ca="1" si="187"/>
        <v>265.63419653651874</v>
      </c>
      <c r="J422" s="359">
        <f t="shared" ca="1" si="188"/>
        <v>140.17251276784472</v>
      </c>
      <c r="K422" s="360">
        <f t="shared" ca="1" si="189"/>
        <v>617.80144545953362</v>
      </c>
      <c r="L422" s="357">
        <f t="shared" ca="1" si="174"/>
        <v>633.50371691691021</v>
      </c>
      <c r="M422" s="359">
        <f t="shared" ca="1" si="190"/>
        <v>1.3318070895478484</v>
      </c>
      <c r="N422" s="357">
        <f t="shared" ca="1" si="191"/>
        <v>76.306925356693412</v>
      </c>
      <c r="O422" s="343"/>
      <c r="P422" s="363">
        <f t="shared" ca="1" si="192"/>
        <v>15</v>
      </c>
      <c r="Q422" s="357">
        <f t="shared" ca="1" si="193"/>
        <v>547.05000000003247</v>
      </c>
      <c r="R422" s="359">
        <f t="shared" ca="1" si="194"/>
        <v>0.27403499331445613</v>
      </c>
      <c r="S422" s="360">
        <f t="shared" ca="1" si="195"/>
        <v>9.8043786173779193</v>
      </c>
      <c r="T422" s="357">
        <f t="shared" ca="1" si="175"/>
        <v>96.18095423647739</v>
      </c>
      <c r="U422" s="364">
        <f t="shared" ca="1" si="176"/>
        <v>0</v>
      </c>
      <c r="V422" s="359">
        <f t="shared" ca="1" si="177"/>
        <v>1.1515870541347568</v>
      </c>
      <c r="W422" s="357">
        <f t="shared" ca="1" si="178"/>
        <v>183.9265220446936</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617.80144545953362</v>
      </c>
      <c r="AF422" s="344"/>
      <c r="AG422" s="359">
        <f t="shared" ca="1" si="201"/>
        <v>27.539531245273349</v>
      </c>
      <c r="AH422" s="357">
        <f t="shared" ca="1" si="202"/>
        <v>37.070911775727893</v>
      </c>
    </row>
    <row r="423" spans="1:34" x14ac:dyDescent="0.25">
      <c r="A423" s="402">
        <f t="shared" ca="1" si="180"/>
        <v>0.01</v>
      </c>
      <c r="B423" s="357">
        <f t="shared" ca="1" si="181"/>
        <v>4.1899999999999551</v>
      </c>
      <c r="C423" s="342"/>
      <c r="D423" s="359">
        <f t="shared" ca="1" si="182"/>
        <v>8.5951200220700876</v>
      </c>
      <c r="E423" s="360">
        <f t="shared" ca="1" si="183"/>
        <v>25.467129657863147</v>
      </c>
      <c r="F423" s="357">
        <f t="shared" ca="1" si="184"/>
        <v>26.878444545847568</v>
      </c>
      <c r="G423" s="359">
        <f t="shared" ca="1" si="185"/>
        <v>62.967067581709856</v>
      </c>
      <c r="H423" s="360">
        <f t="shared" ca="1" si="186"/>
        <v>258.33894352605699</v>
      </c>
      <c r="I423" s="357">
        <f t="shared" ca="1" si="187"/>
        <v>265.90197694262991</v>
      </c>
      <c r="J423" s="359">
        <f t="shared" ca="1" si="188"/>
        <v>140.80175368766072</v>
      </c>
      <c r="K423" s="360">
        <f t="shared" ca="1" si="189"/>
        <v>620.38356153831126</v>
      </c>
      <c r="L423" s="357">
        <f t="shared" ca="1" si="174"/>
        <v>636.16106236430437</v>
      </c>
      <c r="M423" s="359">
        <f t="shared" ca="1" si="190"/>
        <v>1.3317197554774722</v>
      </c>
      <c r="N423" s="357">
        <f t="shared" ca="1" si="191"/>
        <v>76.30192148305315</v>
      </c>
      <c r="O423" s="343"/>
      <c r="P423" s="363">
        <f t="shared" ca="1" si="192"/>
        <v>15</v>
      </c>
      <c r="Q423" s="357">
        <f t="shared" ca="1" si="193"/>
        <v>539.81666666669935</v>
      </c>
      <c r="R423" s="359">
        <f t="shared" ca="1" si="194"/>
        <v>0.27041158329409043</v>
      </c>
      <c r="S423" s="360">
        <f t="shared" ca="1" si="195"/>
        <v>9.8016745015449782</v>
      </c>
      <c r="T423" s="357">
        <f t="shared" ca="1" si="175"/>
        <v>96.154426860156235</v>
      </c>
      <c r="U423" s="364">
        <f t="shared" ca="1" si="176"/>
        <v>0</v>
      </c>
      <c r="V423" s="359">
        <f t="shared" ca="1" si="177"/>
        <v>1.1512894542561327</v>
      </c>
      <c r="W423" s="357">
        <f t="shared" ca="1" si="178"/>
        <v>184.2499068437665</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620.38356153831126</v>
      </c>
      <c r="AF423" s="344"/>
      <c r="AG423" s="359">
        <f t="shared" ca="1" si="201"/>
        <v>26.777939206205083</v>
      </c>
      <c r="AH423" s="357">
        <f t="shared" ca="1" si="202"/>
        <v>36.309116831609636</v>
      </c>
    </row>
    <row r="424" spans="1:34" x14ac:dyDescent="0.25">
      <c r="A424" s="402">
        <f t="shared" ca="1" si="180"/>
        <v>0.01</v>
      </c>
      <c r="B424" s="357">
        <f t="shared" ca="1" si="181"/>
        <v>4.1999999999999549</v>
      </c>
      <c r="C424" s="342"/>
      <c r="D424" s="359">
        <f t="shared" ca="1" si="182"/>
        <v>8.3839845412401939</v>
      </c>
      <c r="E424" s="360">
        <f t="shared" ca="1" si="183"/>
        <v>24.587500028283358</v>
      </c>
      <c r="F424" s="357">
        <f t="shared" ca="1" si="184"/>
        <v>25.977612562138745</v>
      </c>
      <c r="G424" s="359">
        <f t="shared" ca="1" si="185"/>
        <v>63.050907427122254</v>
      </c>
      <c r="H424" s="360">
        <f t="shared" ca="1" si="186"/>
        <v>258.5848185263398</v>
      </c>
      <c r="I424" s="357">
        <f t="shared" ca="1" si="187"/>
        <v>266.16071329120615</v>
      </c>
      <c r="J424" s="359">
        <f t="shared" ca="1" si="188"/>
        <v>141.43184356270487</v>
      </c>
      <c r="K424" s="360">
        <f t="shared" ca="1" si="189"/>
        <v>622.96818034857324</v>
      </c>
      <c r="L424" s="357">
        <f t="shared" ca="1" si="174"/>
        <v>638.82103918105099</v>
      </c>
      <c r="M424" s="359">
        <f t="shared" ca="1" si="190"/>
        <v>1.3316324750311697</v>
      </c>
      <c r="N424" s="357">
        <f t="shared" ca="1" si="191"/>
        <v>76.296920681846004</v>
      </c>
      <c r="O424" s="343"/>
      <c r="P424" s="363">
        <f t="shared" ca="1" si="192"/>
        <v>16</v>
      </c>
      <c r="Q424" s="357">
        <f t="shared" ca="1" si="193"/>
        <v>531.17916666671226</v>
      </c>
      <c r="R424" s="359">
        <f t="shared" ca="1" si="194"/>
        <v>0.26608478089074533</v>
      </c>
      <c r="S424" s="360">
        <f t="shared" ca="1" si="195"/>
        <v>9.7990136537360701</v>
      </c>
      <c r="T424" s="357">
        <f t="shared" ca="1" si="175"/>
        <v>96.128323943150846</v>
      </c>
      <c r="U424" s="364">
        <f t="shared" ca="1" si="176"/>
        <v>0</v>
      </c>
      <c r="V424" s="359">
        <f t="shared" ca="1" si="177"/>
        <v>1.150991640557911</v>
      </c>
      <c r="W424" s="357">
        <f t="shared" ca="1" si="178"/>
        <v>184.56089636865744</v>
      </c>
      <c r="X424" s="343"/>
      <c r="Y424" s="367" t="str">
        <f t="shared" ca="1" si="196"/>
        <v/>
      </c>
      <c r="Z424" s="368" t="str">
        <f t="shared" ca="1" si="197"/>
        <v/>
      </c>
      <c r="AA424" s="369" t="str">
        <f t="shared" ca="1" si="198"/>
        <v/>
      </c>
      <c r="AB424" s="344"/>
      <c r="AC424" s="363" t="e">
        <f t="shared" ca="1" si="199"/>
        <v>#N/A</v>
      </c>
      <c r="AD424" s="376" t="e">
        <f t="shared" ca="1" si="200"/>
        <v>#N/A</v>
      </c>
      <c r="AE424" s="377">
        <f t="shared" ca="1" si="179"/>
        <v>622.96818034857324</v>
      </c>
      <c r="AF424" s="344"/>
      <c r="AG424" s="359">
        <f t="shared" ca="1" si="201"/>
        <v>25.873533478655819</v>
      </c>
      <c r="AH424" s="357">
        <f t="shared" ca="1" si="202"/>
        <v>35.404508257897163</v>
      </c>
    </row>
    <row r="425" spans="1:34" x14ac:dyDescent="0.25">
      <c r="A425" s="402">
        <f t="shared" ca="1" si="180"/>
        <v>0.01</v>
      </c>
      <c r="B425" s="357">
        <f t="shared" ca="1" si="181"/>
        <v>4.2099999999999547</v>
      </c>
      <c r="C425" s="342"/>
      <c r="D425" s="359">
        <f t="shared" ca="1" si="182"/>
        <v>8.1388803854267682</v>
      </c>
      <c r="E425" s="360">
        <f t="shared" ca="1" si="183"/>
        <v>23.56923264476044</v>
      </c>
      <c r="F425" s="357">
        <f t="shared" ca="1" si="184"/>
        <v>24.93491731269879</v>
      </c>
      <c r="G425" s="359">
        <f t="shared" ca="1" si="185"/>
        <v>63.132296230976522</v>
      </c>
      <c r="H425" s="360">
        <f t="shared" ca="1" si="186"/>
        <v>258.82051085278738</v>
      </c>
      <c r="I425" s="357">
        <f t="shared" ca="1" si="187"/>
        <v>266.4089781998602</v>
      </c>
      <c r="J425" s="359">
        <f t="shared" ca="1" si="188"/>
        <v>142.06275958099536</v>
      </c>
      <c r="K425" s="360">
        <f t="shared" ca="1" si="189"/>
        <v>625.55520699546889</v>
      </c>
      <c r="L425" s="357">
        <f t="shared" ca="1" si="174"/>
        <v>641.48354979602686</v>
      </c>
      <c r="M425" s="359">
        <f t="shared" ca="1" si="190"/>
        <v>1.3315452446961031</v>
      </c>
      <c r="N425" s="357">
        <f t="shared" ca="1" si="191"/>
        <v>76.291922751801181</v>
      </c>
      <c r="O425" s="343"/>
      <c r="P425" s="363">
        <f t="shared" ca="1" si="192"/>
        <v>16</v>
      </c>
      <c r="Q425" s="357">
        <f t="shared" ca="1" si="193"/>
        <v>521.13750000004575</v>
      </c>
      <c r="R425" s="359">
        <f t="shared" ca="1" si="194"/>
        <v>0.26105458610440807</v>
      </c>
      <c r="S425" s="360">
        <f t="shared" ca="1" si="195"/>
        <v>9.796403107875026</v>
      </c>
      <c r="T425" s="357">
        <f t="shared" ca="1" si="175"/>
        <v>96.102714488254009</v>
      </c>
      <c r="U425" s="364">
        <f t="shared" ca="1" si="176"/>
        <v>0</v>
      </c>
      <c r="V425" s="359">
        <f t="shared" ca="1" si="177"/>
        <v>1.1506936241590682</v>
      </c>
      <c r="W425" s="357">
        <f t="shared" ca="1" si="178"/>
        <v>184.85748419622178</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625.55520699546889</v>
      </c>
      <c r="AF425" s="344"/>
      <c r="AG425" s="359">
        <f t="shared" ca="1" si="201"/>
        <v>24.826389508367562</v>
      </c>
      <c r="AH425" s="357">
        <f t="shared" ca="1" si="202"/>
        <v>34.357161493367371</v>
      </c>
    </row>
    <row r="426" spans="1:34" x14ac:dyDescent="0.25">
      <c r="A426" s="402">
        <f t="shared" ca="1" si="180"/>
        <v>0.01</v>
      </c>
      <c r="B426" s="357">
        <f t="shared" ca="1" si="181"/>
        <v>4.2199999999999545</v>
      </c>
      <c r="C426" s="342"/>
      <c r="D426" s="359">
        <f t="shared" ca="1" si="182"/>
        <v>7.8937725375584114</v>
      </c>
      <c r="E426" s="360">
        <f t="shared" ca="1" si="183"/>
        <v>22.551728666604681</v>
      </c>
      <c r="F426" s="357">
        <f t="shared" ca="1" si="184"/>
        <v>23.893348671269809</v>
      </c>
      <c r="G426" s="359">
        <f t="shared" ca="1" si="185"/>
        <v>63.211233956352103</v>
      </c>
      <c r="H426" s="360">
        <f t="shared" ca="1" si="186"/>
        <v>259.04602813945343</v>
      </c>
      <c r="I426" s="357">
        <f t="shared" ca="1" si="187"/>
        <v>266.64677907882401</v>
      </c>
      <c r="J426" s="359">
        <f t="shared" ca="1" si="188"/>
        <v>142.69447723193201</v>
      </c>
      <c r="K426" s="360">
        <f t="shared" ca="1" si="189"/>
        <v>628.14453969043007</v>
      </c>
      <c r="L426" s="357">
        <f t="shared" ca="1" si="174"/>
        <v>644.14848953901662</v>
      </c>
      <c r="M426" s="359">
        <f t="shared" ca="1" si="190"/>
        <v>1.3314580609763174</v>
      </c>
      <c r="N426" s="357">
        <f t="shared" ca="1" si="191"/>
        <v>76.286927492615192</v>
      </c>
      <c r="O426" s="343"/>
      <c r="P426" s="363">
        <f t="shared" ca="1" si="192"/>
        <v>16</v>
      </c>
      <c r="Q426" s="357">
        <f t="shared" ca="1" si="193"/>
        <v>511.09583333337923</v>
      </c>
      <c r="R426" s="359">
        <f t="shared" ca="1" si="194"/>
        <v>0.25602439131807087</v>
      </c>
      <c r="S426" s="360">
        <f t="shared" ca="1" si="195"/>
        <v>9.7938428639618458</v>
      </c>
      <c r="T426" s="357">
        <f t="shared" ca="1" si="175"/>
        <v>96.077598495465708</v>
      </c>
      <c r="U426" s="364">
        <f t="shared" ca="1" si="176"/>
        <v>0</v>
      </c>
      <c r="V426" s="359">
        <f t="shared" ca="1" si="177"/>
        <v>1.1503954169614983</v>
      </c>
      <c r="W426" s="357">
        <f t="shared" ca="1" si="178"/>
        <v>185.13965275400579</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628.14453969043007</v>
      </c>
      <c r="AF426" s="344"/>
      <c r="AG426" s="359">
        <f t="shared" ca="1" si="201"/>
        <v>23.779986557256663</v>
      </c>
      <c r="AH426" s="357">
        <f t="shared" ca="1" si="202"/>
        <v>33.310555791905585</v>
      </c>
    </row>
    <row r="427" spans="1:34" x14ac:dyDescent="0.25">
      <c r="A427" s="402">
        <f t="shared" ca="1" si="180"/>
        <v>0.01</v>
      </c>
      <c r="B427" s="357">
        <f t="shared" ca="1" si="181"/>
        <v>4.2299999999999542</v>
      </c>
      <c r="C427" s="342"/>
      <c r="D427" s="359">
        <f t="shared" ca="1" si="182"/>
        <v>7.6486658413740445</v>
      </c>
      <c r="E427" s="360">
        <f t="shared" ca="1" si="183"/>
        <v>21.535005986467532</v>
      </c>
      <c r="F427" s="357">
        <f t="shared" ca="1" si="184"/>
        <v>22.852977311286917</v>
      </c>
      <c r="G427" s="359">
        <f t="shared" ca="1" si="185"/>
        <v>63.287720614765846</v>
      </c>
      <c r="H427" s="360">
        <f t="shared" ca="1" si="186"/>
        <v>259.26137819931807</v>
      </c>
      <c r="I427" s="357">
        <f t="shared" ca="1" si="187"/>
        <v>266.87412352347405</v>
      </c>
      <c r="J427" s="359">
        <f t="shared" ca="1" si="188"/>
        <v>143.32697200478759</v>
      </c>
      <c r="K427" s="360">
        <f t="shared" ca="1" si="189"/>
        <v>630.73607672212393</v>
      </c>
      <c r="L427" s="357">
        <f t="shared" ca="1" si="174"/>
        <v>646.81575381469963</v>
      </c>
      <c r="M427" s="359">
        <f t="shared" ca="1" si="190"/>
        <v>1.3313709203919162</v>
      </c>
      <c r="N427" s="357">
        <f t="shared" ca="1" si="191"/>
        <v>76.281934704904714</v>
      </c>
      <c r="O427" s="343"/>
      <c r="P427" s="363">
        <f t="shared" ca="1" si="192"/>
        <v>16</v>
      </c>
      <c r="Q427" s="357">
        <f t="shared" ca="1" si="193"/>
        <v>501.05416666671272</v>
      </c>
      <c r="R427" s="359">
        <f t="shared" ca="1" si="194"/>
        <v>0.2509941965317336</v>
      </c>
      <c r="S427" s="360">
        <f t="shared" ca="1" si="195"/>
        <v>9.7913329219965277</v>
      </c>
      <c r="T427" s="357">
        <f t="shared" ca="1" si="175"/>
        <v>96.052975964785944</v>
      </c>
      <c r="U427" s="364">
        <f t="shared" ca="1" si="176"/>
        <v>0</v>
      </c>
      <c r="V427" s="359">
        <f t="shared" ca="1" si="177"/>
        <v>1.1500970308464764</v>
      </c>
      <c r="W427" s="357">
        <f t="shared" ca="1" si="178"/>
        <v>185.40738653078509</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630.73607672212393</v>
      </c>
      <c r="AF427" s="344"/>
      <c r="AG427" s="359">
        <f t="shared" ca="1" si="201"/>
        <v>22.734343139823967</v>
      </c>
      <c r="AH427" s="357">
        <f t="shared" ca="1" si="202"/>
        <v>32.264709660009146</v>
      </c>
    </row>
    <row r="428" spans="1:34" x14ac:dyDescent="0.25">
      <c r="A428" s="402">
        <f t="shared" ca="1" si="180"/>
        <v>0.01</v>
      </c>
      <c r="B428" s="357">
        <f t="shared" ca="1" si="181"/>
        <v>4.239999999999954</v>
      </c>
      <c r="C428" s="342"/>
      <c r="D428" s="359">
        <f t="shared" ca="1" si="182"/>
        <v>7.4035650810076401</v>
      </c>
      <c r="E428" s="360">
        <f t="shared" ca="1" si="183"/>
        <v>20.519082290294264</v>
      </c>
      <c r="F428" s="357">
        <f t="shared" ca="1" si="184"/>
        <v>21.813883513592515</v>
      </c>
      <c r="G428" s="359">
        <f t="shared" ca="1" si="185"/>
        <v>63.36175626557592</v>
      </c>
      <c r="H428" s="360">
        <f t="shared" ca="1" si="186"/>
        <v>259.46656902222099</v>
      </c>
      <c r="I428" s="357">
        <f t="shared" ca="1" si="187"/>
        <v>267.09101931218356</v>
      </c>
      <c r="J428" s="359">
        <f t="shared" ca="1" si="188"/>
        <v>143.96021938918929</v>
      </c>
      <c r="K428" s="360">
        <f t="shared" ca="1" si="189"/>
        <v>633.32971645823159</v>
      </c>
      <c r="L428" s="357">
        <f t="shared" ca="1" si="174"/>
        <v>649.48523810449115</v>
      </c>
      <c r="M428" s="359">
        <f t="shared" ca="1" si="190"/>
        <v>1.3312838194782501</v>
      </c>
      <c r="N428" s="357">
        <f t="shared" ca="1" si="191"/>
        <v>76.276944190159909</v>
      </c>
      <c r="O428" s="343"/>
      <c r="P428" s="363">
        <f t="shared" ca="1" si="192"/>
        <v>16</v>
      </c>
      <c r="Q428" s="357">
        <f t="shared" ca="1" si="193"/>
        <v>491.0125000000462</v>
      </c>
      <c r="R428" s="359">
        <f t="shared" ca="1" si="194"/>
        <v>0.24596400174539634</v>
      </c>
      <c r="S428" s="360">
        <f t="shared" ca="1" si="195"/>
        <v>9.7888732819790736</v>
      </c>
      <c r="T428" s="357">
        <f t="shared" ca="1" si="175"/>
        <v>96.028846896214716</v>
      </c>
      <c r="U428" s="364">
        <f t="shared" ca="1" si="176"/>
        <v>0</v>
      </c>
      <c r="V428" s="359">
        <f t="shared" ca="1" si="177"/>
        <v>1.1497984776744499</v>
      </c>
      <c r="W428" s="357">
        <f t="shared" ca="1" si="178"/>
        <v>185.66067206650251</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633.32971645823159</v>
      </c>
      <c r="AF428" s="344"/>
      <c r="AG428" s="359">
        <f t="shared" ca="1" si="201"/>
        <v>21.689477555727947</v>
      </c>
      <c r="AH428" s="357">
        <f t="shared" ca="1" si="202"/>
        <v>31.219641389358671</v>
      </c>
    </row>
    <row r="429" spans="1:34" x14ac:dyDescent="0.25">
      <c r="A429" s="402">
        <f t="shared" ca="1" si="180"/>
        <v>0.01</v>
      </c>
      <c r="B429" s="357">
        <f t="shared" ca="1" si="181"/>
        <v>4.2499999999999538</v>
      </c>
      <c r="C429" s="342"/>
      <c r="D429" s="359">
        <f t="shared" ca="1" si="182"/>
        <v>7.1584749809774388</v>
      </c>
      <c r="E429" s="360">
        <f t="shared" ca="1" si="183"/>
        <v>19.503975057139193</v>
      </c>
      <c r="F429" s="357">
        <f t="shared" ca="1" si="184"/>
        <v>20.776159584552381</v>
      </c>
      <c r="G429" s="359">
        <f t="shared" ca="1" si="185"/>
        <v>63.433341015385693</v>
      </c>
      <c r="H429" s="360">
        <f t="shared" ca="1" si="186"/>
        <v>259.66160877279236</v>
      </c>
      <c r="I429" s="357">
        <f t="shared" ca="1" si="187"/>
        <v>267.29747440417179</v>
      </c>
      <c r="J429" s="359">
        <f t="shared" ca="1" si="188"/>
        <v>144.5941948755941</v>
      </c>
      <c r="K429" s="360">
        <f t="shared" ca="1" si="189"/>
        <v>635.92535734720661</v>
      </c>
      <c r="L429" s="357">
        <f t="shared" ca="1" si="174"/>
        <v>652.15683796836299</v>
      </c>
      <c r="M429" s="359">
        <f t="shared" ca="1" si="190"/>
        <v>1.3311967547851118</v>
      </c>
      <c r="N429" s="357">
        <f t="shared" ca="1" si="191"/>
        <v>76.271955750698481</v>
      </c>
      <c r="O429" s="343"/>
      <c r="P429" s="363">
        <f t="shared" ca="1" si="192"/>
        <v>16</v>
      </c>
      <c r="Q429" s="357">
        <f t="shared" ca="1" si="193"/>
        <v>480.97083333337969</v>
      </c>
      <c r="R429" s="359">
        <f t="shared" ca="1" si="194"/>
        <v>0.24093380695905908</v>
      </c>
      <c r="S429" s="360">
        <f t="shared" ca="1" si="195"/>
        <v>9.7864639439094834</v>
      </c>
      <c r="T429" s="357">
        <f t="shared" ca="1" si="175"/>
        <v>96.00521128975204</v>
      </c>
      <c r="U429" s="364">
        <f t="shared" ca="1" si="176"/>
        <v>0</v>
      </c>
      <c r="V429" s="359">
        <f t="shared" ca="1" si="177"/>
        <v>1.1494997692848343</v>
      </c>
      <c r="W429" s="357">
        <f t="shared" ca="1" si="178"/>
        <v>185.89949794204395</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635.92535734720661</v>
      </c>
      <c r="AF429" s="344"/>
      <c r="AG429" s="359">
        <f t="shared" ca="1" si="201"/>
        <v>20.645407889599021</v>
      </c>
      <c r="AH429" s="357">
        <f t="shared" ca="1" si="202"/>
        <v>30.17536905663059</v>
      </c>
    </row>
    <row r="430" spans="1:34" x14ac:dyDescent="0.25">
      <c r="A430" s="402">
        <f t="shared" ca="1" si="180"/>
        <v>0.01</v>
      </c>
      <c r="B430" s="357">
        <f t="shared" ca="1" si="181"/>
        <v>4.2599999999999536</v>
      </c>
      <c r="C430" s="342"/>
      <c r="D430" s="359">
        <f t="shared" ca="1" si="182"/>
        <v>6.9134002061788511</v>
      </c>
      <c r="E430" s="360">
        <f t="shared" ca="1" si="183"/>
        <v>18.489701559013653</v>
      </c>
      <c r="F430" s="357">
        <f t="shared" ca="1" si="184"/>
        <v>19.739913022913392</v>
      </c>
      <c r="G430" s="359">
        <f t="shared" ca="1" si="185"/>
        <v>63.50247501744748</v>
      </c>
      <c r="H430" s="360">
        <f t="shared" ca="1" si="186"/>
        <v>259.8465057883825</v>
      </c>
      <c r="I430" s="357">
        <f t="shared" ca="1" si="187"/>
        <v>267.49349693735252</v>
      </c>
      <c r="J430" s="359">
        <f t="shared" ca="1" si="188"/>
        <v>145.22887395575827</v>
      </c>
      <c r="K430" s="360">
        <f t="shared" ca="1" si="189"/>
        <v>638.5228979200125</v>
      </c>
      <c r="L430" s="357">
        <f t="shared" ca="1" si="174"/>
        <v>654.83044904664314</v>
      </c>
      <c r="M430" s="359">
        <f t="shared" ca="1" si="190"/>
        <v>1.3311097228759423</v>
      </c>
      <c r="N430" s="357">
        <f t="shared" ca="1" si="191"/>
        <v>76.266969189620099</v>
      </c>
      <c r="O430" s="343"/>
      <c r="P430" s="363">
        <f t="shared" ca="1" si="192"/>
        <v>16</v>
      </c>
      <c r="Q430" s="357">
        <f t="shared" ca="1" si="193"/>
        <v>470.92916666671312</v>
      </c>
      <c r="R430" s="359">
        <f t="shared" ca="1" si="194"/>
        <v>0.23590361217272182</v>
      </c>
      <c r="S430" s="360">
        <f t="shared" ca="1" si="195"/>
        <v>9.7841049077877553</v>
      </c>
      <c r="T430" s="357">
        <f t="shared" ca="1" si="175"/>
        <v>95.982069145397887</v>
      </c>
      <c r="U430" s="364">
        <f t="shared" ca="1" si="176"/>
        <v>0</v>
      </c>
      <c r="V430" s="359">
        <f t="shared" ca="1" si="177"/>
        <v>1.1492009174958113</v>
      </c>
      <c r="W430" s="357">
        <f t="shared" ca="1" si="178"/>
        <v>186.12385476885771</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638.5228979200125</v>
      </c>
      <c r="AF430" s="344"/>
      <c r="AG430" s="359">
        <f t="shared" ca="1" si="201"/>
        <v>19.602152010886698</v>
      </c>
      <c r="AH430" s="357">
        <f t="shared" ca="1" si="202"/>
        <v>29.131910523342501</v>
      </c>
    </row>
    <row r="431" spans="1:34" x14ac:dyDescent="0.25">
      <c r="A431" s="402">
        <f t="shared" ca="1" si="180"/>
        <v>0.01</v>
      </c>
      <c r="B431" s="357">
        <f t="shared" ca="1" si="181"/>
        <v>4.2699999999999534</v>
      </c>
      <c r="C431" s="342"/>
      <c r="D431" s="359">
        <f t="shared" ca="1" si="182"/>
        <v>6.6683453618809292</v>
      </c>
      <c r="E431" s="360">
        <f t="shared" ca="1" si="183"/>
        <v>17.476278860766435</v>
      </c>
      <c r="F431" s="357">
        <f t="shared" ca="1" si="184"/>
        <v>18.705270719361177</v>
      </c>
      <c r="G431" s="359">
        <f t="shared" ca="1" si="185"/>
        <v>63.569158471066288</v>
      </c>
      <c r="H431" s="360">
        <f t="shared" ca="1" si="186"/>
        <v>260.02126857699017</v>
      </c>
      <c r="I431" s="357">
        <f t="shared" ca="1" si="187"/>
        <v>267.67909522618083</v>
      </c>
      <c r="J431" s="359">
        <f t="shared" ca="1" si="188"/>
        <v>145.86423212320085</v>
      </c>
      <c r="K431" s="360">
        <f t="shared" ca="1" si="189"/>
        <v>641.12223679183933</v>
      </c>
      <c r="L431" s="357">
        <f t="shared" ca="1" si="174"/>
        <v>657.50596706179203</v>
      </c>
      <c r="M431" s="359">
        <f t="shared" ca="1" si="190"/>
        <v>1.3310227203270442</v>
      </c>
      <c r="N431" s="357">
        <f t="shared" ca="1" si="191"/>
        <v>76.261984310761363</v>
      </c>
      <c r="O431" s="343"/>
      <c r="P431" s="363">
        <f t="shared" ca="1" si="192"/>
        <v>16</v>
      </c>
      <c r="Q431" s="357">
        <f t="shared" ca="1" si="193"/>
        <v>460.8875000000466</v>
      </c>
      <c r="R431" s="359">
        <f t="shared" ca="1" si="194"/>
        <v>0.23087341738638456</v>
      </c>
      <c r="S431" s="360">
        <f t="shared" ca="1" si="195"/>
        <v>9.7817961736138912</v>
      </c>
      <c r="T431" s="357">
        <f t="shared" ca="1" si="175"/>
        <v>95.959420463152284</v>
      </c>
      <c r="U431" s="364">
        <f t="shared" ca="1" si="176"/>
        <v>0</v>
      </c>
      <c r="V431" s="359">
        <f t="shared" ca="1" si="177"/>
        <v>1.1489019341041344</v>
      </c>
      <c r="W431" s="357">
        <f t="shared" ca="1" si="178"/>
        <v>186.33373517842074</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641.12223679183933</v>
      </c>
      <c r="AF431" s="344"/>
      <c r="AG431" s="359">
        <f t="shared" ca="1" si="201"/>
        <v>18.559727573739139</v>
      </c>
      <c r="AH431" s="357">
        <f t="shared" ca="1" si="202"/>
        <v>28.089283435730934</v>
      </c>
    </row>
    <row r="432" spans="1:34" x14ac:dyDescent="0.25">
      <c r="A432" s="402">
        <f t="shared" ca="1" si="180"/>
        <v>0.01</v>
      </c>
      <c r="B432" s="357">
        <f t="shared" ca="1" si="181"/>
        <v>4.2799999999999532</v>
      </c>
      <c r="C432" s="342"/>
      <c r="D432" s="359">
        <f t="shared" ca="1" si="182"/>
        <v>6.4233149937265148</v>
      </c>
      <c r="E432" s="360">
        <f t="shared" ca="1" si="183"/>
        <v>16.463723819996233</v>
      </c>
      <c r="F432" s="357">
        <f t="shared" ca="1" si="184"/>
        <v>17.672384602247181</v>
      </c>
      <c r="G432" s="359">
        <f t="shared" ca="1" si="185"/>
        <v>63.633391621003554</v>
      </c>
      <c r="H432" s="360">
        <f t="shared" ca="1" si="186"/>
        <v>260.18590581519015</v>
      </c>
      <c r="I432" s="357">
        <f t="shared" ca="1" si="187"/>
        <v>267.85427775949933</v>
      </c>
      <c r="J432" s="359">
        <f t="shared" ca="1" si="188"/>
        <v>146.50024487366119</v>
      </c>
      <c r="K432" s="360">
        <f t="shared" ca="1" si="189"/>
        <v>643.72327266380023</v>
      </c>
      <c r="L432" s="357">
        <f t="shared" ca="1" si="174"/>
        <v>660.18328782015988</v>
      </c>
      <c r="M432" s="359">
        <f t="shared" ca="1" si="190"/>
        <v>1.3309357437268023</v>
      </c>
      <c r="N432" s="357">
        <f t="shared" ca="1" si="191"/>
        <v>76.257000918651102</v>
      </c>
      <c r="O432" s="343"/>
      <c r="P432" s="363">
        <f t="shared" ca="1" si="192"/>
        <v>16</v>
      </c>
      <c r="Q432" s="357">
        <f t="shared" ca="1" si="193"/>
        <v>450.84583333338009</v>
      </c>
      <c r="R432" s="359">
        <f t="shared" ca="1" si="194"/>
        <v>0.22584322260004733</v>
      </c>
      <c r="S432" s="360">
        <f t="shared" ca="1" si="195"/>
        <v>9.779537741387891</v>
      </c>
      <c r="T432" s="357">
        <f t="shared" ca="1" si="175"/>
        <v>95.937265243015219</v>
      </c>
      <c r="U432" s="364">
        <f t="shared" ca="1" si="176"/>
        <v>0</v>
      </c>
      <c r="V432" s="359">
        <f t="shared" ca="1" si="177"/>
        <v>1.1486028308849348</v>
      </c>
      <c r="W432" s="357">
        <f t="shared" ca="1" si="178"/>
        <v>186.52913381155653</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643.72327266380023</v>
      </c>
      <c r="AF432" s="344"/>
      <c r="AG432" s="359">
        <f t="shared" ca="1" si="201"/>
        <v>17.518152016914645</v>
      </c>
      <c r="AH432" s="357">
        <f t="shared" ca="1" si="202"/>
        <v>27.047505224661094</v>
      </c>
    </row>
    <row r="433" spans="1:34" x14ac:dyDescent="0.25">
      <c r="A433" s="402">
        <f t="shared" ca="1" si="180"/>
        <v>0.01</v>
      </c>
      <c r="B433" s="357">
        <f t="shared" ca="1" si="181"/>
        <v>4.289999999999953</v>
      </c>
      <c r="C433" s="342"/>
      <c r="D433" s="359">
        <f t="shared" ca="1" si="182"/>
        <v>6.1783135877359996</v>
      </c>
      <c r="E433" s="360">
        <f t="shared" ca="1" si="183"/>
        <v>15.452053086995845</v>
      </c>
      <c r="F433" s="357">
        <f t="shared" ca="1" si="184"/>
        <v>16.641439342549102</v>
      </c>
      <c r="G433" s="359">
        <f t="shared" ca="1" si="185"/>
        <v>63.695174756880917</v>
      </c>
      <c r="H433" s="360">
        <f t="shared" ca="1" si="186"/>
        <v>260.3404263460601</v>
      </c>
      <c r="I433" s="357">
        <f t="shared" ca="1" si="187"/>
        <v>268.01905319838352</v>
      </c>
      <c r="J433" s="359">
        <f t="shared" ca="1" si="188"/>
        <v>147.13688770555061</v>
      </c>
      <c r="K433" s="360">
        <f t="shared" ca="1" si="189"/>
        <v>646.32590432460643</v>
      </c>
      <c r="L433" s="357">
        <f t="shared" ca="1" si="174"/>
        <v>662.86230721371999</v>
      </c>
      <c r="M433" s="359">
        <f t="shared" ca="1" si="190"/>
        <v>1.3308487896749133</v>
      </c>
      <c r="N433" s="357">
        <f t="shared" ca="1" si="191"/>
        <v>76.252018818466297</v>
      </c>
      <c r="O433" s="343"/>
      <c r="P433" s="363">
        <f t="shared" ca="1" si="192"/>
        <v>16</v>
      </c>
      <c r="Q433" s="357">
        <f t="shared" ca="1" si="193"/>
        <v>440.80416666671357</v>
      </c>
      <c r="R433" s="359">
        <f t="shared" ca="1" si="194"/>
        <v>0.22081302781371007</v>
      </c>
      <c r="S433" s="360">
        <f t="shared" ca="1" si="195"/>
        <v>9.7773296111097547</v>
      </c>
      <c r="T433" s="357">
        <f t="shared" ca="1" si="175"/>
        <v>95.915603484986704</v>
      </c>
      <c r="U433" s="364">
        <f t="shared" ca="1" si="176"/>
        <v>0</v>
      </c>
      <c r="V433" s="359">
        <f t="shared" ca="1" si="177"/>
        <v>1.1483036195915319</v>
      </c>
      <c r="W433" s="357">
        <f t="shared" ca="1" si="178"/>
        <v>186.71004730760828</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646.32590432460643</v>
      </c>
      <c r="AF433" s="344"/>
      <c r="AG433" s="359">
        <f t="shared" ca="1" si="201"/>
        <v>16.477442563724999</v>
      </c>
      <c r="AH433" s="357">
        <f t="shared" ca="1" si="202"/>
        <v>26.006593105568435</v>
      </c>
    </row>
    <row r="434" spans="1:34" x14ac:dyDescent="0.25">
      <c r="A434" s="402">
        <f t="shared" ca="1" si="180"/>
        <v>0.01</v>
      </c>
      <c r="B434" s="357">
        <f t="shared" ca="1" si="181"/>
        <v>4.2999999999999527</v>
      </c>
      <c r="C434" s="342"/>
      <c r="D434" s="359">
        <f t="shared" ca="1" si="182"/>
        <v>5.9333455703146498</v>
      </c>
      <c r="E434" s="360">
        <f t="shared" ca="1" si="183"/>
        <v>14.441283104727686</v>
      </c>
      <c r="F434" s="357">
        <f t="shared" ca="1" si="184"/>
        <v>15.612663045350905</v>
      </c>
      <c r="G434" s="359">
        <f t="shared" ca="1" si="185"/>
        <v>63.754508212584064</v>
      </c>
      <c r="H434" s="360">
        <f t="shared" ca="1" si="186"/>
        <v>260.4848391771074</v>
      </c>
      <c r="I434" s="357">
        <f t="shared" ca="1" si="187"/>
        <v>268.17343037398757</v>
      </c>
      <c r="J434" s="359">
        <f t="shared" ca="1" si="188"/>
        <v>147.77413612039794</v>
      </c>
      <c r="K434" s="360">
        <f t="shared" ca="1" si="189"/>
        <v>648.93003065222229</v>
      </c>
      <c r="L434" s="357">
        <f t="shared" ca="1" si="174"/>
        <v>665.54292122178265</v>
      </c>
      <c r="M434" s="359">
        <f t="shared" ca="1" si="190"/>
        <v>1.3307618547816207</v>
      </c>
      <c r="N434" s="357">
        <f t="shared" ca="1" si="191"/>
        <v>76.247037815988222</v>
      </c>
      <c r="O434" s="343"/>
      <c r="P434" s="363">
        <f t="shared" ca="1" si="192"/>
        <v>16</v>
      </c>
      <c r="Q434" s="357">
        <f t="shared" ca="1" si="193"/>
        <v>430.76250000004705</v>
      </c>
      <c r="R434" s="359">
        <f t="shared" ca="1" si="194"/>
        <v>0.21578283302737283</v>
      </c>
      <c r="S434" s="360">
        <f t="shared" ca="1" si="195"/>
        <v>9.7751717827794806</v>
      </c>
      <c r="T434" s="357">
        <f t="shared" ca="1" si="175"/>
        <v>95.894435189066712</v>
      </c>
      <c r="U434" s="364">
        <f t="shared" ca="1" si="176"/>
        <v>0</v>
      </c>
      <c r="V434" s="359">
        <f t="shared" ca="1" si="177"/>
        <v>1.148004311955251</v>
      </c>
      <c r="W434" s="357">
        <f t="shared" ca="1" si="178"/>
        <v>186.87647429347322</v>
      </c>
      <c r="X434" s="343"/>
      <c r="Y434" s="367" t="str">
        <f t="shared" ca="1" si="196"/>
        <v/>
      </c>
      <c r="Z434" s="368" t="str">
        <f t="shared" ca="1" si="197"/>
        <v/>
      </c>
      <c r="AA434" s="369" t="str">
        <f t="shared" ca="1" si="198"/>
        <v/>
      </c>
      <c r="AB434" s="344"/>
      <c r="AC434" s="363" t="e">
        <f t="shared" ca="1" si="199"/>
        <v>#N/A</v>
      </c>
      <c r="AD434" s="376" t="e">
        <f t="shared" ca="1" si="200"/>
        <v>#N/A</v>
      </c>
      <c r="AE434" s="377">
        <f t="shared" ca="1" si="179"/>
        <v>648.93003065222229</v>
      </c>
      <c r="AF434" s="344"/>
      <c r="AG434" s="359">
        <f t="shared" ca="1" si="201"/>
        <v>15.437616222009966</v>
      </c>
      <c r="AH434" s="357">
        <f t="shared" ca="1" si="202"/>
        <v>24.966564078431439</v>
      </c>
    </row>
    <row r="435" spans="1:34" x14ac:dyDescent="0.25">
      <c r="A435" s="402">
        <f t="shared" ca="1" si="180"/>
        <v>0.01</v>
      </c>
      <c r="B435" s="357">
        <f t="shared" ca="1" si="181"/>
        <v>4.3099999999999525</v>
      </c>
      <c r="C435" s="342"/>
      <c r="D435" s="359">
        <f t="shared" ca="1" si="182"/>
        <v>5.6884153082634699</v>
      </c>
      <c r="E435" s="360">
        <f t="shared" ca="1" si="183"/>
        <v>13.431430108830087</v>
      </c>
      <c r="F435" s="357">
        <f t="shared" ca="1" si="184"/>
        <v>14.586342361526881</v>
      </c>
      <c r="G435" s="359">
        <f t="shared" ca="1" si="185"/>
        <v>63.811392365666698</v>
      </c>
      <c r="H435" s="360">
        <f t="shared" ca="1" si="186"/>
        <v>260.6191534781957</v>
      </c>
      <c r="I435" s="357">
        <f t="shared" ca="1" si="187"/>
        <v>268.31741828538901</v>
      </c>
      <c r="J435" s="359">
        <f t="shared" ca="1" si="188"/>
        <v>148.41196562328921</v>
      </c>
      <c r="K435" s="360">
        <f t="shared" ca="1" si="189"/>
        <v>651.53555061549878</v>
      </c>
      <c r="L435" s="357">
        <f t="shared" ca="1" si="174"/>
        <v>668.22502591268574</v>
      </c>
      <c r="M435" s="359">
        <f t="shared" ca="1" si="190"/>
        <v>1.3306749356669576</v>
      </c>
      <c r="N435" s="357">
        <f t="shared" ca="1" si="191"/>
        <v>76.242057717559007</v>
      </c>
      <c r="O435" s="343"/>
      <c r="P435" s="363">
        <f t="shared" ca="1" si="192"/>
        <v>16</v>
      </c>
      <c r="Q435" s="357">
        <f t="shared" ca="1" si="193"/>
        <v>420.72083333338054</v>
      </c>
      <c r="R435" s="359">
        <f t="shared" ca="1" si="194"/>
        <v>0.21075263824103557</v>
      </c>
      <c r="S435" s="360">
        <f t="shared" ca="1" si="195"/>
        <v>9.7730642563970704</v>
      </c>
      <c r="T435" s="357">
        <f t="shared" ca="1" si="175"/>
        <v>95.873760355255271</v>
      </c>
      <c r="U435" s="364">
        <f t="shared" ca="1" si="176"/>
        <v>0</v>
      </c>
      <c r="V435" s="359">
        <f t="shared" ca="1" si="177"/>
        <v>1.1477049196852389</v>
      </c>
      <c r="W435" s="357">
        <f t="shared" ca="1" si="178"/>
        <v>187.02841537249876</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651.53555061549878</v>
      </c>
      <c r="AF435" s="344"/>
      <c r="AG435" s="359">
        <f t="shared" ca="1" si="201"/>
        <v>14.39868978414269</v>
      </c>
      <c r="AH435" s="357">
        <f t="shared" ca="1" si="202"/>
        <v>23.92743492777527</v>
      </c>
    </row>
    <row r="436" spans="1:34" x14ac:dyDescent="0.25">
      <c r="A436" s="402">
        <f t="shared" ca="1" si="180"/>
        <v>0.01</v>
      </c>
      <c r="B436" s="357">
        <f t="shared" ca="1" si="181"/>
        <v>4.3199999999999523</v>
      </c>
      <c r="C436" s="342"/>
      <c r="D436" s="359">
        <f t="shared" ca="1" si="182"/>
        <v>5.3886557969500402</v>
      </c>
      <c r="E436" s="360">
        <f t="shared" ca="1" si="183"/>
        <v>12.198404144180882</v>
      </c>
      <c r="F436" s="357">
        <f t="shared" ca="1" si="184"/>
        <v>13.335616782240429</v>
      </c>
      <c r="G436" s="359">
        <f t="shared" ca="1" si="185"/>
        <v>63.865278923636197</v>
      </c>
      <c r="H436" s="360">
        <f t="shared" ca="1" si="186"/>
        <v>260.7411375196375</v>
      </c>
      <c r="I436" s="357">
        <f t="shared" ca="1" si="187"/>
        <v>268.44871884035575</v>
      </c>
      <c r="J436" s="359">
        <f t="shared" ca="1" si="188"/>
        <v>149.05034897973573</v>
      </c>
      <c r="K436" s="360">
        <f t="shared" ca="1" si="189"/>
        <v>654.14235207048796</v>
      </c>
      <c r="L436" s="357">
        <f t="shared" ca="1" si="174"/>
        <v>670.90850591067272</v>
      </c>
      <c r="M436" s="359">
        <f t="shared" ca="1" si="190"/>
        <v>1.3305880282130513</v>
      </c>
      <c r="N436" s="357">
        <f t="shared" ca="1" si="191"/>
        <v>76.237078287241957</v>
      </c>
      <c r="O436" s="343"/>
      <c r="P436" s="363">
        <f t="shared" ca="1" si="192"/>
        <v>17</v>
      </c>
      <c r="Q436" s="357">
        <f t="shared" ca="1" si="193"/>
        <v>408.42500000006868</v>
      </c>
      <c r="R436" s="359">
        <f t="shared" ca="1" si="194"/>
        <v>0.20459325864997518</v>
      </c>
      <c r="S436" s="360">
        <f t="shared" ca="1" si="195"/>
        <v>9.771018323810571</v>
      </c>
      <c r="T436" s="357">
        <f t="shared" ca="1" si="175"/>
        <v>95.853689756581701</v>
      </c>
      <c r="U436" s="364">
        <f t="shared" ca="1" si="176"/>
        <v>0</v>
      </c>
      <c r="V436" s="359">
        <f t="shared" ca="1" si="177"/>
        <v>1.1474054557553663</v>
      </c>
      <c r="W436" s="357">
        <f t="shared" ca="1" si="178"/>
        <v>187.16265606650393</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654.14235207048796</v>
      </c>
      <c r="AF436" s="344"/>
      <c r="AG436" s="359">
        <f t="shared" ca="1" si="201"/>
        <v>13.129954118285735</v>
      </c>
      <c r="AH436" s="357">
        <f t="shared" ca="1" si="202"/>
        <v>22.658496513926107</v>
      </c>
    </row>
    <row r="437" spans="1:34" x14ac:dyDescent="0.25">
      <c r="A437" s="402">
        <f t="shared" ca="1" si="180"/>
        <v>0.01</v>
      </c>
      <c r="B437" s="357">
        <f t="shared" ca="1" si="181"/>
        <v>4.3299999999999521</v>
      </c>
      <c r="C437" s="342"/>
      <c r="D437" s="359">
        <f t="shared" ca="1" si="182"/>
        <v>5.0340528034932452</v>
      </c>
      <c r="E437" s="360">
        <f t="shared" ca="1" si="183"/>
        <v>10.742398367917696</v>
      </c>
      <c r="F437" s="357">
        <f t="shared" ca="1" si="184"/>
        <v>11.863423212690298</v>
      </c>
      <c r="G437" s="359">
        <f t="shared" ca="1" si="185"/>
        <v>63.915619451671127</v>
      </c>
      <c r="H437" s="360">
        <f t="shared" ca="1" si="186"/>
        <v>260.84856150331666</v>
      </c>
      <c r="I437" s="357">
        <f t="shared" ca="1" si="187"/>
        <v>268.56503578880182</v>
      </c>
      <c r="J437" s="359">
        <f t="shared" ca="1" si="188"/>
        <v>149.68925347161226</v>
      </c>
      <c r="K437" s="360">
        <f t="shared" ca="1" si="189"/>
        <v>656.75030056560274</v>
      </c>
      <c r="L437" s="357">
        <f t="shared" ca="1" si="174"/>
        <v>673.59322287111684</v>
      </c>
      <c r="M437" s="359">
        <f t="shared" ca="1" si="190"/>
        <v>1.3305011275652594</v>
      </c>
      <c r="N437" s="357">
        <f t="shared" ca="1" si="191"/>
        <v>76.23209924688652</v>
      </c>
      <c r="O437" s="343"/>
      <c r="P437" s="363">
        <f t="shared" ca="1" si="192"/>
        <v>17</v>
      </c>
      <c r="Q437" s="357">
        <f t="shared" ca="1" si="193"/>
        <v>393.87500000006906</v>
      </c>
      <c r="R437" s="359">
        <f t="shared" ca="1" si="194"/>
        <v>0.19730469425417044</v>
      </c>
      <c r="S437" s="360">
        <f t="shared" ca="1" si="195"/>
        <v>9.7690452768680291</v>
      </c>
      <c r="T437" s="357">
        <f t="shared" ca="1" si="175"/>
        <v>95.834334166075365</v>
      </c>
      <c r="U437" s="364">
        <f t="shared" ca="1" si="176"/>
        <v>0</v>
      </c>
      <c r="V437" s="359">
        <f t="shared" ca="1" si="177"/>
        <v>1.1471059356881672</v>
      </c>
      <c r="W437" s="357">
        <f t="shared" ca="1" si="178"/>
        <v>187.27598423166339</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656.75030056560274</v>
      </c>
      <c r="AF437" s="344"/>
      <c r="AG437" s="359">
        <f t="shared" ca="1" si="201"/>
        <v>11.631593438180214</v>
      </c>
      <c r="AH437" s="357">
        <f t="shared" ca="1" si="202"/>
        <v>21.159933041055311</v>
      </c>
    </row>
    <row r="438" spans="1:34" x14ac:dyDescent="0.25">
      <c r="A438" s="402">
        <f t="shared" ca="1" si="180"/>
        <v>0.01</v>
      </c>
      <c r="B438" s="357">
        <f t="shared" ca="1" si="181"/>
        <v>4.3399999999999519</v>
      </c>
      <c r="C438" s="342"/>
      <c r="D438" s="359">
        <f t="shared" ca="1" si="182"/>
        <v>4.6795272020155654</v>
      </c>
      <c r="E438" s="360">
        <f t="shared" ca="1" si="183"/>
        <v>9.2878034732867771</v>
      </c>
      <c r="F438" s="357">
        <f t="shared" ca="1" si="184"/>
        <v>10.400060970629044</v>
      </c>
      <c r="G438" s="359">
        <f t="shared" ca="1" si="185"/>
        <v>63.962414723691282</v>
      </c>
      <c r="H438" s="360">
        <f t="shared" ca="1" si="186"/>
        <v>260.94143953804951</v>
      </c>
      <c r="I438" s="357">
        <f t="shared" ca="1" si="187"/>
        <v>268.66638302079224</v>
      </c>
      <c r="J438" s="359">
        <f t="shared" ca="1" si="188"/>
        <v>150.32864364248908</v>
      </c>
      <c r="K438" s="360">
        <f t="shared" ca="1" si="189"/>
        <v>659.35925057080954</v>
      </c>
      <c r="L438" s="357">
        <f t="shared" ca="1" si="174"/>
        <v>676.27902703890652</v>
      </c>
      <c r="M438" s="359">
        <f t="shared" ca="1" si="190"/>
        <v>1.3304142288791545</v>
      </c>
      <c r="N438" s="357">
        <f t="shared" ca="1" si="191"/>
        <v>76.227120318927476</v>
      </c>
      <c r="O438" s="343"/>
      <c r="P438" s="363">
        <f t="shared" ca="1" si="192"/>
        <v>17</v>
      </c>
      <c r="Q438" s="357">
        <f t="shared" ca="1" si="193"/>
        <v>379.32500000006945</v>
      </c>
      <c r="R438" s="359">
        <f t="shared" ca="1" si="194"/>
        <v>0.19001612985836566</v>
      </c>
      <c r="S438" s="360">
        <f t="shared" ca="1" si="195"/>
        <v>9.7671451155694449</v>
      </c>
      <c r="T438" s="357">
        <f t="shared" ca="1" si="175"/>
        <v>95.815693583736262</v>
      </c>
      <c r="U438" s="364">
        <f t="shared" ca="1" si="176"/>
        <v>0</v>
      </c>
      <c r="V438" s="359">
        <f t="shared" ca="1" si="177"/>
        <v>1.1468063762624268</v>
      </c>
      <c r="W438" s="357">
        <f t="shared" ca="1" si="178"/>
        <v>187.36841111438375</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659.35925057080954</v>
      </c>
      <c r="AF438" s="344"/>
      <c r="AG438" s="359">
        <f t="shared" ca="1" si="201"/>
        <v>10.134621758919309</v>
      </c>
      <c r="AH438" s="357">
        <f t="shared" ca="1" si="202"/>
        <v>19.662758512952554</v>
      </c>
    </row>
    <row r="439" spans="1:34" x14ac:dyDescent="0.25">
      <c r="A439" s="402">
        <f t="shared" ca="1" si="180"/>
        <v>0.01</v>
      </c>
      <c r="B439" s="357">
        <f t="shared" ca="1" si="181"/>
        <v>4.3499999999999517</v>
      </c>
      <c r="C439" s="342"/>
      <c r="D439" s="359">
        <f t="shared" ca="1" si="182"/>
        <v>4.3250873673648931</v>
      </c>
      <c r="E439" s="360">
        <f t="shared" ca="1" si="183"/>
        <v>7.8346516074072294</v>
      </c>
      <c r="F439" s="357">
        <f t="shared" ca="1" si="184"/>
        <v>8.9491980950690806</v>
      </c>
      <c r="G439" s="359">
        <f t="shared" ca="1" si="185"/>
        <v>64.005665597364924</v>
      </c>
      <c r="H439" s="360">
        <f t="shared" ca="1" si="186"/>
        <v>261.01978605412359</v>
      </c>
      <c r="I439" s="357">
        <f t="shared" ca="1" si="187"/>
        <v>268.75277475833093</v>
      </c>
      <c r="J439" s="359">
        <f t="shared" ca="1" si="188"/>
        <v>150.96848404409437</v>
      </c>
      <c r="K439" s="360">
        <f t="shared" ca="1" si="189"/>
        <v>661.96905669877037</v>
      </c>
      <c r="L439" s="357">
        <f t="shared" ca="1" si="174"/>
        <v>678.96576879930547</v>
      </c>
      <c r="M439" s="359">
        <f t="shared" ca="1" si="190"/>
        <v>1.3303273273189995</v>
      </c>
      <c r="N439" s="357">
        <f t="shared" ca="1" si="191"/>
        <v>76.222141226297495</v>
      </c>
      <c r="O439" s="343"/>
      <c r="P439" s="363">
        <f t="shared" ca="1" si="192"/>
        <v>17</v>
      </c>
      <c r="Q439" s="357">
        <f t="shared" ca="1" si="193"/>
        <v>364.77500000006984</v>
      </c>
      <c r="R439" s="359">
        <f t="shared" ca="1" si="194"/>
        <v>0.18272756546256091</v>
      </c>
      <c r="S439" s="360">
        <f t="shared" ca="1" si="195"/>
        <v>9.7653178399148199</v>
      </c>
      <c r="T439" s="357">
        <f t="shared" ca="1" si="175"/>
        <v>95.797768009564393</v>
      </c>
      <c r="U439" s="364">
        <f t="shared" ca="1" si="176"/>
        <v>0</v>
      </c>
      <c r="V439" s="359">
        <f t="shared" ca="1" si="177"/>
        <v>1.1465067942236524</v>
      </c>
      <c r="W439" s="357">
        <f t="shared" ca="1" si="178"/>
        <v>187.43995196058773</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661.96905669877037</v>
      </c>
      <c r="AF439" s="344"/>
      <c r="AG439" s="359">
        <f t="shared" ca="1" si="201"/>
        <v>8.6390722744196182</v>
      </c>
      <c r="AH439" s="357">
        <f t="shared" ca="1" si="202"/>
        <v>18.167006112238692</v>
      </c>
    </row>
    <row r="440" spans="1:34" x14ac:dyDescent="0.25">
      <c r="A440" s="402">
        <f t="shared" ca="1" si="180"/>
        <v>0.01</v>
      </c>
      <c r="B440" s="357">
        <f t="shared" ca="1" si="181"/>
        <v>4.3599999999999515</v>
      </c>
      <c r="C440" s="342"/>
      <c r="D440" s="359">
        <f t="shared" ca="1" si="182"/>
        <v>3.9707415505558528</v>
      </c>
      <c r="E440" s="360">
        <f t="shared" ca="1" si="183"/>
        <v>6.3829744863863649</v>
      </c>
      <c r="F440" s="357">
        <f t="shared" ca="1" si="184"/>
        <v>7.5172569302352557</v>
      </c>
      <c r="G440" s="359">
        <f t="shared" ca="1" si="185"/>
        <v>64.045373012870485</v>
      </c>
      <c r="H440" s="360">
        <f t="shared" ca="1" si="186"/>
        <v>261.08361579898747</v>
      </c>
      <c r="I440" s="357">
        <f t="shared" ca="1" si="187"/>
        <v>268.82422555088112</v>
      </c>
      <c r="J440" s="359">
        <f t="shared" ca="1" si="188"/>
        <v>151.60873923714556</v>
      </c>
      <c r="K440" s="360">
        <f t="shared" ca="1" si="189"/>
        <v>664.57957370803592</v>
      </c>
      <c r="L440" s="357">
        <f t="shared" ca="1" si="174"/>
        <v>681.6532986812515</v>
      </c>
      <c r="M440" s="359">
        <f t="shared" ca="1" si="190"/>
        <v>1.3302404180562291</v>
      </c>
      <c r="N440" s="357">
        <f t="shared" ca="1" si="191"/>
        <v>76.217161692340156</v>
      </c>
      <c r="O440" s="343"/>
      <c r="P440" s="363">
        <f t="shared" ca="1" si="192"/>
        <v>17</v>
      </c>
      <c r="Q440" s="357">
        <f t="shared" ca="1" si="193"/>
        <v>350.22500000007022</v>
      </c>
      <c r="R440" s="359">
        <f t="shared" ca="1" si="194"/>
        <v>0.17543900106675614</v>
      </c>
      <c r="S440" s="360">
        <f t="shared" ca="1" si="195"/>
        <v>9.7635634499041526</v>
      </c>
      <c r="T440" s="357">
        <f t="shared" ca="1" si="175"/>
        <v>95.780557443559744</v>
      </c>
      <c r="U440" s="364">
        <f t="shared" ca="1" si="176"/>
        <v>0</v>
      </c>
      <c r="V440" s="359">
        <f t="shared" ca="1" si="177"/>
        <v>1.1462072062837267</v>
      </c>
      <c r="W440" s="357">
        <f t="shared" ca="1" si="178"/>
        <v>187.49062599097763</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664.57957370803592</v>
      </c>
      <c r="AF440" s="344"/>
      <c r="AG440" s="359">
        <f t="shared" ca="1" si="201"/>
        <v>7.1449777305951852</v>
      </c>
      <c r="AH440" s="357">
        <f t="shared" ca="1" si="202"/>
        <v>16.672708573536287</v>
      </c>
    </row>
    <row r="441" spans="1:34" x14ac:dyDescent="0.25">
      <c r="A441" s="402">
        <f t="shared" ca="1" si="180"/>
        <v>0.01</v>
      </c>
      <c r="B441" s="357">
        <f t="shared" ca="1" si="181"/>
        <v>4.3699999999999513</v>
      </c>
      <c r="C441" s="342"/>
      <c r="D441" s="359">
        <f t="shared" ca="1" si="182"/>
        <v>3.6164978786578792</v>
      </c>
      <c r="E441" s="360">
        <f t="shared" ca="1" si="183"/>
        <v>4.9328033950184071</v>
      </c>
      <c r="F441" s="357">
        <f t="shared" ca="1" si="184"/>
        <v>6.1165027785689814</v>
      </c>
      <c r="G441" s="359">
        <f t="shared" ca="1" si="185"/>
        <v>64.081537991657058</v>
      </c>
      <c r="H441" s="360">
        <f t="shared" ca="1" si="186"/>
        <v>261.13294383293766</v>
      </c>
      <c r="I441" s="357">
        <f t="shared" ca="1" si="187"/>
        <v>268.88075027088189</v>
      </c>
      <c r="J441" s="359">
        <f t="shared" ca="1" si="188"/>
        <v>152.2493737921682</v>
      </c>
      <c r="K441" s="360">
        <f t="shared" ca="1" si="189"/>
        <v>667.19065650619552</v>
      </c>
      <c r="L441" s="357">
        <f t="shared" ca="1" si="174"/>
        <v>684.341467360612</v>
      </c>
      <c r="M441" s="359">
        <f t="shared" ca="1" si="190"/>
        <v>1.3301534962679404</v>
      </c>
      <c r="N441" s="357">
        <f t="shared" ca="1" si="191"/>
        <v>76.212181440723484</v>
      </c>
      <c r="O441" s="343"/>
      <c r="P441" s="363">
        <f t="shared" ca="1" si="192"/>
        <v>17</v>
      </c>
      <c r="Q441" s="357">
        <f t="shared" ca="1" si="193"/>
        <v>335.67500000007061</v>
      </c>
      <c r="R441" s="359">
        <f t="shared" ca="1" si="194"/>
        <v>0.16815043667095139</v>
      </c>
      <c r="S441" s="360">
        <f t="shared" ca="1" si="195"/>
        <v>9.7618819455374428</v>
      </c>
      <c r="T441" s="357">
        <f t="shared" ca="1" si="175"/>
        <v>95.764061885722313</v>
      </c>
      <c r="U441" s="364">
        <f t="shared" ca="1" si="176"/>
        <v>0</v>
      </c>
      <c r="V441" s="359">
        <f t="shared" ca="1" si="177"/>
        <v>1.145907629120575</v>
      </c>
      <c r="W441" s="357">
        <f t="shared" ca="1" si="178"/>
        <v>187.52045637594517</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667.19065650619552</v>
      </c>
      <c r="AF441" s="344"/>
      <c r="AG441" s="359">
        <f t="shared" ca="1" si="201"/>
        <v>5.652370425031604</v>
      </c>
      <c r="AH441" s="357">
        <f t="shared" ca="1" si="202"/>
        <v>15.179898183140203</v>
      </c>
    </row>
    <row r="442" spans="1:34" x14ac:dyDescent="0.25">
      <c r="A442" s="402">
        <f t="shared" ca="1" si="180"/>
        <v>0.01</v>
      </c>
      <c r="B442" s="357">
        <f t="shared" ca="1" si="181"/>
        <v>4.379999999999951</v>
      </c>
      <c r="C442" s="342"/>
      <c r="D442" s="359">
        <f t="shared" ca="1" si="182"/>
        <v>3.2623643546931715</v>
      </c>
      <c r="E442" s="360">
        <f t="shared" ca="1" si="183"/>
        <v>3.4841691865694955</v>
      </c>
      <c r="F442" s="357">
        <f t="shared" ca="1" si="184"/>
        <v>4.7730971185817008</v>
      </c>
      <c r="G442" s="359">
        <f t="shared" ca="1" si="185"/>
        <v>64.114161635203985</v>
      </c>
      <c r="H442" s="360">
        <f t="shared" ca="1" si="186"/>
        <v>261.16778552480338</v>
      </c>
      <c r="I442" s="357">
        <f t="shared" ca="1" si="187"/>
        <v>268.9223641092625</v>
      </c>
      <c r="J442" s="359">
        <f t="shared" ca="1" si="188"/>
        <v>152.8903522903025</v>
      </c>
      <c r="K442" s="360">
        <f t="shared" ca="1" si="189"/>
        <v>669.80216015298424</v>
      </c>
      <c r="L442" s="357">
        <f t="shared" ca="1" si="174"/>
        <v>687.03012566339237</v>
      </c>
      <c r="M442" s="359">
        <f t="shared" ca="1" si="190"/>
        <v>1.3300665571353898</v>
      </c>
      <c r="N442" s="357">
        <f t="shared" ca="1" si="191"/>
        <v>76.207200195353806</v>
      </c>
      <c r="O442" s="343"/>
      <c r="P442" s="363">
        <f t="shared" ca="1" si="192"/>
        <v>17</v>
      </c>
      <c r="Q442" s="357">
        <f t="shared" ca="1" si="193"/>
        <v>321.125000000071</v>
      </c>
      <c r="R442" s="359">
        <f t="shared" ca="1" si="194"/>
        <v>0.16086187227514662</v>
      </c>
      <c r="S442" s="360">
        <f t="shared" ca="1" si="195"/>
        <v>9.7602733268146906</v>
      </c>
      <c r="T442" s="357">
        <f t="shared" ca="1" si="175"/>
        <v>95.748281336052116</v>
      </c>
      <c r="U442" s="364">
        <f t="shared" ca="1" si="176"/>
        <v>0</v>
      </c>
      <c r="V442" s="359">
        <f t="shared" ca="1" si="177"/>
        <v>1.1456080793778309</v>
      </c>
      <c r="W442" s="357">
        <f t="shared" ca="1" si="178"/>
        <v>187.52947021013841</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669.80216015298424</v>
      </c>
      <c r="AF442" s="344"/>
      <c r="AG442" s="359">
        <f t="shared" ca="1" si="201"/>
        <v>4.1612822067462485</v>
      </c>
      <c r="AH442" s="357">
        <f t="shared" ca="1" si="202"/>
        <v>13.688606778774327</v>
      </c>
    </row>
    <row r="443" spans="1:34" x14ac:dyDescent="0.25">
      <c r="A443" s="402">
        <f t="shared" ca="1" si="180"/>
        <v>0.01</v>
      </c>
      <c r="B443" s="357">
        <f t="shared" ca="1" si="181"/>
        <v>4.3899999999999508</v>
      </c>
      <c r="C443" s="342"/>
      <c r="D443" s="359">
        <f t="shared" ca="1" si="182"/>
        <v>2.9083488575444529</v>
      </c>
      <c r="E443" s="360">
        <f t="shared" ca="1" si="183"/>
        <v>2.0371022826478207</v>
      </c>
      <c r="F443" s="357">
        <f t="shared" ca="1" si="184"/>
        <v>3.5508138204007662</v>
      </c>
      <c r="G443" s="359">
        <f t="shared" ca="1" si="185"/>
        <v>64.143245123779423</v>
      </c>
      <c r="H443" s="360">
        <f t="shared" ca="1" si="186"/>
        <v>261.18815654762983</v>
      </c>
      <c r="I443" s="357">
        <f t="shared" ca="1" si="187"/>
        <v>268.94908257095511</v>
      </c>
      <c r="J443" s="359">
        <f t="shared" ca="1" si="188"/>
        <v>153.53163932409743</v>
      </c>
      <c r="K443" s="360">
        <f t="shared" ca="1" si="189"/>
        <v>672.4139398633464</v>
      </c>
      <c r="L443" s="357">
        <f t="shared" ca="1" si="174"/>
        <v>689.7191245689022</v>
      </c>
      <c r="M443" s="359">
        <f t="shared" ca="1" si="190"/>
        <v>1.3299795958424918</v>
      </c>
      <c r="N443" s="357">
        <f t="shared" ca="1" si="191"/>
        <v>76.202217680289749</v>
      </c>
      <c r="O443" s="343"/>
      <c r="P443" s="363">
        <f t="shared" ca="1" si="192"/>
        <v>17</v>
      </c>
      <c r="Q443" s="357">
        <f t="shared" ca="1" si="193"/>
        <v>306.57500000007138</v>
      </c>
      <c r="R443" s="359">
        <f t="shared" ca="1" si="194"/>
        <v>0.15357330787934187</v>
      </c>
      <c r="S443" s="360">
        <f t="shared" ca="1" si="195"/>
        <v>9.7587375937358978</v>
      </c>
      <c r="T443" s="357">
        <f t="shared" ca="1" si="175"/>
        <v>95.733215794549167</v>
      </c>
      <c r="U443" s="364">
        <f t="shared" ca="1" si="176"/>
        <v>0</v>
      </c>
      <c r="V443" s="359">
        <f t="shared" ca="1" si="177"/>
        <v>1.1453085736645188</v>
      </c>
      <c r="W443" s="357">
        <f t="shared" ca="1" si="178"/>
        <v>187.51769848670099</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672.4139398633464</v>
      </c>
      <c r="AF443" s="344"/>
      <c r="AG443" s="359">
        <f t="shared" ca="1" si="201"/>
        <v>2.671744476033604</v>
      </c>
      <c r="AH443" s="357">
        <f t="shared" ca="1" si="202"/>
        <v>12.198865749433402</v>
      </c>
    </row>
    <row r="444" spans="1:34" x14ac:dyDescent="0.25">
      <c r="A444" s="402">
        <f t="shared" ca="1" si="180"/>
        <v>0.01</v>
      </c>
      <c r="B444" s="357">
        <f t="shared" ca="1" si="181"/>
        <v>4.3999999999999506</v>
      </c>
      <c r="C444" s="342"/>
      <c r="D444" s="359">
        <f t="shared" ca="1" si="182"/>
        <v>2.5544591418722895</v>
      </c>
      <c r="E444" s="360">
        <f t="shared" ca="1" si="183"/>
        <v>0.59163267315764578</v>
      </c>
      <c r="F444" s="357">
        <f t="shared" ca="1" si="184"/>
        <v>2.6220775593873222</v>
      </c>
      <c r="G444" s="359">
        <f t="shared" ca="1" si="185"/>
        <v>64.168789715198145</v>
      </c>
      <c r="H444" s="360">
        <f t="shared" ca="1" si="186"/>
        <v>261.19407287436138</v>
      </c>
      <c r="I444" s="357">
        <f t="shared" ca="1" si="187"/>
        <v>268.96092147040719</v>
      </c>
      <c r="J444" s="359">
        <f t="shared" ca="1" si="188"/>
        <v>154.17319949829232</v>
      </c>
      <c r="K444" s="360">
        <f t="shared" ca="1" si="189"/>
        <v>675.02585101045634</v>
      </c>
      <c r="L444" s="357">
        <f t="shared" ca="1" si="174"/>
        <v>692.4083152128743</v>
      </c>
      <c r="M444" s="359">
        <f t="shared" ca="1" si="190"/>
        <v>1.3298926075743238</v>
      </c>
      <c r="N444" s="357">
        <f t="shared" ca="1" si="191"/>
        <v>76.197233619656572</v>
      </c>
      <c r="O444" s="343"/>
      <c r="P444" s="363">
        <f t="shared" ca="1" si="192"/>
        <v>17</v>
      </c>
      <c r="Q444" s="357">
        <f t="shared" ca="1" si="193"/>
        <v>292.02500000007177</v>
      </c>
      <c r="R444" s="359">
        <f t="shared" ca="1" si="194"/>
        <v>0.14628474348353709</v>
      </c>
      <c r="S444" s="360">
        <f t="shared" ca="1" si="195"/>
        <v>9.7572747463010625</v>
      </c>
      <c r="T444" s="357">
        <f t="shared" ca="1" si="175"/>
        <v>95.718865261213423</v>
      </c>
      <c r="U444" s="364">
        <f t="shared" ca="1" si="176"/>
        <v>0</v>
      </c>
      <c r="V444" s="359">
        <f t="shared" ca="1" si="177"/>
        <v>1.1450091285547392</v>
      </c>
      <c r="W444" s="357">
        <f t="shared" ca="1" si="178"/>
        <v>187.48517607119385</v>
      </c>
      <c r="X444" s="343"/>
      <c r="Y444" s="367" t="str">
        <f t="shared" ca="1" si="196"/>
        <v/>
      </c>
      <c r="Z444" s="368" t="str">
        <f t="shared" ca="1" si="197"/>
        <v/>
      </c>
      <c r="AA444" s="369" t="str">
        <f t="shared" ca="1" si="198"/>
        <v/>
      </c>
      <c r="AB444" s="344"/>
      <c r="AC444" s="363" t="e">
        <f t="shared" ca="1" si="199"/>
        <v>#N/A</v>
      </c>
      <c r="AD444" s="376" t="e">
        <f t="shared" ca="1" si="200"/>
        <v>#N/A</v>
      </c>
      <c r="AE444" s="377">
        <f t="shared" ca="1" si="179"/>
        <v>675.02585101045634</v>
      </c>
      <c r="AF444" s="344"/>
      <c r="AG444" s="359">
        <f t="shared" ca="1" si="201"/>
        <v>1.1837881843943094</v>
      </c>
      <c r="AH444" s="357">
        <f t="shared" ca="1" si="202"/>
        <v>10.710706035308579</v>
      </c>
    </row>
    <row r="445" spans="1:34" x14ac:dyDescent="0.25">
      <c r="A445" s="402">
        <f t="shared" ca="1" si="180"/>
        <v>0.01</v>
      </c>
      <c r="B445" s="357">
        <f t="shared" ca="1" si="181"/>
        <v>4.4099999999999504</v>
      </c>
      <c r="C445" s="342"/>
      <c r="D445" s="359">
        <f t="shared" ca="1" si="182"/>
        <v>2.2007028380417899</v>
      </c>
      <c r="E445" s="360">
        <f t="shared" ca="1" si="183"/>
        <v>-0.85221008366378292</v>
      </c>
      <c r="F445" s="357">
        <f t="shared" ca="1" si="184"/>
        <v>2.3599480943578865</v>
      </c>
      <c r="G445" s="359">
        <f t="shared" ca="1" si="185"/>
        <v>64.190796743578559</v>
      </c>
      <c r="H445" s="360">
        <f t="shared" ca="1" si="186"/>
        <v>261.18555077352477</v>
      </c>
      <c r="I445" s="357">
        <f t="shared" ca="1" si="187"/>
        <v>268.9578969270932</v>
      </c>
      <c r="J445" s="359">
        <f t="shared" ca="1" si="188"/>
        <v>154.8149974305862</v>
      </c>
      <c r="K445" s="360">
        <f t="shared" ca="1" si="189"/>
        <v>677.63774912869576</v>
      </c>
      <c r="L445" s="357">
        <f t="shared" ca="1" si="174"/>
        <v>695.09754889054068</v>
      </c>
      <c r="M445" s="359">
        <f t="shared" ca="1" si="190"/>
        <v>1.3298055875156332</v>
      </c>
      <c r="N445" s="357">
        <f t="shared" ca="1" si="191"/>
        <v>76.192247737560621</v>
      </c>
      <c r="O445" s="343"/>
      <c r="P445" s="363">
        <f t="shared" ca="1" si="192"/>
        <v>17</v>
      </c>
      <c r="Q445" s="357">
        <f t="shared" ca="1" si="193"/>
        <v>277.47500000007216</v>
      </c>
      <c r="R445" s="359">
        <f t="shared" ca="1" si="194"/>
        <v>0.13899617908773235</v>
      </c>
      <c r="S445" s="360">
        <f t="shared" ca="1" si="195"/>
        <v>9.7558847845101848</v>
      </c>
      <c r="T445" s="357">
        <f t="shared" ca="1" si="175"/>
        <v>95.705229736044913</v>
      </c>
      <c r="U445" s="364">
        <f t="shared" ca="1" si="176"/>
        <v>0</v>
      </c>
      <c r="V445" s="359">
        <f t="shared" ca="1" si="177"/>
        <v>1.144709760587364</v>
      </c>
      <c r="W445" s="357">
        <f t="shared" ca="1" si="178"/>
        <v>187.43194167521025</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677.63774912869576</v>
      </c>
      <c r="AF445" s="344"/>
      <c r="AG445" s="359">
        <f t="shared" ca="1" si="201"/>
        <v>-0.30255616545303177</v>
      </c>
      <c r="AH445" s="357">
        <f t="shared" ca="1" si="202"/>
        <v>9.2241581277957287</v>
      </c>
    </row>
    <row r="446" spans="1:34" x14ac:dyDescent="0.25">
      <c r="A446" s="402">
        <f t="shared" ca="1" si="180"/>
        <v>0.01</v>
      </c>
      <c r="B446" s="357">
        <f t="shared" ca="1" si="181"/>
        <v>4.4199999999999502</v>
      </c>
      <c r="C446" s="342"/>
      <c r="D446" s="359">
        <f t="shared" ca="1" si="182"/>
        <v>1.880508447036179</v>
      </c>
      <c r="E446" s="360">
        <f t="shared" ca="1" si="183"/>
        <v>-2.1584103736016615</v>
      </c>
      <c r="F446" s="357">
        <f t="shared" ca="1" si="184"/>
        <v>2.8626993136279064</v>
      </c>
      <c r="G446" s="359">
        <f t="shared" ca="1" si="185"/>
        <v>64.209601828048918</v>
      </c>
      <c r="H446" s="360">
        <f t="shared" ca="1" si="186"/>
        <v>261.16396666978875</v>
      </c>
      <c r="I446" s="357">
        <f t="shared" ca="1" si="187"/>
        <v>268.94142569268701</v>
      </c>
      <c r="J446" s="359">
        <f t="shared" ca="1" si="188"/>
        <v>155.45699942344433</v>
      </c>
      <c r="K446" s="360">
        <f t="shared" ca="1" si="189"/>
        <v>680.2494967159123</v>
      </c>
      <c r="L446" s="357">
        <f t="shared" ca="1" si="174"/>
        <v>697.78668406038867</v>
      </c>
      <c r="M446" s="359">
        <f t="shared" ca="1" si="190"/>
        <v>1.329718531302633</v>
      </c>
      <c r="N446" s="357">
        <f t="shared" ca="1" si="191"/>
        <v>76.187259783975307</v>
      </c>
      <c r="O446" s="343"/>
      <c r="P446" s="363">
        <f t="shared" ca="1" si="192"/>
        <v>18</v>
      </c>
      <c r="Q446" s="357">
        <f t="shared" ca="1" si="193"/>
        <v>264.29090909096794</v>
      </c>
      <c r="R446" s="359">
        <f t="shared" ca="1" si="194"/>
        <v>0.13239184262098644</v>
      </c>
      <c r="S446" s="360">
        <f t="shared" ca="1" si="195"/>
        <v>9.7545608660839758</v>
      </c>
      <c r="T446" s="357">
        <f t="shared" ca="1" si="175"/>
        <v>95.692242096283806</v>
      </c>
      <c r="U446" s="364">
        <f t="shared" ca="1" si="176"/>
        <v>0</v>
      </c>
      <c r="V446" s="359">
        <f t="shared" ca="1" si="177"/>
        <v>1.1444104854867132</v>
      </c>
      <c r="W446" s="357">
        <f t="shared" ca="1" si="178"/>
        <v>187.35998879943216</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680.2494967159123</v>
      </c>
      <c r="AF446" s="344"/>
      <c r="AG446" s="359">
        <f t="shared" ca="1" si="201"/>
        <v>-1.6472253530679977</v>
      </c>
      <c r="AH446" s="357">
        <f t="shared" ca="1" si="202"/>
        <v>7.8792852359957815</v>
      </c>
    </row>
    <row r="447" spans="1:34" x14ac:dyDescent="0.25">
      <c r="A447" s="402">
        <f t="shared" ca="1" si="180"/>
        <v>0.01</v>
      </c>
      <c r="B447" s="357">
        <f t="shared" ca="1" si="181"/>
        <v>4.42999999999995</v>
      </c>
      <c r="C447" s="342"/>
      <c r="D447" s="359">
        <f t="shared" ca="1" si="182"/>
        <v>1.5938844135642867</v>
      </c>
      <c r="E447" s="360">
        <f t="shared" ca="1" si="183"/>
        <v>-3.3270883480270976</v>
      </c>
      <c r="F447" s="357">
        <f t="shared" ca="1" si="184"/>
        <v>3.6891712347600309</v>
      </c>
      <c r="G447" s="359">
        <f t="shared" ca="1" si="185"/>
        <v>64.225540672184565</v>
      </c>
      <c r="H447" s="360">
        <f t="shared" ca="1" si="186"/>
        <v>261.13069578630848</v>
      </c>
      <c r="I447" s="357">
        <f t="shared" ca="1" si="187"/>
        <v>268.91292337200161</v>
      </c>
      <c r="J447" s="359">
        <f t="shared" ca="1" si="188"/>
        <v>156.0991751359455</v>
      </c>
      <c r="K447" s="360">
        <f t="shared" ca="1" si="189"/>
        <v>682.86097002819281</v>
      </c>
      <c r="L447" s="357">
        <f t="shared" ca="1" si="174"/>
        <v>700.47559334067239</v>
      </c>
      <c r="M447" s="359">
        <f t="shared" ca="1" si="190"/>
        <v>1.3296314350222584</v>
      </c>
      <c r="N447" s="357">
        <f t="shared" ca="1" si="191"/>
        <v>76.182269534698563</v>
      </c>
      <c r="O447" s="343"/>
      <c r="P447" s="363">
        <f t="shared" ca="1" si="192"/>
        <v>18</v>
      </c>
      <c r="Q447" s="357">
        <f t="shared" ca="1" si="193"/>
        <v>252.47272727278633</v>
      </c>
      <c r="R447" s="359">
        <f t="shared" ca="1" si="194"/>
        <v>0.12647173408331305</v>
      </c>
      <c r="S447" s="360">
        <f t="shared" ca="1" si="195"/>
        <v>9.7532961487431429</v>
      </c>
      <c r="T447" s="357">
        <f t="shared" ca="1" si="175"/>
        <v>95.679835219170243</v>
      </c>
      <c r="U447" s="364">
        <f t="shared" ca="1" si="176"/>
        <v>0</v>
      </c>
      <c r="V447" s="359">
        <f t="shared" ca="1" si="177"/>
        <v>1.1441113173852762</v>
      </c>
      <c r="W447" s="357">
        <f t="shared" ca="1" si="178"/>
        <v>187.27130954469641</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682.86097002819281</v>
      </c>
      <c r="AF447" s="344"/>
      <c r="AG447" s="359">
        <f t="shared" ca="1" si="201"/>
        <v>-2.8503340640152635</v>
      </c>
      <c r="AH447" s="357">
        <f t="shared" ca="1" si="202"/>
        <v>6.6759726640459816</v>
      </c>
    </row>
    <row r="448" spans="1:34" x14ac:dyDescent="0.25">
      <c r="A448" s="402">
        <f t="shared" ca="1" si="180"/>
        <v>0.01</v>
      </c>
      <c r="B448" s="357">
        <f t="shared" ca="1" si="181"/>
        <v>4.4399999999999498</v>
      </c>
      <c r="C448" s="342"/>
      <c r="D448" s="359">
        <f t="shared" ca="1" si="182"/>
        <v>1.3073842896537888</v>
      </c>
      <c r="E448" s="360">
        <f t="shared" ca="1" si="183"/>
        <v>-4.494386217004811</v>
      </c>
      <c r="F448" s="357">
        <f t="shared" ca="1" si="184"/>
        <v>4.6806795605378024</v>
      </c>
      <c r="G448" s="359">
        <f t="shared" ca="1" si="185"/>
        <v>64.238614515081096</v>
      </c>
      <c r="H448" s="360">
        <f t="shared" ca="1" si="186"/>
        <v>261.08575192413844</v>
      </c>
      <c r="I448" s="357">
        <f t="shared" ca="1" si="187"/>
        <v>268.87240366502834</v>
      </c>
      <c r="J448" s="359">
        <f t="shared" ca="1" si="188"/>
        <v>156.74149591188183</v>
      </c>
      <c r="K448" s="360">
        <f t="shared" ca="1" si="189"/>
        <v>685.4720522667451</v>
      </c>
      <c r="L448" s="357">
        <f t="shared" ca="1" si="174"/>
        <v>703.16415649510873</v>
      </c>
      <c r="M448" s="359">
        <f t="shared" ca="1" si="190"/>
        <v>1.3295442947578768</v>
      </c>
      <c r="N448" s="357">
        <f t="shared" ca="1" si="191"/>
        <v>76.177276765323839</v>
      </c>
      <c r="O448" s="343"/>
      <c r="P448" s="363">
        <f t="shared" ca="1" si="192"/>
        <v>18</v>
      </c>
      <c r="Q448" s="357">
        <f t="shared" ca="1" si="193"/>
        <v>240.65454545460472</v>
      </c>
      <c r="R448" s="359">
        <f t="shared" ca="1" si="194"/>
        <v>0.12055162554563965</v>
      </c>
      <c r="S448" s="360">
        <f t="shared" ca="1" si="195"/>
        <v>9.7520906324876862</v>
      </c>
      <c r="T448" s="357">
        <f t="shared" ca="1" si="175"/>
        <v>95.668009104704211</v>
      </c>
      <c r="U448" s="364">
        <f t="shared" ca="1" si="176"/>
        <v>0</v>
      </c>
      <c r="V448" s="359">
        <f t="shared" ca="1" si="177"/>
        <v>1.143812269605929</v>
      </c>
      <c r="W448" s="357">
        <f t="shared" ca="1" si="178"/>
        <v>187.1659436245607</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685.4720522667451</v>
      </c>
      <c r="AF448" s="344"/>
      <c r="AG448" s="359">
        <f t="shared" ca="1" si="201"/>
        <v>-4.0520727804596754</v>
      </c>
      <c r="AH448" s="357">
        <f t="shared" ca="1" si="202"/>
        <v>5.4740299205249121</v>
      </c>
    </row>
    <row r="449" spans="1:34" x14ac:dyDescent="0.25">
      <c r="A449" s="402">
        <f t="shared" ca="1" si="180"/>
        <v>0.01</v>
      </c>
      <c r="B449" s="357">
        <f t="shared" ca="1" si="181"/>
        <v>4.4499999999999496</v>
      </c>
      <c r="C449" s="342"/>
      <c r="D449" s="359">
        <f t="shared" ca="1" si="182"/>
        <v>1.0210126840961662</v>
      </c>
      <c r="E449" s="360">
        <f t="shared" ca="1" si="183"/>
        <v>-5.6602862123723394</v>
      </c>
      <c r="F449" s="357">
        <f t="shared" ca="1" si="184"/>
        <v>5.751635150725197</v>
      </c>
      <c r="G449" s="359">
        <f t="shared" ca="1" si="185"/>
        <v>64.248824641922056</v>
      </c>
      <c r="H449" s="360">
        <f t="shared" ca="1" si="186"/>
        <v>261.02914906201471</v>
      </c>
      <c r="I449" s="357">
        <f t="shared" ca="1" si="187"/>
        <v>268.81988045512549</v>
      </c>
      <c r="J449" s="359">
        <f t="shared" ca="1" si="188"/>
        <v>157.38393310766685</v>
      </c>
      <c r="K449" s="360">
        <f t="shared" ca="1" si="189"/>
        <v>688.0826267716759</v>
      </c>
      <c r="L449" s="357">
        <f t="shared" ca="1" si="174"/>
        <v>705.85225342521085</v>
      </c>
      <c r="M449" s="359">
        <f t="shared" ca="1" si="190"/>
        <v>1.3294571065883007</v>
      </c>
      <c r="N449" s="357">
        <f t="shared" ca="1" si="191"/>
        <v>76.172281251183662</v>
      </c>
      <c r="O449" s="343"/>
      <c r="P449" s="363">
        <f t="shared" ca="1" si="192"/>
        <v>18</v>
      </c>
      <c r="Q449" s="357">
        <f t="shared" ca="1" si="193"/>
        <v>228.83636363642307</v>
      </c>
      <c r="R449" s="359">
        <f t="shared" ca="1" si="194"/>
        <v>0.11463151700796624</v>
      </c>
      <c r="S449" s="360">
        <f t="shared" ca="1" si="195"/>
        <v>9.7509443173176074</v>
      </c>
      <c r="T449" s="357">
        <f t="shared" ca="1" si="175"/>
        <v>95.656763752885738</v>
      </c>
      <c r="U449" s="364">
        <f t="shared" ca="1" si="176"/>
        <v>0</v>
      </c>
      <c r="V449" s="359">
        <f t="shared" ca="1" si="177"/>
        <v>1.1435133554421777</v>
      </c>
      <c r="W449" s="357">
        <f t="shared" ca="1" si="178"/>
        <v>187.04393319765148</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688.0826267716759</v>
      </c>
      <c r="AF449" s="344"/>
      <c r="AG449" s="359">
        <f t="shared" ca="1" si="201"/>
        <v>-5.2524231657251708</v>
      </c>
      <c r="AH449" s="357">
        <f t="shared" ca="1" si="202"/>
        <v>4.2734753328306887</v>
      </c>
    </row>
    <row r="450" spans="1:34" x14ac:dyDescent="0.25">
      <c r="A450" s="402">
        <f t="shared" ca="1" si="180"/>
        <v>0.01</v>
      </c>
      <c r="B450" s="357">
        <f t="shared" ca="1" si="181"/>
        <v>4.4599999999999493</v>
      </c>
      <c r="C450" s="342"/>
      <c r="D450" s="359">
        <f t="shared" ca="1" si="182"/>
        <v>0.73477412406756992</v>
      </c>
      <c r="E450" s="360">
        <f t="shared" ca="1" si="183"/>
        <v>-6.8247708471386108</v>
      </c>
      <c r="F450" s="357">
        <f t="shared" ca="1" si="184"/>
        <v>6.8642108162083959</v>
      </c>
      <c r="G450" s="359">
        <f t="shared" ca="1" si="185"/>
        <v>64.256172383162735</v>
      </c>
      <c r="H450" s="360">
        <f t="shared" ca="1" si="186"/>
        <v>260.96090135354331</v>
      </c>
      <c r="I450" s="357">
        <f t="shared" ca="1" si="187"/>
        <v>268.75536780609332</v>
      </c>
      <c r="J450" s="359">
        <f t="shared" ca="1" si="188"/>
        <v>158.02645809279227</v>
      </c>
      <c r="K450" s="360">
        <f t="shared" ca="1" si="189"/>
        <v>690.69257702375364</v>
      </c>
      <c r="L450" s="357">
        <f t="shared" ca="1" si="174"/>
        <v>708.53976417210833</v>
      </c>
      <c r="M450" s="359">
        <f t="shared" ca="1" si="190"/>
        <v>1.3293698665868028</v>
      </c>
      <c r="N450" s="357">
        <f t="shared" ca="1" si="191"/>
        <v>76.167282767293116</v>
      </c>
      <c r="O450" s="343"/>
      <c r="P450" s="363">
        <f t="shared" ca="1" si="192"/>
        <v>18</v>
      </c>
      <c r="Q450" s="357">
        <f t="shared" ca="1" si="193"/>
        <v>217.01818181824146</v>
      </c>
      <c r="R450" s="359">
        <f t="shared" ca="1" si="194"/>
        <v>0.10871140847029283</v>
      </c>
      <c r="S450" s="360">
        <f t="shared" ca="1" si="195"/>
        <v>9.7498572032329047</v>
      </c>
      <c r="T450" s="357">
        <f t="shared" ca="1" si="175"/>
        <v>95.646099163714794</v>
      </c>
      <c r="U450" s="364">
        <f t="shared" ca="1" si="176"/>
        <v>0</v>
      </c>
      <c r="V450" s="359">
        <f t="shared" ca="1" si="177"/>
        <v>1.1432145881579954</v>
      </c>
      <c r="W450" s="357">
        <f t="shared" ca="1" si="178"/>
        <v>186.90532284958806</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690.69257702375364</v>
      </c>
      <c r="AF450" s="344"/>
      <c r="AG450" s="359">
        <f t="shared" ca="1" si="201"/>
        <v>-6.4513671756233801</v>
      </c>
      <c r="AH450" s="357">
        <f t="shared" ca="1" si="202"/>
        <v>3.0743269358499905</v>
      </c>
    </row>
    <row r="451" spans="1:34" x14ac:dyDescent="0.25">
      <c r="A451" s="402">
        <f t="shared" ca="1" si="180"/>
        <v>0.01</v>
      </c>
      <c r="B451" s="357">
        <f t="shared" ca="1" si="181"/>
        <v>4.4699999999999491</v>
      </c>
      <c r="C451" s="342"/>
      <c r="D451" s="359">
        <f t="shared" ca="1" si="182"/>
        <v>0.44867305518349199</v>
      </c>
      <c r="E451" s="360">
        <f t="shared" ca="1" si="183"/>
        <v>-7.9878229148860331</v>
      </c>
      <c r="F451" s="357">
        <f t="shared" ca="1" si="184"/>
        <v>8.0004138911700107</v>
      </c>
      <c r="G451" s="359">
        <f t="shared" ca="1" si="185"/>
        <v>64.260659113714567</v>
      </c>
      <c r="H451" s="360">
        <f t="shared" ca="1" si="186"/>
        <v>260.88102312439446</v>
      </c>
      <c r="I451" s="357">
        <f t="shared" ca="1" si="187"/>
        <v>268.6788799592552</v>
      </c>
      <c r="J451" s="359">
        <f t="shared" ca="1" si="188"/>
        <v>158.66904225027665</v>
      </c>
      <c r="K451" s="360">
        <f t="shared" ca="1" si="189"/>
        <v>693.30178664614334</v>
      </c>
      <c r="L451" s="357">
        <f t="shared" ca="1" si="174"/>
        <v>711.22656891834026</v>
      </c>
      <c r="M451" s="359">
        <f t="shared" ca="1" si="190"/>
        <v>1.3292825708201239</v>
      </c>
      <c r="N451" s="357">
        <f t="shared" ca="1" si="191"/>
        <v>76.162281088293057</v>
      </c>
      <c r="O451" s="343"/>
      <c r="P451" s="363">
        <f t="shared" ca="1" si="192"/>
        <v>18</v>
      </c>
      <c r="Q451" s="357">
        <f t="shared" ca="1" si="193"/>
        <v>205.20000000005982</v>
      </c>
      <c r="R451" s="359">
        <f t="shared" ca="1" si="194"/>
        <v>0.10279129993261941</v>
      </c>
      <c r="S451" s="360">
        <f t="shared" ca="1" si="195"/>
        <v>9.7488292902335782</v>
      </c>
      <c r="T451" s="357">
        <f t="shared" ca="1" si="175"/>
        <v>95.636015337191409</v>
      </c>
      <c r="U451" s="364">
        <f t="shared" ca="1" si="176"/>
        <v>0</v>
      </c>
      <c r="V451" s="359">
        <f t="shared" ca="1" si="177"/>
        <v>1.1429159809876648</v>
      </c>
      <c r="W451" s="357">
        <f t="shared" ca="1" si="178"/>
        <v>186.75015957480039</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693.30178664614334</v>
      </c>
      <c r="AF451" s="344"/>
      <c r="AG451" s="359">
        <f t="shared" ca="1" si="201"/>
        <v>-7.6488870578643331</v>
      </c>
      <c r="AH451" s="357">
        <f t="shared" ca="1" si="202"/>
        <v>1.8766024725450314</v>
      </c>
    </row>
    <row r="452" spans="1:34" x14ac:dyDescent="0.25">
      <c r="A452" s="402">
        <f t="shared" ca="1" si="180"/>
        <v>0.01</v>
      </c>
      <c r="B452" s="357">
        <f t="shared" ca="1" si="181"/>
        <v>4.4799999999999489</v>
      </c>
      <c r="C452" s="342"/>
      <c r="D452" s="359">
        <f t="shared" ca="1" si="182"/>
        <v>0.16271384155719987</v>
      </c>
      <c r="E452" s="360">
        <f t="shared" ca="1" si="183"/>
        <v>-9.1494254891344031</v>
      </c>
      <c r="F452" s="357">
        <f t="shared" ca="1" si="184"/>
        <v>9.1508722303098846</v>
      </c>
      <c r="G452" s="359">
        <f t="shared" ca="1" si="185"/>
        <v>64.262286252130139</v>
      </c>
      <c r="H452" s="360">
        <f t="shared" ca="1" si="186"/>
        <v>260.7895288695031</v>
      </c>
      <c r="I452" s="357">
        <f t="shared" ca="1" si="187"/>
        <v>268.59043133054485</v>
      </c>
      <c r="J452" s="359">
        <f t="shared" ca="1" si="188"/>
        <v>159.31165697710588</v>
      </c>
      <c r="K452" s="360">
        <f t="shared" ca="1" si="189"/>
        <v>695.91013940611288</v>
      </c>
      <c r="L452" s="357">
        <f t="shared" ref="L452:L515" ca="1" si="203">SQRT(pos_x^2+pos_z^2)</f>
        <v>713.91254798961654</v>
      </c>
      <c r="M452" s="359">
        <f t="shared" ca="1" si="190"/>
        <v>1.3291952153474809</v>
      </c>
      <c r="N452" s="357">
        <f t="shared" ca="1" si="191"/>
        <v>76.157275988393238</v>
      </c>
      <c r="O452" s="343"/>
      <c r="P452" s="363">
        <f t="shared" ca="1" si="192"/>
        <v>18</v>
      </c>
      <c r="Q452" s="357">
        <f t="shared" ca="1" si="193"/>
        <v>193.3818181818782</v>
      </c>
      <c r="R452" s="359">
        <f t="shared" ca="1" si="194"/>
        <v>9.6871191394946016E-2</v>
      </c>
      <c r="S452" s="360">
        <f t="shared" ca="1" si="195"/>
        <v>9.7478605783196279</v>
      </c>
      <c r="T452" s="357">
        <f t="shared" ref="T452:T515" ca="1" si="204">m*g</f>
        <v>95.626512273315555</v>
      </c>
      <c r="U452" s="364">
        <f t="shared" ref="U452:U515" ca="1" si="205">IF(pos_xz&lt;L_rampe,Poids*COS(Beta),0)</f>
        <v>0</v>
      </c>
      <c r="V452" s="359">
        <f t="shared" ref="V452:V515" ca="1" si="206">Rho_moyen*(20000-Alt_rampe-pos_z)/(20000+Alt_rampe+pos_z)</f>
        <v>1.1426175471356244</v>
      </c>
      <c r="W452" s="357">
        <f t="shared" ref="W452:W515" ca="1" si="207">1/2*Rho*Sref*Cx*vit_xz^2</f>
        <v>186.57849275824537</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695.91013940611288</v>
      </c>
      <c r="AF452" s="344"/>
      <c r="AG452" s="359">
        <f t="shared" ca="1" si="201"/>
        <v>-8.8449653514291562</v>
      </c>
      <c r="AH452" s="357">
        <f t="shared" ca="1" si="202"/>
        <v>0.68031939457847679</v>
      </c>
    </row>
    <row r="453" spans="1:34" x14ac:dyDescent="0.25">
      <c r="A453" s="402">
        <f t="shared" ref="A453:A516" ca="1" si="209">IF(B452+0.01&lt;=T_ini+ROUNDUP(Temps_fin_propu,0), 0.01, IF(K452&gt;0, 0.1, 0.0001))</f>
        <v>0.01</v>
      </c>
      <c r="B453" s="357">
        <f t="shared" ref="B453:B516" ca="1" si="210">B452+pas</f>
        <v>4.4899999999999487</v>
      </c>
      <c r="C453" s="342"/>
      <c r="D453" s="359">
        <f t="shared" ref="D453:D516" ca="1" si="211">IF(AND(L452&lt;L_rampe,Poussee&lt;Poids*SIN(M452)),0,(-W452+Poussee)/m*COS(M452)-U452/m*SIN(M452))</f>
        <v>-0.12309923413823477</v>
      </c>
      <c r="E453" s="360">
        <f t="shared" ref="E453:E516" ca="1" si="212">IF(AND(L452&lt;L_rampe,Poussee&lt;Poids*SIN(M452)),0,(-W452+Poussee)/m*SIN(M452)+U452/m*COS(M452)-Poids/m)</f>
        <v>-10.309561922667244</v>
      </c>
      <c r="F453" s="357">
        <f t="shared" ref="F453:F516" ca="1" si="213">SQRT(acc_x^2+acc_z^2)</f>
        <v>10.310296817199578</v>
      </c>
      <c r="G453" s="359">
        <f t="shared" ref="G453:G516" ca="1" si="214">G452+acc_x*pas</f>
        <v>64.261055259788762</v>
      </c>
      <c r="H453" s="360">
        <f t="shared" ref="H453:H516" ca="1" si="215">H452+acc_z*pas</f>
        <v>260.68643325027642</v>
      </c>
      <c r="I453" s="357">
        <f t="shared" ref="I453:I516" ca="1" si="216">SQRT(vit_x^2+vit_z^2)</f>
        <v>268.49003650760011</v>
      </c>
      <c r="J453" s="359">
        <f t="shared" ref="J453:J516" ca="1" si="217">J452+0.5*(vit_x+G452)*pas*(K452&gt;=0)</f>
        <v>159.95427368466548</v>
      </c>
      <c r="K453" s="360">
        <f t="shared" ref="K453:K516" ca="1" si="218">K452+0.5*(vit_z+H452)*pas</f>
        <v>698.51751921671178</v>
      </c>
      <c r="L453" s="357">
        <f t="shared" ca="1" si="203"/>
        <v>716.59758185655232</v>
      </c>
      <c r="M453" s="359">
        <f t="shared" ref="M453:M516" ca="1" si="219">IF(AND(L452&gt;L_rampe,G453&gt;0),ATAN2(G453,H453),$M$4)</f>
        <v>1.3291077962195696</v>
      </c>
      <c r="N453" s="357">
        <f t="shared" ref="N453:N516" ca="1" si="220">DEGREES(Beta)</f>
        <v>76.152267241315215</v>
      </c>
      <c r="O453" s="343"/>
      <c r="P453" s="363">
        <f t="shared" ref="P453:P516" ca="1" si="221">MATCH(t-pas/2-T_ini,CdP_t)</f>
        <v>18</v>
      </c>
      <c r="Q453" s="357">
        <f t="shared" ref="Q453:Q516" ca="1" si="222">(INDEX(CdP,2,i_P+1)-INDEX(CdP,2,i_P+0))/(INDEX(CdP,1,i_P+1)-INDEX(CdP,1,i_P+0))*(t-pas/2-T_ini-INDEX(CdP,1,i_P+0))+INDEX(CdP,2,i_P+0)</f>
        <v>181.56363636369656</v>
      </c>
      <c r="R453" s="359">
        <f t="shared" ref="R453:R516" ca="1" si="223">Poussee/(g*ISP)</f>
        <v>9.0951082857272603E-2</v>
      </c>
      <c r="S453" s="360">
        <f t="shared" ref="S453:S516" ca="1" si="224">S452-Débit*pas</f>
        <v>9.7469510674910556</v>
      </c>
      <c r="T453" s="357">
        <f t="shared" ca="1" si="204"/>
        <v>95.617589972087259</v>
      </c>
      <c r="U453" s="364">
        <f t="shared" ca="1" si="205"/>
        <v>0</v>
      </c>
      <c r="V453" s="359">
        <f t="shared" ca="1" si="206"/>
        <v>1.1423192997763201</v>
      </c>
      <c r="W453" s="357">
        <f t="shared" ca="1" si="207"/>
        <v>186.39037415702745</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698.51751921671178</v>
      </c>
      <c r="AF453" s="344"/>
      <c r="AG453" s="359">
        <f t="shared" ref="AG453:AG516" ca="1" si="230">IF(AND(L452&lt;L_rampe,Poussee&lt;Poids*SIN(M452)),0,(-W452+Poussee)/m-Poids*SIN(M452)/m)</f>
        <v>-10.039584885905468</v>
      </c>
      <c r="AH453" s="357">
        <f t="shared" ref="AH453:AH516" ca="1" si="231">IF(AND(L452&lt;L_rampe,Poussee&lt;Poids*SIN(M452)), g*SIN(M452), (-W452+Poussee)/m)</f>
        <v>-0.51450513702431866</v>
      </c>
    </row>
    <row r="454" spans="1:34" x14ac:dyDescent="0.25">
      <c r="A454" s="402">
        <f t="shared" ca="1" si="209"/>
        <v>0.01</v>
      </c>
      <c r="B454" s="357">
        <f t="shared" ca="1" si="210"/>
        <v>4.4999999999999485</v>
      </c>
      <c r="C454" s="342"/>
      <c r="D454" s="359">
        <f t="shared" ca="1" si="211"/>
        <v>-0.4087619706044493</v>
      </c>
      <c r="E454" s="360">
        <f t="shared" ca="1" si="212"/>
        <v>-11.468215846821101</v>
      </c>
      <c r="F454" s="357">
        <f t="shared" ca="1" si="213"/>
        <v>11.475498292357114</v>
      </c>
      <c r="G454" s="359">
        <f t="shared" ca="1" si="214"/>
        <v>64.256967640082721</v>
      </c>
      <c r="H454" s="360">
        <f t="shared" ca="1" si="215"/>
        <v>260.57175109180821</v>
      </c>
      <c r="I454" s="357">
        <f t="shared" ca="1" si="216"/>
        <v>268.37771024686441</v>
      </c>
      <c r="J454" s="359">
        <f t="shared" ca="1" si="217"/>
        <v>160.59686379916485</v>
      </c>
      <c r="K454" s="360">
        <f t="shared" ca="1" si="218"/>
        <v>701.12381013842219</v>
      </c>
      <c r="L454" s="357">
        <f t="shared" ca="1" si="203"/>
        <v>719.28155113637229</v>
      </c>
      <c r="M454" s="359">
        <f t="shared" ca="1" si="219"/>
        <v>1.3290203094775646</v>
      </c>
      <c r="N454" s="357">
        <f t="shared" ca="1" si="220"/>
        <v>76.147254620234975</v>
      </c>
      <c r="O454" s="343"/>
      <c r="P454" s="363">
        <f t="shared" ca="1" si="221"/>
        <v>18</v>
      </c>
      <c r="Q454" s="357">
        <f t="shared" ca="1" si="222"/>
        <v>169.74545454551495</v>
      </c>
      <c r="R454" s="359">
        <f t="shared" ca="1" si="223"/>
        <v>8.5030974319599203E-2</v>
      </c>
      <c r="S454" s="360">
        <f t="shared" ca="1" si="224"/>
        <v>9.7461007577478593</v>
      </c>
      <c r="T454" s="357">
        <f t="shared" ca="1" si="204"/>
        <v>95.609248433506508</v>
      </c>
      <c r="U454" s="364">
        <f t="shared" ca="1" si="205"/>
        <v>0</v>
      </c>
      <c r="V454" s="359">
        <f t="shared" ca="1" si="206"/>
        <v>1.142021252054062</v>
      </c>
      <c r="W454" s="357">
        <f t="shared" ca="1" si="207"/>
        <v>186.18585788193161</v>
      </c>
      <c r="X454" s="343"/>
      <c r="Y454" s="367" t="str">
        <f t="shared" ca="1" si="225"/>
        <v/>
      </c>
      <c r="Z454" s="368" t="str">
        <f t="shared" ca="1" si="226"/>
        <v/>
      </c>
      <c r="AA454" s="369" t="str">
        <f t="shared" ca="1" si="227"/>
        <v/>
      </c>
      <c r="AB454" s="344"/>
      <c r="AC454" s="363" t="e">
        <f t="shared" ca="1" si="228"/>
        <v>#N/A</v>
      </c>
      <c r="AD454" s="376" t="e">
        <f t="shared" ca="1" si="229"/>
        <v>#N/A</v>
      </c>
      <c r="AE454" s="377">
        <f t="shared" ca="1" si="208"/>
        <v>701.12381013842219</v>
      </c>
      <c r="AF454" s="344"/>
      <c r="AG454" s="359">
        <f t="shared" ca="1" si="230"/>
        <v>-11.232728780786001</v>
      </c>
      <c r="AH454" s="357">
        <f t="shared" ca="1" si="231"/>
        <v>-1.7078542511763273</v>
      </c>
    </row>
    <row r="455" spans="1:34" x14ac:dyDescent="0.25">
      <c r="A455" s="402">
        <f t="shared" ca="1" si="209"/>
        <v>0.01</v>
      </c>
      <c r="B455" s="357">
        <f t="shared" ca="1" si="210"/>
        <v>4.5099999999999483</v>
      </c>
      <c r="C455" s="342"/>
      <c r="D455" s="359">
        <f t="shared" ca="1" si="211"/>
        <v>-0.69427024784909208</v>
      </c>
      <c r="E455" s="360">
        <f t="shared" ca="1" si="212"/>
        <v>-12.625371170738751</v>
      </c>
      <c r="F455" s="357">
        <f t="shared" ca="1" si="213"/>
        <v>12.644445752027631</v>
      </c>
      <c r="G455" s="359">
        <f t="shared" ca="1" si="214"/>
        <v>64.250024937604223</v>
      </c>
      <c r="H455" s="360">
        <f t="shared" ca="1" si="215"/>
        <v>260.44549738010085</v>
      </c>
      <c r="I455" s="357">
        <f t="shared" ca="1" si="216"/>
        <v>268.25346747069437</v>
      </c>
      <c r="J455" s="359">
        <f t="shared" ca="1" si="217"/>
        <v>161.2393987620533</v>
      </c>
      <c r="K455" s="360">
        <f t="shared" ca="1" si="218"/>
        <v>703.72889638078175</v>
      </c>
      <c r="L455" s="357">
        <f t="shared" ca="1" si="203"/>
        <v>721.9643365945866</v>
      </c>
      <c r="M455" s="359">
        <f t="shared" ca="1" si="219"/>
        <v>1.3289327511521107</v>
      </c>
      <c r="N455" s="357">
        <f t="shared" ca="1" si="220"/>
        <v>76.142237897725238</v>
      </c>
      <c r="O455" s="343"/>
      <c r="P455" s="363">
        <f t="shared" ca="1" si="221"/>
        <v>18</v>
      </c>
      <c r="Q455" s="357">
        <f t="shared" ca="1" si="222"/>
        <v>157.92727272733333</v>
      </c>
      <c r="R455" s="359">
        <f t="shared" ca="1" si="223"/>
        <v>7.9110865781925804E-2</v>
      </c>
      <c r="S455" s="360">
        <f t="shared" ca="1" si="224"/>
        <v>9.7453096490900393</v>
      </c>
      <c r="T455" s="357">
        <f t="shared" ca="1" si="204"/>
        <v>95.601487657573287</v>
      </c>
      <c r="U455" s="364">
        <f t="shared" ca="1" si="205"/>
        <v>0</v>
      </c>
      <c r="V455" s="359">
        <f t="shared" ca="1" si="206"/>
        <v>1.1417234170828856</v>
      </c>
      <c r="W455" s="357">
        <f t="shared" ca="1" si="207"/>
        <v>185.96500037887054</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703.72889638078175</v>
      </c>
      <c r="AF455" s="344"/>
      <c r="AG455" s="359">
        <f t="shared" ca="1" si="230"/>
        <v>-12.424380444731431</v>
      </c>
      <c r="AH455" s="357">
        <f t="shared" ca="1" si="231"/>
        <v>-2.8997113659940914</v>
      </c>
    </row>
    <row r="456" spans="1:34" x14ac:dyDescent="0.25">
      <c r="A456" s="402">
        <f t="shared" ca="1" si="209"/>
        <v>0.01</v>
      </c>
      <c r="B456" s="357">
        <f t="shared" ca="1" si="210"/>
        <v>4.5199999999999481</v>
      </c>
      <c r="C456" s="342"/>
      <c r="D456" s="359">
        <f t="shared" ca="1" si="211"/>
        <v>-0.97962002711398144</v>
      </c>
      <c r="E456" s="360">
        <f t="shared" ca="1" si="212"/>
        <v>-13.781012080586478</v>
      </c>
      <c r="F456" s="357">
        <f t="shared" ca="1" si="213"/>
        <v>13.815786237590434</v>
      </c>
      <c r="G456" s="359">
        <f t="shared" ca="1" si="214"/>
        <v>64.240228737333084</v>
      </c>
      <c r="H456" s="360">
        <f t="shared" ca="1" si="215"/>
        <v>260.30768725929499</v>
      </c>
      <c r="I456" s="357">
        <f t="shared" ca="1" si="216"/>
        <v>268.11732326447651</v>
      </c>
      <c r="J456" s="359">
        <f t="shared" ca="1" si="217"/>
        <v>161.88185003042798</v>
      </c>
      <c r="K456" s="360">
        <f t="shared" ca="1" si="218"/>
        <v>706.33266230397874</v>
      </c>
      <c r="L456" s="357">
        <f t="shared" ca="1" si="203"/>
        <v>724.645819146637</v>
      </c>
      <c r="M456" s="359">
        <f t="shared" ca="1" si="219"/>
        <v>1.3288451172623135</v>
      </c>
      <c r="N456" s="357">
        <f t="shared" ca="1" si="220"/>
        <v>76.137216845697537</v>
      </c>
      <c r="O456" s="343"/>
      <c r="P456" s="363">
        <f t="shared" ca="1" si="221"/>
        <v>18</v>
      </c>
      <c r="Q456" s="357">
        <f t="shared" ca="1" si="222"/>
        <v>146.10909090915169</v>
      </c>
      <c r="R456" s="359">
        <f t="shared" ca="1" si="223"/>
        <v>7.3190757244252391E-2</v>
      </c>
      <c r="S456" s="360">
        <f t="shared" ca="1" si="224"/>
        <v>9.7445777415175971</v>
      </c>
      <c r="T456" s="357">
        <f t="shared" ca="1" si="204"/>
        <v>95.594307644287639</v>
      </c>
      <c r="U456" s="364">
        <f t="shared" ca="1" si="205"/>
        <v>0</v>
      </c>
      <c r="V456" s="359">
        <f t="shared" ca="1" si="206"/>
        <v>1.1414258079464181</v>
      </c>
      <c r="W456" s="357">
        <f t="shared" ca="1" si="207"/>
        <v>185.72786041025674</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706.33266230397874</v>
      </c>
      <c r="AF456" s="344"/>
      <c r="AG456" s="359">
        <f t="shared" ca="1" si="230"/>
        <v>-13.614523574797616</v>
      </c>
      <c r="AH456" s="357">
        <f t="shared" ca="1" si="231"/>
        <v>-4.090060188027377</v>
      </c>
    </row>
    <row r="457" spans="1:34" x14ac:dyDescent="0.25">
      <c r="A457" s="402">
        <f t="shared" ca="1" si="209"/>
        <v>0.01</v>
      </c>
      <c r="B457" s="357">
        <f t="shared" ca="1" si="210"/>
        <v>4.5299999999999478</v>
      </c>
      <c r="C457" s="342"/>
      <c r="D457" s="359">
        <f t="shared" ca="1" si="211"/>
        <v>-1.2167892502301534</v>
      </c>
      <c r="E457" s="360">
        <f t="shared" ca="1" si="212"/>
        <v>-14.740549000758932</v>
      </c>
      <c r="F457" s="357">
        <f t="shared" ca="1" si="213"/>
        <v>14.790684937596732</v>
      </c>
      <c r="G457" s="359">
        <f t="shared" ca="1" si="214"/>
        <v>64.228060844830779</v>
      </c>
      <c r="H457" s="360">
        <f t="shared" ca="1" si="215"/>
        <v>260.16028176928739</v>
      </c>
      <c r="I457" s="357">
        <f t="shared" ca="1" si="216"/>
        <v>267.9712969893647</v>
      </c>
      <c r="J457" s="359">
        <f t="shared" ca="1" si="217"/>
        <v>162.52419147833879</v>
      </c>
      <c r="K457" s="360">
        <f t="shared" ca="1" si="218"/>
        <v>708.9350021491216</v>
      </c>
      <c r="L457" s="357">
        <f t="shared" ca="1" si="203"/>
        <v>727.32588987871372</v>
      </c>
      <c r="M457" s="359">
        <f t="shared" ca="1" si="219"/>
        <v>1.3287574044707147</v>
      </c>
      <c r="N457" s="357">
        <f t="shared" ca="1" si="220"/>
        <v>76.132191272929617</v>
      </c>
      <c r="O457" s="343"/>
      <c r="P457" s="363">
        <f t="shared" ca="1" si="221"/>
        <v>19</v>
      </c>
      <c r="Q457" s="357">
        <f t="shared" ca="1" si="222"/>
        <v>136.24375000004085</v>
      </c>
      <c r="R457" s="359">
        <f t="shared" ca="1" si="223"/>
        <v>6.82488897182989E-2</v>
      </c>
      <c r="S457" s="360">
        <f t="shared" ca="1" si="224"/>
        <v>9.7438952526204137</v>
      </c>
      <c r="T457" s="357">
        <f t="shared" ca="1" si="204"/>
        <v>95.587612428206256</v>
      </c>
      <c r="U457" s="364">
        <f t="shared" ca="1" si="205"/>
        <v>0</v>
      </c>
      <c r="V457" s="359">
        <f t="shared" ca="1" si="206"/>
        <v>1.1411284365861838</v>
      </c>
      <c r="W457" s="357">
        <f t="shared" ca="1" si="207"/>
        <v>185.47727315656093</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708.9350021491216</v>
      </c>
      <c r="AF457" s="344"/>
      <c r="AG457" s="359">
        <f t="shared" ca="1" si="230"/>
        <v>-14.60273059349359</v>
      </c>
      <c r="AH457" s="357">
        <f t="shared" ca="1" si="231"/>
        <v>-5.0784731493196409</v>
      </c>
    </row>
    <row r="458" spans="1:34" x14ac:dyDescent="0.25">
      <c r="A458" s="402">
        <f t="shared" ca="1" si="209"/>
        <v>0.01</v>
      </c>
      <c r="B458" s="357">
        <f t="shared" ca="1" si="210"/>
        <v>4.5399999999999476</v>
      </c>
      <c r="C458" s="342"/>
      <c r="D458" s="359">
        <f t="shared" ca="1" si="211"/>
        <v>-1.4057839854084329</v>
      </c>
      <c r="E458" s="360">
        <f t="shared" ca="1" si="212"/>
        <v>-15.504226992687485</v>
      </c>
      <c r="F458" s="357">
        <f t="shared" ca="1" si="213"/>
        <v>15.56782846945617</v>
      </c>
      <c r="G458" s="359">
        <f t="shared" ca="1" si="214"/>
        <v>64.214003004976689</v>
      </c>
      <c r="H458" s="360">
        <f t="shared" ca="1" si="215"/>
        <v>260.00523949936053</v>
      </c>
      <c r="I458" s="357">
        <f t="shared" ca="1" si="216"/>
        <v>267.81740561256095</v>
      </c>
      <c r="J458" s="359">
        <f t="shared" ca="1" si="217"/>
        <v>163.16640179758784</v>
      </c>
      <c r="K458" s="360">
        <f t="shared" ca="1" si="218"/>
        <v>711.53582975546487</v>
      </c>
      <c r="L458" s="357">
        <f t="shared" ca="1" si="203"/>
        <v>730.00446005580659</v>
      </c>
      <c r="M458" s="359">
        <f t="shared" ca="1" si="219"/>
        <v>1.3286696100856739</v>
      </c>
      <c r="N458" s="357">
        <f t="shared" ca="1" si="220"/>
        <v>76.127161025201829</v>
      </c>
      <c r="O458" s="343"/>
      <c r="P458" s="363">
        <f t="shared" ca="1" si="221"/>
        <v>19</v>
      </c>
      <c r="Q458" s="357">
        <f t="shared" ca="1" si="222"/>
        <v>128.33125000004102</v>
      </c>
      <c r="R458" s="359">
        <f t="shared" ca="1" si="223"/>
        <v>6.4285263204085466E-2</v>
      </c>
      <c r="S458" s="360">
        <f t="shared" ca="1" si="224"/>
        <v>9.7432523999883731</v>
      </c>
      <c r="T458" s="357">
        <f t="shared" ca="1" si="204"/>
        <v>95.581306043885945</v>
      </c>
      <c r="U458" s="364">
        <f t="shared" ca="1" si="205"/>
        <v>0</v>
      </c>
      <c r="V458" s="359">
        <f t="shared" ca="1" si="206"/>
        <v>1.140831312693074</v>
      </c>
      <c r="W458" s="357">
        <f t="shared" ca="1" si="207"/>
        <v>185.21606280388909</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711.53582975546487</v>
      </c>
      <c r="AF458" s="344"/>
      <c r="AG458" s="359">
        <f t="shared" ca="1" si="230"/>
        <v>-15.389240895250577</v>
      </c>
      <c r="AH458" s="357">
        <f t="shared" ca="1" si="231"/>
        <v>-5.8651896523370466</v>
      </c>
    </row>
    <row r="459" spans="1:34" x14ac:dyDescent="0.25">
      <c r="A459" s="402">
        <f t="shared" ca="1" si="209"/>
        <v>0.01</v>
      </c>
      <c r="B459" s="357">
        <f t="shared" ca="1" si="210"/>
        <v>4.5499999999999474</v>
      </c>
      <c r="C459" s="342"/>
      <c r="D459" s="359">
        <f t="shared" ca="1" si="211"/>
        <v>-1.5946701924074771</v>
      </c>
      <c r="E459" s="360">
        <f t="shared" ca="1" si="212"/>
        <v>-16.26688768643287</v>
      </c>
      <c r="F459" s="357">
        <f t="shared" ca="1" si="213"/>
        <v>16.344864882450825</v>
      </c>
      <c r="G459" s="359">
        <f t="shared" ca="1" si="214"/>
        <v>64.19805630305261</v>
      </c>
      <c r="H459" s="360">
        <f t="shared" ca="1" si="215"/>
        <v>259.84257062249623</v>
      </c>
      <c r="I459" s="357">
        <f t="shared" ca="1" si="216"/>
        <v>267.65565927287406</v>
      </c>
      <c r="J459" s="359">
        <f t="shared" ca="1" si="217"/>
        <v>163.80846209412798</v>
      </c>
      <c r="K459" s="360">
        <f t="shared" ca="1" si="218"/>
        <v>714.13506880607417</v>
      </c>
      <c r="L459" s="357">
        <f t="shared" ca="1" si="203"/>
        <v>732.68145107700093</v>
      </c>
      <c r="M459" s="359">
        <f t="shared" ca="1" si="219"/>
        <v>1.3285817314060879</v>
      </c>
      <c r="N459" s="357">
        <f t="shared" ca="1" si="220"/>
        <v>76.12212594775238</v>
      </c>
      <c r="O459" s="343"/>
      <c r="P459" s="363">
        <f t="shared" ca="1" si="221"/>
        <v>19</v>
      </c>
      <c r="Q459" s="357">
        <f t="shared" ca="1" si="222"/>
        <v>120.4187500000412</v>
      </c>
      <c r="R459" s="359">
        <f t="shared" ca="1" si="223"/>
        <v>6.0321636689872032E-2</v>
      </c>
      <c r="S459" s="360">
        <f t="shared" ca="1" si="224"/>
        <v>9.7426491836214737</v>
      </c>
      <c r="T459" s="357">
        <f t="shared" ca="1" si="204"/>
        <v>95.575388491326663</v>
      </c>
      <c r="U459" s="364">
        <f t="shared" ca="1" si="205"/>
        <v>0</v>
      </c>
      <c r="V459" s="359">
        <f t="shared" ca="1" si="206"/>
        <v>1.1405344448241197</v>
      </c>
      <c r="W459" s="357">
        <f t="shared" ca="1" si="207"/>
        <v>184.94427177471462</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714.13506880607417</v>
      </c>
      <c r="AF459" s="344"/>
      <c r="AG459" s="359">
        <f t="shared" ca="1" si="230"/>
        <v>-16.174737319403739</v>
      </c>
      <c r="AH459" s="357">
        <f t="shared" ca="1" si="231"/>
        <v>-6.6508925429419863</v>
      </c>
    </row>
    <row r="460" spans="1:34" x14ac:dyDescent="0.25">
      <c r="A460" s="402">
        <f t="shared" ca="1" si="209"/>
        <v>0.01</v>
      </c>
      <c r="B460" s="357">
        <f t="shared" ca="1" si="210"/>
        <v>4.5599999999999472</v>
      </c>
      <c r="C460" s="342"/>
      <c r="D460" s="359">
        <f t="shared" ca="1" si="211"/>
        <v>-1.7834465129588248</v>
      </c>
      <c r="E460" s="360">
        <f t="shared" ca="1" si="212"/>
        <v>-17.02852581186189</v>
      </c>
      <c r="F460" s="357">
        <f t="shared" ca="1" si="213"/>
        <v>17.121663844084537</v>
      </c>
      <c r="G460" s="359">
        <f t="shared" ca="1" si="214"/>
        <v>64.180221837923028</v>
      </c>
      <c r="H460" s="360">
        <f t="shared" ca="1" si="215"/>
        <v>259.67228536437761</v>
      </c>
      <c r="I460" s="357">
        <f t="shared" ca="1" si="216"/>
        <v>267.48606816341623</v>
      </c>
      <c r="J460" s="359">
        <f t="shared" ca="1" si="217"/>
        <v>164.45035348483285</v>
      </c>
      <c r="K460" s="360">
        <f t="shared" ca="1" si="218"/>
        <v>716.73264308600858</v>
      </c>
      <c r="L460" s="357">
        <f t="shared" ca="1" si="203"/>
        <v>735.3567844429956</v>
      </c>
      <c r="M460" s="359">
        <f t="shared" ca="1" si="219"/>
        <v>1.3284937657209197</v>
      </c>
      <c r="N460" s="357">
        <f t="shared" ca="1" si="220"/>
        <v>76.117085885250262</v>
      </c>
      <c r="O460" s="343"/>
      <c r="P460" s="363">
        <f t="shared" ca="1" si="221"/>
        <v>19</v>
      </c>
      <c r="Q460" s="357">
        <f t="shared" ca="1" si="222"/>
        <v>112.50625000004138</v>
      </c>
      <c r="R460" s="359">
        <f t="shared" ca="1" si="223"/>
        <v>5.6358010175658606E-2</v>
      </c>
      <c r="S460" s="360">
        <f t="shared" ca="1" si="224"/>
        <v>9.7420856035197172</v>
      </c>
      <c r="T460" s="357">
        <f t="shared" ca="1" si="204"/>
        <v>95.569859770528424</v>
      </c>
      <c r="U460" s="364">
        <f t="shared" ca="1" si="205"/>
        <v>0</v>
      </c>
      <c r="V460" s="359">
        <f t="shared" ca="1" si="206"/>
        <v>1.1402378415161543</v>
      </c>
      <c r="W460" s="357">
        <f t="shared" ca="1" si="207"/>
        <v>184.66194343051814</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716.73264308600858</v>
      </c>
      <c r="AF460" s="344"/>
      <c r="AG460" s="359">
        <f t="shared" ca="1" si="230"/>
        <v>-16.959214435628304</v>
      </c>
      <c r="AH460" s="357">
        <f t="shared" ca="1" si="231"/>
        <v>-7.4355763973683544</v>
      </c>
    </row>
    <row r="461" spans="1:34" x14ac:dyDescent="0.25">
      <c r="A461" s="402">
        <f t="shared" ca="1" si="209"/>
        <v>0.01</v>
      </c>
      <c r="B461" s="357">
        <f t="shared" ca="1" si="210"/>
        <v>4.569999999999947</v>
      </c>
      <c r="C461" s="342"/>
      <c r="D461" s="359">
        <f t="shared" ca="1" si="211"/>
        <v>-1.9721116235353184</v>
      </c>
      <c r="E461" s="360">
        <f t="shared" ca="1" si="212"/>
        <v>-17.789136213805921</v>
      </c>
      <c r="F461" s="357">
        <f t="shared" ca="1" si="213"/>
        <v>17.898116981655484</v>
      </c>
      <c r="G461" s="359">
        <f t="shared" ca="1" si="214"/>
        <v>64.160500721687669</v>
      </c>
      <c r="H461" s="360">
        <f t="shared" ca="1" si="215"/>
        <v>259.49439400223957</v>
      </c>
      <c r="I461" s="357">
        <f t="shared" ca="1" si="216"/>
        <v>267.30864253040386</v>
      </c>
      <c r="J461" s="359">
        <f t="shared" ca="1" si="217"/>
        <v>165.09205709763089</v>
      </c>
      <c r="K461" s="360">
        <f t="shared" ca="1" si="218"/>
        <v>719.32847648284167</v>
      </c>
      <c r="L461" s="357">
        <f t="shared" ca="1" si="203"/>
        <v>738.03038175664119</v>
      </c>
      <c r="M461" s="359">
        <f t="shared" ca="1" si="219"/>
        <v>1.3284057103087243</v>
      </c>
      <c r="N461" s="357">
        <f t="shared" ca="1" si="220"/>
        <v>76.112040681768178</v>
      </c>
      <c r="O461" s="343"/>
      <c r="P461" s="363">
        <f t="shared" ca="1" si="221"/>
        <v>19</v>
      </c>
      <c r="Q461" s="357">
        <f t="shared" ca="1" si="222"/>
        <v>104.59375000004155</v>
      </c>
      <c r="R461" s="359">
        <f t="shared" ca="1" si="223"/>
        <v>5.2394383661445172E-2</v>
      </c>
      <c r="S461" s="360">
        <f t="shared" ca="1" si="224"/>
        <v>9.7415616596831036</v>
      </c>
      <c r="T461" s="357">
        <f t="shared" ca="1" si="204"/>
        <v>95.564719881491257</v>
      </c>
      <c r="U461" s="364">
        <f t="shared" ca="1" si="205"/>
        <v>0</v>
      </c>
      <c r="V461" s="359">
        <f t="shared" ca="1" si="206"/>
        <v>1.1399415112857882</v>
      </c>
      <c r="W461" s="357">
        <f t="shared" ca="1" si="207"/>
        <v>184.36912206376959</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719.32847648284167</v>
      </c>
      <c r="AF461" s="344"/>
      <c r="AG461" s="359">
        <f t="shared" ca="1" si="230"/>
        <v>-17.742666933536881</v>
      </c>
      <c r="AH461" s="357">
        <f t="shared" ca="1" si="231"/>
        <v>-8.2192359118200393</v>
      </c>
    </row>
    <row r="462" spans="1:34" x14ac:dyDescent="0.25">
      <c r="A462" s="402">
        <f t="shared" ca="1" si="209"/>
        <v>0.01</v>
      </c>
      <c r="B462" s="357">
        <f t="shared" ca="1" si="210"/>
        <v>4.5799999999999468</v>
      </c>
      <c r="C462" s="342"/>
      <c r="D462" s="359">
        <f t="shared" ca="1" si="211"/>
        <v>-2.1606642352747403</v>
      </c>
      <c r="E462" s="360">
        <f t="shared" ca="1" si="212"/>
        <v>-18.548713851486649</v>
      </c>
      <c r="F462" s="357">
        <f t="shared" ca="1" si="213"/>
        <v>18.674133326125954</v>
      </c>
      <c r="G462" s="359">
        <f t="shared" ca="1" si="214"/>
        <v>64.138894079334918</v>
      </c>
      <c r="H462" s="360">
        <f t="shared" ca="1" si="215"/>
        <v>259.3089068637247</v>
      </c>
      <c r="I462" s="357">
        <f t="shared" ca="1" si="216"/>
        <v>267.12339267196347</v>
      </c>
      <c r="J462" s="359">
        <f t="shared" ca="1" si="217"/>
        <v>165.73355407163601</v>
      </c>
      <c r="K462" s="360">
        <f t="shared" ca="1" si="218"/>
        <v>721.92249298717149</v>
      </c>
      <c r="L462" s="357">
        <f t="shared" ca="1" si="203"/>
        <v>740.70216472346601</v>
      </c>
      <c r="M462" s="359">
        <f t="shared" ca="1" si="219"/>
        <v>1.328317562437169</v>
      </c>
      <c r="N462" s="357">
        <f t="shared" ca="1" si="220"/>
        <v>76.106990180755005</v>
      </c>
      <c r="O462" s="343"/>
      <c r="P462" s="363">
        <f t="shared" ca="1" si="221"/>
        <v>19</v>
      </c>
      <c r="Q462" s="357">
        <f t="shared" ca="1" si="222"/>
        <v>96.681250000041729</v>
      </c>
      <c r="R462" s="359">
        <f t="shared" ca="1" si="223"/>
        <v>4.8430757147231746E-2</v>
      </c>
      <c r="S462" s="360">
        <f t="shared" ca="1" si="224"/>
        <v>9.7410773521116312</v>
      </c>
      <c r="T462" s="357">
        <f t="shared" ca="1" si="204"/>
        <v>95.559968824215105</v>
      </c>
      <c r="U462" s="364">
        <f t="shared" ca="1" si="205"/>
        <v>0</v>
      </c>
      <c r="V462" s="359">
        <f t="shared" ca="1" si="206"/>
        <v>1.1396454626293895</v>
      </c>
      <c r="W462" s="357">
        <f t="shared" ca="1" si="207"/>
        <v>184.06585288991872</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721.92249298717149</v>
      </c>
      <c r="AF462" s="344"/>
      <c r="AG462" s="359">
        <f t="shared" ca="1" si="230"/>
        <v>-18.525089622105693</v>
      </c>
      <c r="AH462" s="357">
        <f t="shared" ca="1" si="231"/>
        <v>-9.0018659018983396</v>
      </c>
    </row>
    <row r="463" spans="1:34" x14ac:dyDescent="0.25">
      <c r="A463" s="402">
        <f t="shared" ca="1" si="209"/>
        <v>0.01</v>
      </c>
      <c r="B463" s="357">
        <f t="shared" ca="1" si="210"/>
        <v>4.5899999999999466</v>
      </c>
      <c r="C463" s="342"/>
      <c r="D463" s="359">
        <f t="shared" ca="1" si="211"/>
        <v>-2.3491030939035022</v>
      </c>
      <c r="E463" s="360">
        <f t="shared" ca="1" si="212"/>
        <v>-19.307253797934944</v>
      </c>
      <c r="F463" s="357">
        <f t="shared" ca="1" si="213"/>
        <v>19.449635846556621</v>
      </c>
      <c r="G463" s="359">
        <f t="shared" ca="1" si="214"/>
        <v>64.115403048395876</v>
      </c>
      <c r="H463" s="360">
        <f t="shared" ca="1" si="215"/>
        <v>259.11583432574537</v>
      </c>
      <c r="I463" s="357">
        <f t="shared" ca="1" si="216"/>
        <v>266.93032893694448</v>
      </c>
      <c r="J463" s="359">
        <f t="shared" ca="1" si="217"/>
        <v>166.37482555727465</v>
      </c>
      <c r="K463" s="360">
        <f t="shared" ca="1" si="218"/>
        <v>724.5146166931188</v>
      </c>
      <c r="L463" s="357">
        <f t="shared" ca="1" si="203"/>
        <v>743.37205515218989</v>
      </c>
      <c r="M463" s="359">
        <f t="shared" ca="1" si="219"/>
        <v>1.328229319362551</v>
      </c>
      <c r="N463" s="357">
        <f t="shared" ca="1" si="220"/>
        <v>76.101934225008122</v>
      </c>
      <c r="O463" s="343"/>
      <c r="P463" s="363">
        <f t="shared" ca="1" si="221"/>
        <v>19</v>
      </c>
      <c r="Q463" s="357">
        <f t="shared" ca="1" si="222"/>
        <v>88.768750000041905</v>
      </c>
      <c r="R463" s="359">
        <f t="shared" ca="1" si="223"/>
        <v>4.4467130633018312E-2</v>
      </c>
      <c r="S463" s="360">
        <f t="shared" ca="1" si="224"/>
        <v>9.7406326808053016</v>
      </c>
      <c r="T463" s="357">
        <f t="shared" ca="1" si="204"/>
        <v>95.55560659870001</v>
      </c>
      <c r="U463" s="364">
        <f t="shared" ca="1" si="205"/>
        <v>0</v>
      </c>
      <c r="V463" s="359">
        <f t="shared" ca="1" si="206"/>
        <v>1.1393497040230622</v>
      </c>
      <c r="W463" s="357">
        <f t="shared" ca="1" si="207"/>
        <v>183.7521820393961</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724.5146166931188</v>
      </c>
      <c r="AF463" s="344"/>
      <c r="AG463" s="359">
        <f t="shared" ca="1" si="230"/>
        <v>-19.306477429094173</v>
      </c>
      <c r="AH463" s="357">
        <f t="shared" ca="1" si="231"/>
        <v>-9.7834613020227525</v>
      </c>
    </row>
    <row r="464" spans="1:34" x14ac:dyDescent="0.25">
      <c r="A464" s="402">
        <f t="shared" ca="1" si="209"/>
        <v>0.01</v>
      </c>
      <c r="B464" s="357">
        <f t="shared" ca="1" si="210"/>
        <v>4.5999999999999464</v>
      </c>
      <c r="C464" s="342"/>
      <c r="D464" s="359">
        <f t="shared" ca="1" si="211"/>
        <v>-2.5374269796604314</v>
      </c>
      <c r="E464" s="360">
        <f t="shared" ca="1" si="212"/>
        <v>-20.064751239403137</v>
      </c>
      <c r="F464" s="357">
        <f t="shared" ca="1" si="213"/>
        <v>20.224558783227838</v>
      </c>
      <c r="G464" s="359">
        <f t="shared" ca="1" si="214"/>
        <v>64.090028778599276</v>
      </c>
      <c r="H464" s="360">
        <f t="shared" ca="1" si="215"/>
        <v>258.91518681335134</v>
      </c>
      <c r="I464" s="357">
        <f t="shared" ca="1" si="216"/>
        <v>266.72946172373668</v>
      </c>
      <c r="J464" s="359">
        <f t="shared" ca="1" si="217"/>
        <v>167.01585271640963</v>
      </c>
      <c r="K464" s="360">
        <f t="shared" ca="1" si="218"/>
        <v>727.10477179881423</v>
      </c>
      <c r="L464" s="357">
        <f t="shared" ca="1" si="203"/>
        <v>746.03997495522663</v>
      </c>
      <c r="M464" s="359">
        <f t="shared" ca="1" si="219"/>
        <v>1.3281409783293086</v>
      </c>
      <c r="N464" s="357">
        <f t="shared" ca="1" si="220"/>
        <v>76.096872656645516</v>
      </c>
      <c r="O464" s="343"/>
      <c r="P464" s="363">
        <f t="shared" ca="1" si="221"/>
        <v>19</v>
      </c>
      <c r="Q464" s="357">
        <f t="shared" ca="1" si="222"/>
        <v>80.856250000042081</v>
      </c>
      <c r="R464" s="359">
        <f t="shared" ca="1" si="223"/>
        <v>4.0503504118804885E-2</v>
      </c>
      <c r="S464" s="360">
        <f t="shared" ca="1" si="224"/>
        <v>9.7402276457641133</v>
      </c>
      <c r="T464" s="357">
        <f t="shared" ca="1" si="204"/>
        <v>95.551633204945958</v>
      </c>
      <c r="U464" s="364">
        <f t="shared" ca="1" si="205"/>
        <v>0</v>
      </c>
      <c r="V464" s="359">
        <f t="shared" ca="1" si="206"/>
        <v>1.139054243922631</v>
      </c>
      <c r="W464" s="357">
        <f t="shared" ca="1" si="207"/>
        <v>183.42815654962413</v>
      </c>
      <c r="X464" s="343"/>
      <c r="Y464" s="367" t="str">
        <f t="shared" ca="1" si="225"/>
        <v/>
      </c>
      <c r="Z464" s="368" t="str">
        <f t="shared" ca="1" si="226"/>
        <v/>
      </c>
      <c r="AA464" s="369" t="str">
        <f t="shared" ca="1" si="227"/>
        <v/>
      </c>
      <c r="AB464" s="344"/>
      <c r="AC464" s="363" t="e">
        <f t="shared" ca="1" si="228"/>
        <v>#N/A</v>
      </c>
      <c r="AD464" s="376" t="e">
        <f t="shared" ca="1" si="229"/>
        <v>#N/A</v>
      </c>
      <c r="AE464" s="377">
        <f t="shared" ca="1" si="208"/>
        <v>727.10477179881423</v>
      </c>
      <c r="AF464" s="344"/>
      <c r="AG464" s="359">
        <f t="shared" ca="1" si="230"/>
        <v>-20.086825400458203</v>
      </c>
      <c r="AH464" s="357">
        <f t="shared" ca="1" si="231"/>
        <v>-10.564017164845424</v>
      </c>
    </row>
    <row r="465" spans="1:34" x14ac:dyDescent="0.25">
      <c r="A465" s="402">
        <f t="shared" ca="1" si="209"/>
        <v>0.01</v>
      </c>
      <c r="B465" s="357">
        <f t="shared" ca="1" si="210"/>
        <v>4.6099999999999461</v>
      </c>
      <c r="C465" s="342"/>
      <c r="D465" s="359">
        <f t="shared" ca="1" si="211"/>
        <v>-2.6823106905573568</v>
      </c>
      <c r="E465" s="360">
        <f t="shared" ca="1" si="212"/>
        <v>-20.646178213248199</v>
      </c>
      <c r="F465" s="357">
        <f t="shared" ca="1" si="213"/>
        <v>20.819689369774057</v>
      </c>
      <c r="G465" s="359">
        <f t="shared" ca="1" si="214"/>
        <v>64.063205671693709</v>
      </c>
      <c r="H465" s="360">
        <f t="shared" ca="1" si="215"/>
        <v>258.70872503121888</v>
      </c>
      <c r="I465" s="357">
        <f t="shared" ca="1" si="216"/>
        <v>266.52260453517363</v>
      </c>
      <c r="J465" s="359">
        <f t="shared" ca="1" si="217"/>
        <v>167.65661888866109</v>
      </c>
      <c r="K465" s="360">
        <f t="shared" ca="1" si="218"/>
        <v>729.69289135803706</v>
      </c>
      <c r="L465" s="357">
        <f t="shared" ca="1" si="203"/>
        <v>748.70585516318079</v>
      </c>
      <c r="M465" s="359">
        <f t="shared" ca="1" si="219"/>
        <v>1.3280525371678495</v>
      </c>
      <c r="N465" s="357">
        <f t="shared" ca="1" si="220"/>
        <v>76.091805351358673</v>
      </c>
      <c r="O465" s="343"/>
      <c r="P465" s="363">
        <f t="shared" ca="1" si="221"/>
        <v>20</v>
      </c>
      <c r="Q465" s="357">
        <f t="shared" ca="1" si="222"/>
        <v>74.700000000023536</v>
      </c>
      <c r="R465" s="359">
        <f t="shared" ca="1" si="223"/>
        <v>3.7419639887752688E-2</v>
      </c>
      <c r="S465" s="360">
        <f t="shared" ca="1" si="224"/>
        <v>9.7398534493652349</v>
      </c>
      <c r="T465" s="357">
        <f t="shared" ca="1" si="204"/>
        <v>95.547962338272953</v>
      </c>
      <c r="U465" s="364">
        <f t="shared" ca="1" si="205"/>
        <v>0</v>
      </c>
      <c r="V465" s="359">
        <f t="shared" ca="1" si="206"/>
        <v>1.1387590897657496</v>
      </c>
      <c r="W465" s="357">
        <f t="shared" ca="1" si="207"/>
        <v>183.09630152330436</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729.69289135803706</v>
      </c>
      <c r="AF465" s="344"/>
      <c r="AG465" s="359">
        <f t="shared" ca="1" si="230"/>
        <v>-20.685823091153694</v>
      </c>
      <c r="AH465" s="357">
        <f t="shared" ca="1" si="231"/>
        <v>-11.163223052055944</v>
      </c>
    </row>
    <row r="466" spans="1:34" x14ac:dyDescent="0.25">
      <c r="A466" s="402">
        <f t="shared" ca="1" si="209"/>
        <v>0.01</v>
      </c>
      <c r="B466" s="357">
        <f t="shared" ca="1" si="210"/>
        <v>4.6199999999999459</v>
      </c>
      <c r="C466" s="342"/>
      <c r="D466" s="359">
        <f t="shared" ca="1" si="211"/>
        <v>-2.7837662046331357</v>
      </c>
      <c r="E466" s="360">
        <f t="shared" ca="1" si="212"/>
        <v>-21.051782206097855</v>
      </c>
      <c r="F466" s="357">
        <f t="shared" ca="1" si="213"/>
        <v>21.235039164904684</v>
      </c>
      <c r="G466" s="359">
        <f t="shared" ca="1" si="214"/>
        <v>64.035368009647371</v>
      </c>
      <c r="H466" s="360">
        <f t="shared" ca="1" si="215"/>
        <v>258.4982072091579</v>
      </c>
      <c r="I466" s="357">
        <f t="shared" ca="1" si="216"/>
        <v>266.31156844282918</v>
      </c>
      <c r="J466" s="359">
        <f t="shared" ca="1" si="217"/>
        <v>168.2971117570678</v>
      </c>
      <c r="K466" s="360">
        <f t="shared" ca="1" si="218"/>
        <v>732.27892601923895</v>
      </c>
      <c r="L466" s="357">
        <f t="shared" ca="1" si="203"/>
        <v>751.36964492695665</v>
      </c>
      <c r="M466" s="359">
        <f t="shared" ca="1" si="219"/>
        <v>1.3279639942981425</v>
      </c>
      <c r="N466" s="357">
        <f t="shared" ca="1" si="220"/>
        <v>76.086732218618479</v>
      </c>
      <c r="O466" s="343"/>
      <c r="P466" s="363">
        <f t="shared" ca="1" si="221"/>
        <v>20</v>
      </c>
      <c r="Q466" s="357">
        <f t="shared" ca="1" si="222"/>
        <v>70.300000000023687</v>
      </c>
      <c r="R466" s="359">
        <f t="shared" ca="1" si="223"/>
        <v>3.5215537939880477E-2</v>
      </c>
      <c r="S466" s="360">
        <f t="shared" ca="1" si="224"/>
        <v>9.7395012939858354</v>
      </c>
      <c r="T466" s="357">
        <f t="shared" ca="1" si="204"/>
        <v>95.544507694001055</v>
      </c>
      <c r="U466" s="364">
        <f t="shared" ca="1" si="205"/>
        <v>0</v>
      </c>
      <c r="V466" s="359">
        <f t="shared" ca="1" si="206"/>
        <v>1.1384642469769426</v>
      </c>
      <c r="W466" s="357">
        <f t="shared" ca="1" si="207"/>
        <v>182.75912872318159</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732.27892601923895</v>
      </c>
      <c r="AF466" s="344"/>
      <c r="AG466" s="359">
        <f t="shared" ca="1" si="230"/>
        <v>-21.103713626442165</v>
      </c>
      <c r="AH466" s="357">
        <f t="shared" ca="1" si="231"/>
        <v>-11.581322094277317</v>
      </c>
    </row>
    <row r="467" spans="1:34" x14ac:dyDescent="0.25">
      <c r="A467" s="402">
        <f t="shared" ca="1" si="209"/>
        <v>0.01</v>
      </c>
      <c r="B467" s="357">
        <f t="shared" ca="1" si="210"/>
        <v>4.6299999999999457</v>
      </c>
      <c r="C467" s="342"/>
      <c r="D467" s="359">
        <f t="shared" ca="1" si="211"/>
        <v>-2.8851641163565027</v>
      </c>
      <c r="E467" s="360">
        <f t="shared" ca="1" si="212"/>
        <v>-21.456841031193711</v>
      </c>
      <c r="F467" s="357">
        <f t="shared" ca="1" si="213"/>
        <v>21.649946859431992</v>
      </c>
      <c r="G467" s="359">
        <f t="shared" ca="1" si="214"/>
        <v>64.006516368483801</v>
      </c>
      <c r="H467" s="360">
        <f t="shared" ca="1" si="215"/>
        <v>258.28363879884597</v>
      </c>
      <c r="I467" s="357">
        <f t="shared" ca="1" si="216"/>
        <v>266.09635887926333</v>
      </c>
      <c r="J467" s="359">
        <f t="shared" ca="1" si="217"/>
        <v>168.93732117895846</v>
      </c>
      <c r="K467" s="360">
        <f t="shared" ca="1" si="218"/>
        <v>734.86283524927899</v>
      </c>
      <c r="L467" s="357">
        <f t="shared" ca="1" si="203"/>
        <v>754.03130247870445</v>
      </c>
      <c r="M467" s="359">
        <f t="shared" ca="1" si="219"/>
        <v>1.3278753481328518</v>
      </c>
      <c r="N467" s="357">
        <f t="shared" ca="1" si="220"/>
        <v>76.081653167477313</v>
      </c>
      <c r="O467" s="343"/>
      <c r="P467" s="363">
        <f t="shared" ca="1" si="221"/>
        <v>20</v>
      </c>
      <c r="Q467" s="357">
        <f t="shared" ca="1" si="222"/>
        <v>65.900000000023837</v>
      </c>
      <c r="R467" s="359">
        <f t="shared" ca="1" si="223"/>
        <v>3.3011435992008266E-2</v>
      </c>
      <c r="S467" s="360">
        <f t="shared" ca="1" si="224"/>
        <v>9.7391711796259148</v>
      </c>
      <c r="T467" s="357">
        <f t="shared" ca="1" si="204"/>
        <v>95.541269272130236</v>
      </c>
      <c r="U467" s="364">
        <f t="shared" ca="1" si="205"/>
        <v>0</v>
      </c>
      <c r="V467" s="359">
        <f t="shared" ca="1" si="206"/>
        <v>1.1381697199703669</v>
      </c>
      <c r="W467" s="357">
        <f t="shared" ca="1" si="207"/>
        <v>182.41666398422595</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734.86283524927899</v>
      </c>
      <c r="AF467" s="344"/>
      <c r="AG467" s="359">
        <f t="shared" ca="1" si="230"/>
        <v>-21.521060907742601</v>
      </c>
      <c r="AH467" s="357">
        <f t="shared" ca="1" si="231"/>
        <v>-11.998878196906931</v>
      </c>
    </row>
    <row r="468" spans="1:34" x14ac:dyDescent="0.25">
      <c r="A468" s="402">
        <f t="shared" ca="1" si="209"/>
        <v>0.01</v>
      </c>
      <c r="B468" s="357">
        <f t="shared" ca="1" si="210"/>
        <v>4.6399999999999455</v>
      </c>
      <c r="C468" s="342"/>
      <c r="D468" s="359">
        <f t="shared" ca="1" si="211"/>
        <v>-2.9865043689671591</v>
      </c>
      <c r="E468" s="360">
        <f t="shared" ca="1" si="212"/>
        <v>-21.861354447487194</v>
      </c>
      <c r="F468" s="357">
        <f t="shared" ca="1" si="213"/>
        <v>22.064406328395243</v>
      </c>
      <c r="G468" s="359">
        <f t="shared" ca="1" si="214"/>
        <v>63.976651324794126</v>
      </c>
      <c r="H468" s="360">
        <f t="shared" ca="1" si="215"/>
        <v>258.06502525437111</v>
      </c>
      <c r="I468" s="357">
        <f t="shared" ca="1" si="216"/>
        <v>265.87698127945089</v>
      </c>
      <c r="J468" s="359">
        <f t="shared" ca="1" si="217"/>
        <v>169.57723701742484</v>
      </c>
      <c r="K468" s="360">
        <f t="shared" ca="1" si="218"/>
        <v>737.44457856954511</v>
      </c>
      <c r="L468" s="357">
        <f t="shared" ca="1" si="203"/>
        <v>756.69078610491749</v>
      </c>
      <c r="M468" s="359">
        <f t="shared" ca="1" si="219"/>
        <v>1.3277865970771714</v>
      </c>
      <c r="N468" s="357">
        <f t="shared" ca="1" si="220"/>
        <v>76.076568106559492</v>
      </c>
      <c r="O468" s="343"/>
      <c r="P468" s="363">
        <f t="shared" ca="1" si="221"/>
        <v>20</v>
      </c>
      <c r="Q468" s="357">
        <f t="shared" ca="1" si="222"/>
        <v>61.500000000023995</v>
      </c>
      <c r="R468" s="359">
        <f t="shared" ca="1" si="223"/>
        <v>3.0807334044136055E-2</v>
      </c>
      <c r="S468" s="360">
        <f t="shared" ca="1" si="224"/>
        <v>9.7388631062854731</v>
      </c>
      <c r="T468" s="357">
        <f t="shared" ca="1" si="204"/>
        <v>95.538247072660496</v>
      </c>
      <c r="U468" s="364">
        <f t="shared" ca="1" si="205"/>
        <v>0</v>
      </c>
      <c r="V468" s="359">
        <f t="shared" ca="1" si="206"/>
        <v>1.1378755131496527</v>
      </c>
      <c r="W468" s="357">
        <f t="shared" ca="1" si="207"/>
        <v>182.06893335282916</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737.44457856954511</v>
      </c>
      <c r="AF468" s="344"/>
      <c r="AG468" s="359">
        <f t="shared" ca="1" si="230"/>
        <v>-21.937864693570937</v>
      </c>
      <c r="AH468" s="357">
        <f t="shared" ca="1" si="231"/>
        <v>-12.415891122461945</v>
      </c>
    </row>
    <row r="469" spans="1:34" x14ac:dyDescent="0.25">
      <c r="A469" s="402">
        <f t="shared" ca="1" si="209"/>
        <v>0.01</v>
      </c>
      <c r="B469" s="357">
        <f t="shared" ca="1" si="210"/>
        <v>4.6499999999999453</v>
      </c>
      <c r="C469" s="342"/>
      <c r="D469" s="359">
        <f t="shared" ca="1" si="211"/>
        <v>-3.0877869149446644</v>
      </c>
      <c r="E469" s="360">
        <f t="shared" ca="1" si="212"/>
        <v>-22.265322241545533</v>
      </c>
      <c r="F469" s="357">
        <f t="shared" ca="1" si="213"/>
        <v>22.478411922374892</v>
      </c>
      <c r="G469" s="359">
        <f t="shared" ca="1" si="214"/>
        <v>63.945773455644677</v>
      </c>
      <c r="H469" s="360">
        <f t="shared" ca="1" si="215"/>
        <v>257.84237203195568</v>
      </c>
      <c r="I469" s="357">
        <f t="shared" ca="1" si="216"/>
        <v>265.65344108049135</v>
      </c>
      <c r="J469" s="359">
        <f t="shared" ca="1" si="217"/>
        <v>170.21684914132703</v>
      </c>
      <c r="K469" s="360">
        <f t="shared" ca="1" si="218"/>
        <v>740.02411555597678</v>
      </c>
      <c r="L469" s="357">
        <f t="shared" ca="1" si="203"/>
        <v>759.34805414645461</v>
      </c>
      <c r="M469" s="359">
        <f t="shared" ca="1" si="219"/>
        <v>1.3276977395286567</v>
      </c>
      <c r="N469" s="357">
        <f t="shared" ca="1" si="220"/>
        <v>76.07147694405171</v>
      </c>
      <c r="O469" s="343"/>
      <c r="P469" s="363">
        <f t="shared" ca="1" si="221"/>
        <v>20</v>
      </c>
      <c r="Q469" s="357">
        <f t="shared" ca="1" si="222"/>
        <v>57.100000000024153</v>
      </c>
      <c r="R469" s="359">
        <f t="shared" ca="1" si="223"/>
        <v>2.8603232096263843E-2</v>
      </c>
      <c r="S469" s="360">
        <f t="shared" ca="1" si="224"/>
        <v>9.7385770739645103</v>
      </c>
      <c r="T469" s="357">
        <f t="shared" ca="1" si="204"/>
        <v>95.53544109559185</v>
      </c>
      <c r="U469" s="364">
        <f t="shared" ca="1" si="205"/>
        <v>0</v>
      </c>
      <c r="V469" s="359">
        <f t="shared" ca="1" si="206"/>
        <v>1.1375816309079281</v>
      </c>
      <c r="W469" s="357">
        <f t="shared" ca="1" si="207"/>
        <v>181.71596308476995</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740.02411555597678</v>
      </c>
      <c r="AF469" s="344"/>
      <c r="AG469" s="359">
        <f t="shared" ca="1" si="230"/>
        <v>-22.354124771474503</v>
      </c>
      <c r="AH469" s="357">
        <f t="shared" ca="1" si="231"/>
        <v>-12.832360662514219</v>
      </c>
    </row>
    <row r="470" spans="1:34" x14ac:dyDescent="0.25">
      <c r="A470" s="402">
        <f t="shared" ca="1" si="209"/>
        <v>0.01</v>
      </c>
      <c r="B470" s="357">
        <f t="shared" ca="1" si="210"/>
        <v>4.6599999999999451</v>
      </c>
      <c r="C470" s="342"/>
      <c r="D470" s="359">
        <f t="shared" ca="1" si="211"/>
        <v>-3.2254682631634273</v>
      </c>
      <c r="E470" s="360">
        <f t="shared" ca="1" si="212"/>
        <v>-22.815744444779053</v>
      </c>
      <c r="F470" s="357">
        <f t="shared" ca="1" si="213"/>
        <v>23.042609229124654</v>
      </c>
      <c r="G470" s="359">
        <f t="shared" ca="1" si="214"/>
        <v>63.913518773013045</v>
      </c>
      <c r="H470" s="360">
        <f t="shared" ca="1" si="215"/>
        <v>257.61421458750789</v>
      </c>
      <c r="I470" s="357">
        <f t="shared" ca="1" si="216"/>
        <v>265.42422918695053</v>
      </c>
      <c r="J470" s="359">
        <f t="shared" ca="1" si="217"/>
        <v>170.85614560247032</v>
      </c>
      <c r="K470" s="360">
        <f t="shared" ca="1" si="218"/>
        <v>742.60139848907409</v>
      </c>
      <c r="L470" s="357">
        <f t="shared" ca="1" si="203"/>
        <v>762.00305742697719</v>
      </c>
      <c r="M470" s="359">
        <f t="shared" ca="1" si="219"/>
        <v>1.3276087733694093</v>
      </c>
      <c r="N470" s="357">
        <f t="shared" ca="1" si="220"/>
        <v>76.066379558607352</v>
      </c>
      <c r="O470" s="343"/>
      <c r="P470" s="363">
        <f t="shared" ca="1" si="221"/>
        <v>21</v>
      </c>
      <c r="Q470" s="357">
        <f t="shared" ca="1" si="222"/>
        <v>51.225000000040474</v>
      </c>
      <c r="R470" s="359">
        <f t="shared" ca="1" si="223"/>
        <v>2.5660255063601634E-2</v>
      </c>
      <c r="S470" s="360">
        <f t="shared" ca="1" si="224"/>
        <v>9.7383204714138749</v>
      </c>
      <c r="T470" s="357">
        <f t="shared" ca="1" si="204"/>
        <v>95.532923824570119</v>
      </c>
      <c r="U470" s="364">
        <f t="shared" ca="1" si="205"/>
        <v>0</v>
      </c>
      <c r="V470" s="359">
        <f t="shared" ca="1" si="206"/>
        <v>1.1372880784648951</v>
      </c>
      <c r="W470" s="357">
        <f t="shared" ca="1" si="207"/>
        <v>181.35571010699113</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742.60139848907409</v>
      </c>
      <c r="AF470" s="344"/>
      <c r="AG470" s="359">
        <f t="shared" ca="1" si="230"/>
        <v>-22.921294395416474</v>
      </c>
      <c r="AH470" s="357">
        <f t="shared" ca="1" si="231"/>
        <v>-13.399740075075176</v>
      </c>
    </row>
    <row r="471" spans="1:34" x14ac:dyDescent="0.25">
      <c r="A471" s="402">
        <f t="shared" ca="1" si="209"/>
        <v>0.01</v>
      </c>
      <c r="B471" s="357">
        <f t="shared" ca="1" si="210"/>
        <v>4.6699999999999449</v>
      </c>
      <c r="C471" s="342"/>
      <c r="D471" s="359">
        <f t="shared" ca="1" si="211"/>
        <v>-3.3995361959662755</v>
      </c>
      <c r="E471" s="360">
        <f t="shared" ca="1" si="212"/>
        <v>-23.512403871642924</v>
      </c>
      <c r="F471" s="357">
        <f t="shared" ca="1" si="213"/>
        <v>23.756893361105405</v>
      </c>
      <c r="G471" s="359">
        <f t="shared" ca="1" si="214"/>
        <v>63.879523411053384</v>
      </c>
      <c r="H471" s="360">
        <f t="shared" ca="1" si="215"/>
        <v>257.37909054879145</v>
      </c>
      <c r="I471" s="357">
        <f t="shared" ca="1" si="216"/>
        <v>265.18783864073839</v>
      </c>
      <c r="J471" s="359">
        <f t="shared" ca="1" si="217"/>
        <v>171.49511081339065</v>
      </c>
      <c r="K471" s="360">
        <f t="shared" ca="1" si="218"/>
        <v>745.17636501475556</v>
      </c>
      <c r="L471" s="357">
        <f t="shared" ca="1" si="203"/>
        <v>764.65573169204811</v>
      </c>
      <c r="M471" s="359">
        <f t="shared" ca="1" si="219"/>
        <v>1.3275196959621238</v>
      </c>
      <c r="N471" s="357">
        <f t="shared" ca="1" si="220"/>
        <v>76.061275799119926</v>
      </c>
      <c r="O471" s="343"/>
      <c r="P471" s="363">
        <f t="shared" ca="1" si="221"/>
        <v>21</v>
      </c>
      <c r="Q471" s="357">
        <f t="shared" ca="1" si="222"/>
        <v>43.875000000040473</v>
      </c>
      <c r="R471" s="359">
        <f t="shared" ca="1" si="223"/>
        <v>2.1978402946133152E-2</v>
      </c>
      <c r="S471" s="360">
        <f t="shared" ca="1" si="224"/>
        <v>9.7381006873844136</v>
      </c>
      <c r="T471" s="357">
        <f t="shared" ca="1" si="204"/>
        <v>95.5307677432411</v>
      </c>
      <c r="U471" s="364">
        <f t="shared" ca="1" si="205"/>
        <v>0</v>
      </c>
      <c r="V471" s="359">
        <f t="shared" ca="1" si="206"/>
        <v>1.1369948627014312</v>
      </c>
      <c r="W471" s="357">
        <f t="shared" ca="1" si="207"/>
        <v>180.98614416706423</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745.17636501475556</v>
      </c>
      <c r="AF471" s="344"/>
      <c r="AG471" s="359">
        <f t="shared" ca="1" si="230"/>
        <v>-23.639159831631822</v>
      </c>
      <c r="AH471" s="357">
        <f t="shared" ca="1" si="231"/>
        <v>-14.117815631651373</v>
      </c>
    </row>
    <row r="472" spans="1:34" x14ac:dyDescent="0.25">
      <c r="A472" s="402">
        <f t="shared" ca="1" si="209"/>
        <v>0.01</v>
      </c>
      <c r="B472" s="357">
        <f t="shared" ca="1" si="210"/>
        <v>4.6799999999999446</v>
      </c>
      <c r="C472" s="342"/>
      <c r="D472" s="359">
        <f t="shared" ca="1" si="211"/>
        <v>-3.9797604961824087</v>
      </c>
      <c r="E472" s="360">
        <f t="shared" ca="1" si="212"/>
        <v>-25.844984020124905</v>
      </c>
      <c r="F472" s="357">
        <f t="shared" ca="1" si="213"/>
        <v>26.149602150080327</v>
      </c>
      <c r="G472" s="359">
        <f t="shared" ca="1" si="214"/>
        <v>63.839725806091558</v>
      </c>
      <c r="H472" s="360">
        <f t="shared" ca="1" si="215"/>
        <v>257.1206407085902</v>
      </c>
      <c r="I472" s="357">
        <f t="shared" ca="1" si="216"/>
        <v>264.92741358604792</v>
      </c>
      <c r="J472" s="359">
        <f t="shared" ca="1" si="217"/>
        <v>172.13370705947636</v>
      </c>
      <c r="K472" s="360">
        <f t="shared" ca="1" si="218"/>
        <v>747.7488636710425</v>
      </c>
      <c r="L472" s="357">
        <f t="shared" ca="1" si="203"/>
        <v>767.30592088643039</v>
      </c>
      <c r="M472" s="359">
        <f t="shared" ca="1" si="219"/>
        <v>1.3274304989777015</v>
      </c>
      <c r="N472" s="357">
        <f t="shared" ca="1" si="220"/>
        <v>76.056165188367231</v>
      </c>
      <c r="O472" s="343"/>
      <c r="P472" s="363">
        <f t="shared" ca="1" si="221"/>
        <v>22</v>
      </c>
      <c r="Q472" s="357">
        <f t="shared" ca="1" si="222"/>
        <v>20.100000000221371</v>
      </c>
      <c r="R472" s="359">
        <f t="shared" ca="1" si="223"/>
        <v>1.0068738443800211E-2</v>
      </c>
      <c r="S472" s="360">
        <f t="shared" ca="1" si="224"/>
        <v>9.7379999999999765</v>
      </c>
      <c r="T472" s="357">
        <f t="shared" ca="1" si="204"/>
        <v>95.529779999999775</v>
      </c>
      <c r="U472" s="364">
        <f t="shared" ca="1" si="205"/>
        <v>0</v>
      </c>
      <c r="V472" s="359">
        <f t="shared" ca="1" si="206"/>
        <v>1.1367020006347854</v>
      </c>
      <c r="W472" s="357">
        <f t="shared" ca="1" si="207"/>
        <v>180.58432137044895</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747.7488636710425</v>
      </c>
      <c r="AF472" s="344"/>
      <c r="AG472" s="359">
        <f t="shared" ca="1" si="230"/>
        <v>-26.042610858524988</v>
      </c>
      <c r="AH472" s="357">
        <f t="shared" ca="1" si="231"/>
        <v>-16.521477117153754</v>
      </c>
    </row>
    <row r="473" spans="1:34" x14ac:dyDescent="0.25">
      <c r="A473" s="402">
        <f t="shared" ca="1" si="209"/>
        <v>0.01</v>
      </c>
      <c r="B473" s="357">
        <f t="shared" ca="1" si="210"/>
        <v>4.6899999999999444</v>
      </c>
      <c r="C473" s="342"/>
      <c r="D473" s="359">
        <f t="shared" ca="1" si="211"/>
        <v>-4.4686298750087667</v>
      </c>
      <c r="E473" s="360">
        <f t="shared" ca="1" si="212"/>
        <v>-27.807836958788556</v>
      </c>
      <c r="F473" s="357">
        <f t="shared" ca="1" si="213"/>
        <v>28.164595670564626</v>
      </c>
      <c r="G473" s="359">
        <f t="shared" ca="1" si="214"/>
        <v>63.795039507341471</v>
      </c>
      <c r="H473" s="360">
        <f t="shared" ca="1" si="215"/>
        <v>256.84256233900231</v>
      </c>
      <c r="I473" s="357">
        <f t="shared" ca="1" si="216"/>
        <v>264.64676248654081</v>
      </c>
      <c r="J473" s="359">
        <f t="shared" ca="1" si="217"/>
        <v>172.77188088604353</v>
      </c>
      <c r="K473" s="360">
        <f t="shared" ca="1" si="218"/>
        <v>750.31867968628046</v>
      </c>
      <c r="L473" s="357">
        <f t="shared" ca="1" si="203"/>
        <v>769.95340372717646</v>
      </c>
      <c r="M473" s="359">
        <f t="shared" ca="1" si="219"/>
        <v>1.3273411753123339</v>
      </c>
      <c r="N473" s="357">
        <f t="shared" ca="1" si="220"/>
        <v>76.051047319331033</v>
      </c>
      <c r="O473" s="343"/>
      <c r="P473" s="363">
        <f t="shared" ca="1" si="221"/>
        <v>23</v>
      </c>
      <c r="Q473" s="357">
        <f t="shared" ca="1" si="222"/>
        <v>0</v>
      </c>
      <c r="R473" s="359">
        <f t="shared" ca="1" si="223"/>
        <v>0</v>
      </c>
      <c r="S473" s="360">
        <f t="shared" ca="1" si="224"/>
        <v>9.7379999999999765</v>
      </c>
      <c r="T473" s="357">
        <f t="shared" ca="1" si="204"/>
        <v>95.529779999999775</v>
      </c>
      <c r="U473" s="364">
        <f t="shared" ca="1" si="205"/>
        <v>0</v>
      </c>
      <c r="V473" s="359">
        <f t="shared" ca="1" si="206"/>
        <v>1.1364095164701744</v>
      </c>
      <c r="W473" s="357">
        <f t="shared" ca="1" si="207"/>
        <v>180.15555203582193</v>
      </c>
      <c r="X473" s="343"/>
      <c r="Y473" s="367" t="str">
        <f t="shared" ca="1" si="225"/>
        <v>Fin de propulsion</v>
      </c>
      <c r="Z473" s="368" t="str">
        <f t="shared" ca="1" si="226"/>
        <v/>
      </c>
      <c r="AA473" s="369" t="str">
        <f t="shared" ca="1" si="227"/>
        <v/>
      </c>
      <c r="AB473" s="344"/>
      <c r="AC473" s="363" t="e">
        <f t="shared" ca="1" si="228"/>
        <v>#N/A</v>
      </c>
      <c r="AD473" s="376" t="e">
        <f t="shared" ca="1" si="229"/>
        <v>#N/A</v>
      </c>
      <c r="AE473" s="377">
        <f t="shared" ca="1" si="208"/>
        <v>750.31867968628046</v>
      </c>
      <c r="AF473" s="344"/>
      <c r="AG473" s="359">
        <f t="shared" ca="1" si="230"/>
        <v>-28.065215527793022</v>
      </c>
      <c r="AH473" s="357">
        <f t="shared" ca="1" si="231"/>
        <v>-18.544292603250092</v>
      </c>
    </row>
    <row r="474" spans="1:34" x14ac:dyDescent="0.25">
      <c r="A474" s="402">
        <f t="shared" ca="1" si="209"/>
        <v>0.01</v>
      </c>
      <c r="B474" s="357">
        <f t="shared" ca="1" si="210"/>
        <v>4.6999999999999442</v>
      </c>
      <c r="C474" s="342"/>
      <c r="D474" s="359">
        <f t="shared" ca="1" si="211"/>
        <v>-4.4596236075240299</v>
      </c>
      <c r="E474" s="360">
        <f t="shared" ca="1" si="212"/>
        <v>-27.764705620836914</v>
      </c>
      <c r="F474" s="357">
        <f t="shared" ca="1" si="213"/>
        <v>28.120581802880938</v>
      </c>
      <c r="G474" s="359">
        <f t="shared" ca="1" si="214"/>
        <v>63.750443271266228</v>
      </c>
      <c r="H474" s="360">
        <f t="shared" ca="1" si="215"/>
        <v>256.56491528279395</v>
      </c>
      <c r="I474" s="357">
        <f t="shared" ca="1" si="216"/>
        <v>264.36655380616924</v>
      </c>
      <c r="J474" s="359">
        <f t="shared" ca="1" si="217"/>
        <v>173.40960829993656</v>
      </c>
      <c r="K474" s="360">
        <f t="shared" ca="1" si="218"/>
        <v>752.88571707438939</v>
      </c>
      <c r="L474" s="357">
        <f t="shared" ca="1" si="203"/>
        <v>772.59808129800251</v>
      </c>
      <c r="M474" s="359">
        <f t="shared" ca="1" si="219"/>
        <v>1.3272517248018378</v>
      </c>
      <c r="N474" s="357">
        <f t="shared" ca="1" si="220"/>
        <v>76.045922182604315</v>
      </c>
      <c r="O474" s="343"/>
      <c r="P474" s="363">
        <f t="shared" ca="1" si="221"/>
        <v>23</v>
      </c>
      <c r="Q474" s="357">
        <f t="shared" ca="1" si="222"/>
        <v>0</v>
      </c>
      <c r="R474" s="359">
        <f t="shared" ca="1" si="223"/>
        <v>0</v>
      </c>
      <c r="S474" s="360">
        <f t="shared" ca="1" si="224"/>
        <v>9.7379999999999765</v>
      </c>
      <c r="T474" s="357">
        <f t="shared" ca="1" si="204"/>
        <v>95.529779999999775</v>
      </c>
      <c r="U474" s="364">
        <f t="shared" ca="1" si="205"/>
        <v>0</v>
      </c>
      <c r="V474" s="359">
        <f t="shared" ca="1" si="206"/>
        <v>1.1361174208744069</v>
      </c>
      <c r="W474" s="357">
        <f t="shared" ca="1" si="207"/>
        <v>179.72804761701698</v>
      </c>
      <c r="X474" s="343"/>
      <c r="Y474" s="367" t="str">
        <f t="shared" ca="1" si="225"/>
        <v/>
      </c>
      <c r="Z474" s="368" t="str">
        <f t="shared" ca="1" si="226"/>
        <v/>
      </c>
      <c r="AA474" s="369" t="str">
        <f t="shared" ca="1" si="227"/>
        <v/>
      </c>
      <c r="AB474" s="344"/>
      <c r="AC474" s="363" t="e">
        <f t="shared" ca="1" si="228"/>
        <v>#N/A</v>
      </c>
      <c r="AD474" s="376" t="e">
        <f t="shared" ca="1" si="229"/>
        <v>#N/A</v>
      </c>
      <c r="AE474" s="377">
        <f t="shared" ca="1" si="208"/>
        <v>752.88571707438939</v>
      </c>
      <c r="AF474" s="344"/>
      <c r="AG474" s="359">
        <f t="shared" ca="1" si="230"/>
        <v>-28.020973802204971</v>
      </c>
      <c r="AH474" s="357">
        <f t="shared" ca="1" si="231"/>
        <v>-18.500262069811292</v>
      </c>
    </row>
    <row r="475" spans="1:34" x14ac:dyDescent="0.25">
      <c r="A475" s="402">
        <f t="shared" ca="1" si="209"/>
        <v>0.01</v>
      </c>
      <c r="B475" s="357">
        <f t="shared" ca="1" si="210"/>
        <v>4.709999999999944</v>
      </c>
      <c r="C475" s="342"/>
      <c r="D475" s="359">
        <f t="shared" ca="1" si="211"/>
        <v>-4.4506432658509407</v>
      </c>
      <c r="E475" s="360">
        <f t="shared" ca="1" si="212"/>
        <v>-27.721701532774368</v>
      </c>
      <c r="F475" s="357">
        <f t="shared" ca="1" si="213"/>
        <v>28.076697835608964</v>
      </c>
      <c r="G475" s="359">
        <f t="shared" ca="1" si="214"/>
        <v>63.70593683860772</v>
      </c>
      <c r="H475" s="360">
        <f t="shared" ca="1" si="215"/>
        <v>256.28769826746623</v>
      </c>
      <c r="I475" s="357">
        <f t="shared" ca="1" si="216"/>
        <v>264.08678624974874</v>
      </c>
      <c r="J475" s="359">
        <f t="shared" ca="1" si="217"/>
        <v>174.04689020048593</v>
      </c>
      <c r="K475" s="360">
        <f t="shared" ca="1" si="218"/>
        <v>755.4499801421407</v>
      </c>
      <c r="L475" s="357">
        <f t="shared" ca="1" si="203"/>
        <v>775.23995800346927</v>
      </c>
      <c r="M475" s="359">
        <f t="shared" ca="1" si="219"/>
        <v>1.3271621472816493</v>
      </c>
      <c r="N475" s="357">
        <f t="shared" ca="1" si="220"/>
        <v>76.040789768758259</v>
      </c>
      <c r="O475" s="343"/>
      <c r="P475" s="363">
        <f t="shared" ca="1" si="221"/>
        <v>23</v>
      </c>
      <c r="Q475" s="357">
        <f t="shared" ca="1" si="222"/>
        <v>0</v>
      </c>
      <c r="R475" s="359">
        <f t="shared" ca="1" si="223"/>
        <v>0</v>
      </c>
      <c r="S475" s="360">
        <f t="shared" ca="1" si="224"/>
        <v>9.7379999999999765</v>
      </c>
      <c r="T475" s="357">
        <f t="shared" ca="1" si="204"/>
        <v>95.529779999999775</v>
      </c>
      <c r="U475" s="364">
        <f t="shared" ca="1" si="205"/>
        <v>0</v>
      </c>
      <c r="V475" s="359">
        <f t="shared" ca="1" si="206"/>
        <v>1.135825713096124</v>
      </c>
      <c r="W475" s="357">
        <f t="shared" ca="1" si="207"/>
        <v>179.30180315682469</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755.4499801421407</v>
      </c>
      <c r="AF475" s="344"/>
      <c r="AG475" s="359">
        <f t="shared" ca="1" si="230"/>
        <v>-27.976861595412725</v>
      </c>
      <c r="AH475" s="357">
        <f t="shared" ca="1" si="231"/>
        <v>-18.456361431199159</v>
      </c>
    </row>
    <row r="476" spans="1:34" x14ac:dyDescent="0.25">
      <c r="A476" s="402">
        <f t="shared" ca="1" si="209"/>
        <v>0.01</v>
      </c>
      <c r="B476" s="357">
        <f t="shared" ca="1" si="210"/>
        <v>4.7199999999999438</v>
      </c>
      <c r="C476" s="342"/>
      <c r="D476" s="359">
        <f t="shared" ca="1" si="211"/>
        <v>-4.4416887478352427</v>
      </c>
      <c r="E476" s="360">
        <f t="shared" ca="1" si="212"/>
        <v>-27.678824195884424</v>
      </c>
      <c r="F476" s="357">
        <f t="shared" ca="1" si="213"/>
        <v>28.032943259660112</v>
      </c>
      <c r="G476" s="359">
        <f t="shared" ca="1" si="214"/>
        <v>63.661519951129364</v>
      </c>
      <c r="H476" s="360">
        <f t="shared" ca="1" si="215"/>
        <v>256.01091002550737</v>
      </c>
      <c r="I476" s="357">
        <f t="shared" ca="1" si="216"/>
        <v>263.80745852719264</v>
      </c>
      <c r="J476" s="359">
        <f t="shared" ca="1" si="217"/>
        <v>174.68372748443463</v>
      </c>
      <c r="K476" s="360">
        <f t="shared" ca="1" si="218"/>
        <v>758.01147318360552</v>
      </c>
      <c r="L476" s="357">
        <f t="shared" ca="1" si="203"/>
        <v>777.87903823527483</v>
      </c>
      <c r="M476" s="359">
        <f t="shared" ca="1" si="219"/>
        <v>1.3270724425868237</v>
      </c>
      <c r="N476" s="357">
        <f t="shared" ca="1" si="220"/>
        <v>76.03565006834225</v>
      </c>
      <c r="O476" s="343"/>
      <c r="P476" s="363">
        <f t="shared" ca="1" si="221"/>
        <v>23</v>
      </c>
      <c r="Q476" s="357">
        <f t="shared" ca="1" si="222"/>
        <v>0</v>
      </c>
      <c r="R476" s="359">
        <f t="shared" ca="1" si="223"/>
        <v>0</v>
      </c>
      <c r="S476" s="360">
        <f t="shared" ca="1" si="224"/>
        <v>9.7379999999999765</v>
      </c>
      <c r="T476" s="357">
        <f t="shared" ca="1" si="204"/>
        <v>95.529779999999775</v>
      </c>
      <c r="U476" s="364">
        <f t="shared" ca="1" si="205"/>
        <v>0</v>
      </c>
      <c r="V476" s="359">
        <f t="shared" ca="1" si="206"/>
        <v>1.1355343923863337</v>
      </c>
      <c r="W476" s="357">
        <f t="shared" ca="1" si="207"/>
        <v>178.87681372261395</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758.01147318360552</v>
      </c>
      <c r="AF476" s="344"/>
      <c r="AG476" s="359">
        <f t="shared" ca="1" si="230"/>
        <v>-27.932878397646199</v>
      </c>
      <c r="AH476" s="357">
        <f t="shared" ca="1" si="231"/>
        <v>-18.412590178355426</v>
      </c>
    </row>
    <row r="477" spans="1:34" x14ac:dyDescent="0.25">
      <c r="A477" s="402">
        <f t="shared" ca="1" si="209"/>
        <v>0.01</v>
      </c>
      <c r="B477" s="357">
        <f t="shared" ca="1" si="210"/>
        <v>4.7299999999999436</v>
      </c>
      <c r="C477" s="342"/>
      <c r="D477" s="359">
        <f t="shared" ca="1" si="211"/>
        <v>-4.4327599518288006</v>
      </c>
      <c r="E477" s="360">
        <f t="shared" ca="1" si="212"/>
        <v>-27.636073113923253</v>
      </c>
      <c r="F477" s="357">
        <f t="shared" ca="1" si="213"/>
        <v>27.98931756846974</v>
      </c>
      <c r="G477" s="359">
        <f t="shared" ca="1" si="214"/>
        <v>63.617192351611074</v>
      </c>
      <c r="H477" s="360">
        <f t="shared" ca="1" si="215"/>
        <v>255.73454929436815</v>
      </c>
      <c r="I477" s="357">
        <f t="shared" ca="1" si="216"/>
        <v>263.52856935348677</v>
      </c>
      <c r="J477" s="359">
        <f t="shared" ca="1" si="217"/>
        <v>175.32012104594833</v>
      </c>
      <c r="K477" s="360">
        <f t="shared" ca="1" si="218"/>
        <v>760.5702004802049</v>
      </c>
      <c r="L477" s="357">
        <f t="shared" ca="1" si="203"/>
        <v>780.51532637230457</v>
      </c>
      <c r="M477" s="359">
        <f t="shared" ca="1" si="219"/>
        <v>1.3269826105520337</v>
      </c>
      <c r="N477" s="357">
        <f t="shared" ca="1" si="220"/>
        <v>76.030503071883714</v>
      </c>
      <c r="O477" s="343"/>
      <c r="P477" s="363">
        <f t="shared" ca="1" si="221"/>
        <v>23</v>
      </c>
      <c r="Q477" s="357">
        <f t="shared" ca="1" si="222"/>
        <v>0</v>
      </c>
      <c r="R477" s="359">
        <f t="shared" ca="1" si="223"/>
        <v>0</v>
      </c>
      <c r="S477" s="360">
        <f t="shared" ca="1" si="224"/>
        <v>9.7379999999999765</v>
      </c>
      <c r="T477" s="357">
        <f t="shared" ca="1" si="204"/>
        <v>95.529779999999775</v>
      </c>
      <c r="U477" s="364">
        <f t="shared" ca="1" si="205"/>
        <v>0</v>
      </c>
      <c r="V477" s="359">
        <f t="shared" ca="1" si="206"/>
        <v>1.1352434579984034</v>
      </c>
      <c r="W477" s="357">
        <f t="shared" ca="1" si="207"/>
        <v>178.45307440618598</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760.5702004802049</v>
      </c>
      <c r="AF477" s="344"/>
      <c r="AG477" s="359">
        <f t="shared" ca="1" si="230"/>
        <v>-27.889023701657351</v>
      </c>
      <c r="AH477" s="357">
        <f t="shared" ca="1" si="231"/>
        <v>-18.368947804745776</v>
      </c>
    </row>
    <row r="478" spans="1:34" x14ac:dyDescent="0.25">
      <c r="A478" s="402">
        <f t="shared" ca="1" si="209"/>
        <v>0.01</v>
      </c>
      <c r="B478" s="357">
        <f t="shared" ca="1" si="210"/>
        <v>4.7399999999999434</v>
      </c>
      <c r="C478" s="342"/>
      <c r="D478" s="359">
        <f t="shared" ca="1" si="211"/>
        <v>-4.4238567766866419</v>
      </c>
      <c r="E478" s="360">
        <f t="shared" ca="1" si="212"/>
        <v>-27.593447793105007</v>
      </c>
      <c r="F478" s="357">
        <f t="shared" ca="1" si="213"/>
        <v>27.945820257982195</v>
      </c>
      <c r="G478" s="359">
        <f t="shared" ca="1" si="214"/>
        <v>63.572953783844206</v>
      </c>
      <c r="H478" s="360">
        <f t="shared" ca="1" si="215"/>
        <v>255.45861481643709</v>
      </c>
      <c r="I478" s="357">
        <f t="shared" ca="1" si="216"/>
        <v>263.25011744866435</v>
      </c>
      <c r="J478" s="359">
        <f t="shared" ca="1" si="217"/>
        <v>175.95607177662561</v>
      </c>
      <c r="K478" s="360">
        <f t="shared" ca="1" si="218"/>
        <v>763.12616630075888</v>
      </c>
      <c r="L478" s="357">
        <f t="shared" ca="1" si="203"/>
        <v>783.14882678067931</v>
      </c>
      <c r="M478" s="359">
        <f t="shared" ca="1" si="219"/>
        <v>1.3268926510115697</v>
      </c>
      <c r="N478" s="357">
        <f t="shared" ca="1" si="220"/>
        <v>76.025348769888183</v>
      </c>
      <c r="O478" s="343"/>
      <c r="P478" s="363">
        <f t="shared" ca="1" si="221"/>
        <v>23</v>
      </c>
      <c r="Q478" s="357">
        <f t="shared" ca="1" si="222"/>
        <v>0</v>
      </c>
      <c r="R478" s="359">
        <f t="shared" ca="1" si="223"/>
        <v>0</v>
      </c>
      <c r="S478" s="360">
        <f t="shared" ca="1" si="224"/>
        <v>9.7379999999999765</v>
      </c>
      <c r="T478" s="357">
        <f t="shared" ca="1" si="204"/>
        <v>95.529779999999775</v>
      </c>
      <c r="U478" s="364">
        <f t="shared" ca="1" si="205"/>
        <v>0</v>
      </c>
      <c r="V478" s="359">
        <f t="shared" ca="1" si="206"/>
        <v>1.1349529091880501</v>
      </c>
      <c r="W478" s="357">
        <f t="shared" ca="1" si="207"/>
        <v>178.03058032362802</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763.12616630075888</v>
      </c>
      <c r="AF478" s="344"/>
      <c r="AG478" s="359">
        <f t="shared" ca="1" si="230"/>
        <v>-27.845297002705212</v>
      </c>
      <c r="AH478" s="357">
        <f t="shared" ca="1" si="231"/>
        <v>-18.325433806344876</v>
      </c>
    </row>
    <row r="479" spans="1:34" x14ac:dyDescent="0.25">
      <c r="A479" s="402">
        <f t="shared" ca="1" si="209"/>
        <v>0.01</v>
      </c>
      <c r="B479" s="357">
        <f t="shared" ca="1" si="210"/>
        <v>4.7499999999999432</v>
      </c>
      <c r="C479" s="342"/>
      <c r="D479" s="359">
        <f t="shared" ca="1" si="211"/>
        <v>-4.4149791217639036</v>
      </c>
      <c r="E479" s="360">
        <f t="shared" ca="1" si="212"/>
        <v>-27.550947742087075</v>
      </c>
      <c r="F479" s="357">
        <f t="shared" ca="1" si="213"/>
        <v>27.902450826635715</v>
      </c>
      <c r="G479" s="359">
        <f t="shared" ca="1" si="214"/>
        <v>63.528803992626564</v>
      </c>
      <c r="H479" s="360">
        <f t="shared" ca="1" si="215"/>
        <v>255.18310533901621</v>
      </c>
      <c r="I479" s="357">
        <f t="shared" ca="1" si="216"/>
        <v>262.97210153778099</v>
      </c>
      <c r="J479" s="359">
        <f t="shared" ca="1" si="217"/>
        <v>176.59158056550797</v>
      </c>
      <c r="K479" s="360">
        <f t="shared" ca="1" si="218"/>
        <v>765.67937490153611</v>
      </c>
      <c r="L479" s="357">
        <f t="shared" ca="1" si="203"/>
        <v>785.77954381380493</v>
      </c>
      <c r="M479" s="359">
        <f t="shared" ca="1" si="219"/>
        <v>1.3268025637993381</v>
      </c>
      <c r="N479" s="357">
        <f t="shared" ca="1" si="220"/>
        <v>76.020187152839213</v>
      </c>
      <c r="O479" s="343"/>
      <c r="P479" s="363">
        <f t="shared" ca="1" si="221"/>
        <v>23</v>
      </c>
      <c r="Q479" s="357">
        <f t="shared" ca="1" si="222"/>
        <v>0</v>
      </c>
      <c r="R479" s="359">
        <f t="shared" ca="1" si="223"/>
        <v>0</v>
      </c>
      <c r="S479" s="360">
        <f t="shared" ca="1" si="224"/>
        <v>9.7379999999999765</v>
      </c>
      <c r="T479" s="357">
        <f t="shared" ca="1" si="204"/>
        <v>95.529779999999775</v>
      </c>
      <c r="U479" s="364">
        <f t="shared" ca="1" si="205"/>
        <v>0</v>
      </c>
      <c r="V479" s="359">
        <f t="shared" ca="1" si="206"/>
        <v>1.1346627452133304</v>
      </c>
      <c r="W479" s="357">
        <f t="shared" ca="1" si="207"/>
        <v>177.60932661516821</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765.67937490153611</v>
      </c>
      <c r="AF479" s="344"/>
      <c r="AG479" s="359">
        <f t="shared" ca="1" si="230"/>
        <v>-27.801697798540815</v>
      </c>
      <c r="AH479" s="357">
        <f t="shared" ca="1" si="231"/>
        <v>-18.282047681621322</v>
      </c>
    </row>
    <row r="480" spans="1:34" x14ac:dyDescent="0.25">
      <c r="A480" s="402">
        <f t="shared" ca="1" si="209"/>
        <v>0.01</v>
      </c>
      <c r="B480" s="357">
        <f t="shared" ca="1" si="210"/>
        <v>4.7599999999999429</v>
      </c>
      <c r="C480" s="342"/>
      <c r="D480" s="359">
        <f t="shared" ca="1" si="211"/>
        <v>-4.4061268869128645</v>
      </c>
      <c r="E480" s="360">
        <f t="shared" ca="1" si="212"/>
        <v>-27.508572471955496</v>
      </c>
      <c r="F480" s="357">
        <f t="shared" ca="1" si="213"/>
        <v>27.859208775347589</v>
      </c>
      <c r="G480" s="359">
        <f t="shared" ca="1" si="214"/>
        <v>63.484742723757435</v>
      </c>
      <c r="H480" s="360">
        <f t="shared" ca="1" si="215"/>
        <v>254.90801961429665</v>
      </c>
      <c r="I480" s="357">
        <f t="shared" ca="1" si="216"/>
        <v>262.69452035089029</v>
      </c>
      <c r="J480" s="359">
        <f t="shared" ca="1" si="217"/>
        <v>177.2266482990899</v>
      </c>
      <c r="K480" s="360">
        <f t="shared" ca="1" si="218"/>
        <v>768.22983052630264</v>
      </c>
      <c r="L480" s="357">
        <f t="shared" ca="1" si="203"/>
        <v>788.40748181241975</v>
      </c>
      <c r="M480" s="359">
        <f t="shared" ca="1" si="219"/>
        <v>1.3267123487488608</v>
      </c>
      <c r="N480" s="357">
        <f t="shared" ca="1" si="220"/>
        <v>76.01501821119831</v>
      </c>
      <c r="O480" s="343"/>
      <c r="P480" s="363">
        <f t="shared" ca="1" si="221"/>
        <v>23</v>
      </c>
      <c r="Q480" s="357">
        <f t="shared" ca="1" si="222"/>
        <v>0</v>
      </c>
      <c r="R480" s="359">
        <f t="shared" ca="1" si="223"/>
        <v>0</v>
      </c>
      <c r="S480" s="360">
        <f t="shared" ca="1" si="224"/>
        <v>9.7379999999999765</v>
      </c>
      <c r="T480" s="357">
        <f t="shared" ca="1" si="204"/>
        <v>95.529779999999775</v>
      </c>
      <c r="U480" s="364">
        <f t="shared" ca="1" si="205"/>
        <v>0</v>
      </c>
      <c r="V480" s="359">
        <f t="shared" ca="1" si="206"/>
        <v>1.1343729653346317</v>
      </c>
      <c r="W480" s="357">
        <f t="shared" ca="1" si="207"/>
        <v>177.18930844503291</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768.22983052630264</v>
      </c>
      <c r="AF480" s="344"/>
      <c r="AG480" s="359">
        <f t="shared" ca="1" si="230"/>
        <v>-27.758225589392325</v>
      </c>
      <c r="AH480" s="357">
        <f t="shared" ca="1" si="231"/>
        <v>-18.238788931522762</v>
      </c>
    </row>
    <row r="481" spans="1:34" x14ac:dyDescent="0.25">
      <c r="A481" s="402">
        <f t="shared" ca="1" si="209"/>
        <v>0.01</v>
      </c>
      <c r="B481" s="357">
        <f t="shared" ca="1" si="210"/>
        <v>4.7699999999999427</v>
      </c>
      <c r="C481" s="342"/>
      <c r="D481" s="359">
        <f t="shared" ca="1" si="211"/>
        <v>-4.397299972479999</v>
      </c>
      <c r="E481" s="360">
        <f t="shared" ca="1" si="212"/>
        <v>-27.466321496210597</v>
      </c>
      <c r="F481" s="357">
        <f t="shared" ca="1" si="213"/>
        <v>27.816093607499472</v>
      </c>
      <c r="G481" s="359">
        <f t="shared" ca="1" si="214"/>
        <v>63.440769724032634</v>
      </c>
      <c r="H481" s="360">
        <f t="shared" ca="1" si="215"/>
        <v>254.63335639933453</v>
      </c>
      <c r="I481" s="357">
        <f t="shared" ca="1" si="216"/>
        <v>262.41737262301871</v>
      </c>
      <c r="J481" s="359">
        <f t="shared" ca="1" si="217"/>
        <v>177.86127586132886</v>
      </c>
      <c r="K481" s="360">
        <f t="shared" ca="1" si="218"/>
        <v>770.77753740637081</v>
      </c>
      <c r="L481" s="357">
        <f t="shared" ca="1" si="203"/>
        <v>791.03264510464362</v>
      </c>
      <c r="M481" s="359">
        <f t="shared" ca="1" si="219"/>
        <v>1.326622005693274</v>
      </c>
      <c r="N481" s="357">
        <f t="shared" ca="1" si="220"/>
        <v>76.009841935404879</v>
      </c>
      <c r="O481" s="343"/>
      <c r="P481" s="363">
        <f t="shared" ca="1" si="221"/>
        <v>23</v>
      </c>
      <c r="Q481" s="357">
        <f t="shared" ca="1" si="222"/>
        <v>0</v>
      </c>
      <c r="R481" s="359">
        <f t="shared" ca="1" si="223"/>
        <v>0</v>
      </c>
      <c r="S481" s="360">
        <f t="shared" ca="1" si="224"/>
        <v>9.7379999999999765</v>
      </c>
      <c r="T481" s="357">
        <f t="shared" ca="1" si="204"/>
        <v>95.529779999999775</v>
      </c>
      <c r="U481" s="364">
        <f t="shared" ca="1" si="205"/>
        <v>0</v>
      </c>
      <c r="V481" s="359">
        <f t="shared" ca="1" si="206"/>
        <v>1.1340835688146602</v>
      </c>
      <c r="W481" s="357">
        <f t="shared" ca="1" si="207"/>
        <v>176.77052100130226</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770.77753740637081</v>
      </c>
      <c r="AF481" s="344"/>
      <c r="AG481" s="359">
        <f t="shared" ca="1" si="230"/>
        <v>-27.714879877950342</v>
      </c>
      <c r="AH481" s="357">
        <f t="shared" ca="1" si="231"/>
        <v>-18.195657059461219</v>
      </c>
    </row>
    <row r="482" spans="1:34" x14ac:dyDescent="0.25">
      <c r="A482" s="402">
        <f t="shared" ca="1" si="209"/>
        <v>0.01</v>
      </c>
      <c r="B482" s="357">
        <f t="shared" ca="1" si="210"/>
        <v>4.7799999999999425</v>
      </c>
      <c r="C482" s="342"/>
      <c r="D482" s="359">
        <f t="shared" ca="1" si="211"/>
        <v>-4.3884982793030067</v>
      </c>
      <c r="E482" s="360">
        <f t="shared" ca="1" si="212"/>
        <v>-27.424194330752471</v>
      </c>
      <c r="F482" s="357">
        <f t="shared" ca="1" si="213"/>
        <v>27.773104828922555</v>
      </c>
      <c r="G482" s="359">
        <f t="shared" ca="1" si="214"/>
        <v>63.396884741239603</v>
      </c>
      <c r="H482" s="360">
        <f t="shared" ca="1" si="215"/>
        <v>254.35911445602702</v>
      </c>
      <c r="I482" s="357">
        <f t="shared" ca="1" si="216"/>
        <v>262.14065709414149</v>
      </c>
      <c r="J482" s="359">
        <f t="shared" ca="1" si="217"/>
        <v>178.49546413365522</v>
      </c>
      <c r="K482" s="360">
        <f t="shared" ca="1" si="218"/>
        <v>773.32249976064759</v>
      </c>
      <c r="L482" s="357">
        <f t="shared" ca="1" si="203"/>
        <v>793.65503800602562</v>
      </c>
      <c r="M482" s="359">
        <f t="shared" ca="1" si="219"/>
        <v>1.3265315344653279</v>
      </c>
      <c r="N482" s="357">
        <f t="shared" ca="1" si="220"/>
        <v>76.004658315876185</v>
      </c>
      <c r="O482" s="343"/>
      <c r="P482" s="363">
        <f t="shared" ca="1" si="221"/>
        <v>23</v>
      </c>
      <c r="Q482" s="357">
        <f t="shared" ca="1" si="222"/>
        <v>0</v>
      </c>
      <c r="R482" s="359">
        <f t="shared" ca="1" si="223"/>
        <v>0</v>
      </c>
      <c r="S482" s="360">
        <f t="shared" ca="1" si="224"/>
        <v>9.7379999999999765</v>
      </c>
      <c r="T482" s="357">
        <f t="shared" ca="1" si="204"/>
        <v>95.529779999999775</v>
      </c>
      <c r="U482" s="364">
        <f t="shared" ca="1" si="205"/>
        <v>0</v>
      </c>
      <c r="V482" s="359">
        <f t="shared" ca="1" si="206"/>
        <v>1.1337945549184336</v>
      </c>
      <c r="W482" s="357">
        <f t="shared" ca="1" si="207"/>
        <v>176.3529594957696</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773.32249976064759</v>
      </c>
      <c r="AF482" s="344"/>
      <c r="AG482" s="359">
        <f t="shared" ca="1" si="230"/>
        <v>-27.671660169353107</v>
      </c>
      <c r="AH482" s="357">
        <f t="shared" ca="1" si="231"/>
        <v>-18.152651571298282</v>
      </c>
    </row>
    <row r="483" spans="1:34" x14ac:dyDescent="0.25">
      <c r="A483" s="402">
        <f t="shared" ca="1" si="209"/>
        <v>0.01</v>
      </c>
      <c r="B483" s="357">
        <f t="shared" ca="1" si="210"/>
        <v>4.7899999999999423</v>
      </c>
      <c r="C483" s="342"/>
      <c r="D483" s="359">
        <f t="shared" ca="1" si="211"/>
        <v>-4.3797217087079172</v>
      </c>
      <c r="E483" s="360">
        <f t="shared" ca="1" si="212"/>
        <v>-27.382190493866851</v>
      </c>
      <c r="F483" s="357">
        <f t="shared" ca="1" si="213"/>
        <v>27.730241947883172</v>
      </c>
      <c r="G483" s="359">
        <f t="shared" ca="1" si="214"/>
        <v>63.353087524152521</v>
      </c>
      <c r="H483" s="360">
        <f t="shared" ca="1" si="215"/>
        <v>254.08529255108834</v>
      </c>
      <c r="I483" s="357">
        <f t="shared" ca="1" si="216"/>
        <v>261.86437250915804</v>
      </c>
      <c r="J483" s="359">
        <f t="shared" ca="1" si="217"/>
        <v>179.12921399498217</v>
      </c>
      <c r="K483" s="360">
        <f t="shared" ca="1" si="218"/>
        <v>775.86472179568318</v>
      </c>
      <c r="L483" s="357">
        <f t="shared" ca="1" si="203"/>
        <v>796.27466481959164</v>
      </c>
      <c r="M483" s="359">
        <f t="shared" ca="1" si="219"/>
        <v>1.3264409348973853</v>
      </c>
      <c r="N483" s="357">
        <f t="shared" ca="1" si="220"/>
        <v>75.999467343007382</v>
      </c>
      <c r="O483" s="343"/>
      <c r="P483" s="363">
        <f t="shared" ca="1" si="221"/>
        <v>23</v>
      </c>
      <c r="Q483" s="357">
        <f t="shared" ca="1" si="222"/>
        <v>0</v>
      </c>
      <c r="R483" s="359">
        <f t="shared" ca="1" si="223"/>
        <v>0</v>
      </c>
      <c r="S483" s="360">
        <f t="shared" ca="1" si="224"/>
        <v>9.7379999999999765</v>
      </c>
      <c r="T483" s="357">
        <f t="shared" ca="1" si="204"/>
        <v>95.529779999999775</v>
      </c>
      <c r="U483" s="364">
        <f t="shared" ca="1" si="205"/>
        <v>0</v>
      </c>
      <c r="V483" s="359">
        <f t="shared" ca="1" si="206"/>
        <v>1.1335059229132713</v>
      </c>
      <c r="W483" s="357">
        <f t="shared" ca="1" si="207"/>
        <v>175.93661916380006</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775.86472179568318</v>
      </c>
      <c r="AF483" s="344"/>
      <c r="AG483" s="359">
        <f t="shared" ca="1" si="230"/>
        <v>-27.628565971172037</v>
      </c>
      <c r="AH483" s="357">
        <f t="shared" ca="1" si="231"/>
        <v>-18.109771975330666</v>
      </c>
    </row>
    <row r="484" spans="1:34" x14ac:dyDescent="0.25">
      <c r="A484" s="402">
        <f t="shared" ca="1" si="209"/>
        <v>0.01</v>
      </c>
      <c r="B484" s="357">
        <f t="shared" ca="1" si="210"/>
        <v>4.7999999999999421</v>
      </c>
      <c r="C484" s="342"/>
      <c r="D484" s="359">
        <f t="shared" ca="1" si="211"/>
        <v>-4.3709701625061674</v>
      </c>
      <c r="E484" s="360">
        <f t="shared" ca="1" si="212"/>
        <v>-27.340309506210836</v>
      </c>
      <c r="F484" s="357">
        <f t="shared" ca="1" si="213"/>
        <v>27.687504475068206</v>
      </c>
      <c r="G484" s="359">
        <f t="shared" ca="1" si="214"/>
        <v>63.309377822527459</v>
      </c>
      <c r="H484" s="360">
        <f t="shared" ca="1" si="215"/>
        <v>253.81188945602622</v>
      </c>
      <c r="I484" s="357">
        <f t="shared" ca="1" si="216"/>
        <v>261.58851761786792</v>
      </c>
      <c r="J484" s="359">
        <f t="shared" ca="1" si="217"/>
        <v>179.76252632171557</v>
      </c>
      <c r="K484" s="360">
        <f t="shared" ca="1" si="218"/>
        <v>778.4042077057187</v>
      </c>
      <c r="L484" s="357">
        <f t="shared" ca="1" si="203"/>
        <v>798.89152983589281</v>
      </c>
      <c r="M484" s="359">
        <f t="shared" ca="1" si="219"/>
        <v>1.3263502068214208</v>
      </c>
      <c r="N484" s="357">
        <f t="shared" ca="1" si="220"/>
        <v>75.994269007171269</v>
      </c>
      <c r="O484" s="343"/>
      <c r="P484" s="363">
        <f t="shared" ca="1" si="221"/>
        <v>23</v>
      </c>
      <c r="Q484" s="357">
        <f t="shared" ca="1" si="222"/>
        <v>0</v>
      </c>
      <c r="R484" s="359">
        <f t="shared" ca="1" si="223"/>
        <v>0</v>
      </c>
      <c r="S484" s="360">
        <f t="shared" ca="1" si="224"/>
        <v>9.7379999999999765</v>
      </c>
      <c r="T484" s="357">
        <f t="shared" ca="1" si="204"/>
        <v>95.529779999999775</v>
      </c>
      <c r="U484" s="364">
        <f t="shared" ca="1" si="205"/>
        <v>0</v>
      </c>
      <c r="V484" s="359">
        <f t="shared" ca="1" si="206"/>
        <v>1.1332176720687834</v>
      </c>
      <c r="W484" s="357">
        <f t="shared" ca="1" si="207"/>
        <v>175.52149526419063</v>
      </c>
      <c r="X484" s="343"/>
      <c r="Y484" s="367" t="str">
        <f t="shared" ca="1" si="225"/>
        <v/>
      </c>
      <c r="Z484" s="368" t="str">
        <f t="shared" ca="1" si="226"/>
        <v/>
      </c>
      <c r="AA484" s="369" t="str">
        <f t="shared" ca="1" si="227"/>
        <v/>
      </c>
      <c r="AB484" s="344"/>
      <c r="AC484" s="363" t="e">
        <f t="shared" ca="1" si="228"/>
        <v>#N/A</v>
      </c>
      <c r="AD484" s="376" t="e">
        <f t="shared" ca="1" si="229"/>
        <v>#N/A</v>
      </c>
      <c r="AE484" s="377">
        <f t="shared" ca="1" si="208"/>
        <v>778.4042077057187</v>
      </c>
      <c r="AF484" s="344"/>
      <c r="AG484" s="359">
        <f t="shared" ca="1" si="230"/>
        <v>-27.58559679339718</v>
      </c>
      <c r="AH484" s="357">
        <f t="shared" ca="1" si="231"/>
        <v>-18.06701778227567</v>
      </c>
    </row>
    <row r="485" spans="1:34" x14ac:dyDescent="0.25">
      <c r="A485" s="402">
        <f t="shared" ca="1" si="209"/>
        <v>0.01</v>
      </c>
      <c r="B485" s="357">
        <f t="shared" ca="1" si="210"/>
        <v>4.8099999999999419</v>
      </c>
      <c r="C485" s="342"/>
      <c r="D485" s="359">
        <f t="shared" ca="1" si="211"/>
        <v>-4.3622435429917408</v>
      </c>
      <c r="E485" s="360">
        <f t="shared" ca="1" si="212"/>
        <v>-27.298550890798857</v>
      </c>
      <c r="F485" s="357">
        <f t="shared" ca="1" si="213"/>
        <v>27.644891923570768</v>
      </c>
      <c r="G485" s="359">
        <f t="shared" ca="1" si="214"/>
        <v>63.265755387097542</v>
      </c>
      <c r="H485" s="360">
        <f t="shared" ca="1" si="215"/>
        <v>253.53890394711823</v>
      </c>
      <c r="I485" s="357">
        <f t="shared" ca="1" si="216"/>
        <v>261.31309117494686</v>
      </c>
      <c r="J485" s="359">
        <f t="shared" ca="1" si="217"/>
        <v>180.39540198776371</v>
      </c>
      <c r="K485" s="360">
        <f t="shared" ca="1" si="218"/>
        <v>780.94096167273437</v>
      </c>
      <c r="L485" s="357">
        <f t="shared" ca="1" si="203"/>
        <v>801.50563733305205</v>
      </c>
      <c r="M485" s="359">
        <f t="shared" ca="1" si="219"/>
        <v>1.3262593500690203</v>
      </c>
      <c r="N485" s="357">
        <f t="shared" ca="1" si="220"/>
        <v>75.989063298718449</v>
      </c>
      <c r="O485" s="343"/>
      <c r="P485" s="363">
        <f t="shared" ca="1" si="221"/>
        <v>23</v>
      </c>
      <c r="Q485" s="357">
        <f t="shared" ca="1" si="222"/>
        <v>0</v>
      </c>
      <c r="R485" s="359">
        <f t="shared" ca="1" si="223"/>
        <v>0</v>
      </c>
      <c r="S485" s="360">
        <f t="shared" ca="1" si="224"/>
        <v>9.7379999999999765</v>
      </c>
      <c r="T485" s="357">
        <f t="shared" ca="1" si="204"/>
        <v>95.529779999999775</v>
      </c>
      <c r="U485" s="364">
        <f t="shared" ca="1" si="205"/>
        <v>0</v>
      </c>
      <c r="V485" s="359">
        <f t="shared" ca="1" si="206"/>
        <v>1.1329298016568643</v>
      </c>
      <c r="W485" s="357">
        <f t="shared" ca="1" si="207"/>
        <v>175.10758307903197</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780.94096167273437</v>
      </c>
      <c r="AF485" s="344"/>
      <c r="AG485" s="359">
        <f t="shared" ca="1" si="230"/>
        <v>-27.542752148422888</v>
      </c>
      <c r="AH485" s="357">
        <f t="shared" ca="1" si="231"/>
        <v>-18.024388505256834</v>
      </c>
    </row>
    <row r="486" spans="1:34" x14ac:dyDescent="0.25">
      <c r="A486" s="402">
        <f t="shared" ca="1" si="209"/>
        <v>0.01</v>
      </c>
      <c r="B486" s="357">
        <f t="shared" ca="1" si="210"/>
        <v>4.8199999999999417</v>
      </c>
      <c r="C486" s="342"/>
      <c r="D486" s="359">
        <f t="shared" ca="1" si="211"/>
        <v>-4.3535417529382974</v>
      </c>
      <c r="E486" s="360">
        <f t="shared" ca="1" si="212"/>
        <v>-27.256914172988751</v>
      </c>
      <c r="F486" s="357">
        <f t="shared" ca="1" si="213"/>
        <v>27.602403808875994</v>
      </c>
      <c r="G486" s="359">
        <f t="shared" ca="1" si="214"/>
        <v>63.222219969568158</v>
      </c>
      <c r="H486" s="360">
        <f t="shared" ca="1" si="215"/>
        <v>253.26633480538834</v>
      </c>
      <c r="I486" s="357">
        <f t="shared" ca="1" si="216"/>
        <v>261.03809193992265</v>
      </c>
      <c r="J486" s="359">
        <f t="shared" ca="1" si="217"/>
        <v>181.02784186454704</v>
      </c>
      <c r="K486" s="360">
        <f t="shared" ca="1" si="218"/>
        <v>783.47498786649692</v>
      </c>
      <c r="L486" s="357">
        <f t="shared" ca="1" si="203"/>
        <v>804.1169915768121</v>
      </c>
      <c r="M486" s="359">
        <f t="shared" ca="1" si="219"/>
        <v>1.32616836447138</v>
      </c>
      <c r="N486" s="357">
        <f t="shared" ca="1" si="220"/>
        <v>75.983850207977184</v>
      </c>
      <c r="O486" s="343"/>
      <c r="P486" s="363">
        <f t="shared" ca="1" si="221"/>
        <v>23</v>
      </c>
      <c r="Q486" s="357">
        <f t="shared" ca="1" si="222"/>
        <v>0</v>
      </c>
      <c r="R486" s="359">
        <f t="shared" ca="1" si="223"/>
        <v>0</v>
      </c>
      <c r="S486" s="360">
        <f t="shared" ca="1" si="224"/>
        <v>9.7379999999999765</v>
      </c>
      <c r="T486" s="357">
        <f t="shared" ca="1" si="204"/>
        <v>95.529779999999775</v>
      </c>
      <c r="U486" s="364">
        <f t="shared" ca="1" si="205"/>
        <v>0</v>
      </c>
      <c r="V486" s="359">
        <f t="shared" ca="1" si="206"/>
        <v>1.1326423109516799</v>
      </c>
      <c r="W486" s="357">
        <f t="shared" ca="1" si="207"/>
        <v>174.6948779135696</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783.47498786649692</v>
      </c>
      <c r="AF486" s="344"/>
      <c r="AG486" s="359">
        <f t="shared" ca="1" si="230"/>
        <v>-27.500031551033572</v>
      </c>
      <c r="AH486" s="357">
        <f t="shared" ca="1" si="231"/>
        <v>-17.98188365978973</v>
      </c>
    </row>
    <row r="487" spans="1:34" x14ac:dyDescent="0.25">
      <c r="A487" s="402">
        <f t="shared" ca="1" si="209"/>
        <v>0.01</v>
      </c>
      <c r="B487" s="357">
        <f t="shared" ca="1" si="210"/>
        <v>4.8299999999999415</v>
      </c>
      <c r="C487" s="342"/>
      <c r="D487" s="359">
        <f t="shared" ca="1" si="211"/>
        <v>-4.3448646955963266</v>
      </c>
      <c r="E487" s="360">
        <f t="shared" ca="1" si="212"/>
        <v>-27.215398880467816</v>
      </c>
      <c r="F487" s="357">
        <f t="shared" ca="1" si="213"/>
        <v>27.560039648846811</v>
      </c>
      <c r="G487" s="359">
        <f t="shared" ca="1" si="214"/>
        <v>63.178771322612192</v>
      </c>
      <c r="H487" s="360">
        <f t="shared" ca="1" si="215"/>
        <v>252.99418081658365</v>
      </c>
      <c r="I487" s="357">
        <f t="shared" ca="1" si="216"/>
        <v>260.76351867715152</v>
      </c>
      <c r="J487" s="359">
        <f t="shared" ca="1" si="217"/>
        <v>181.65984682100793</v>
      </c>
      <c r="K487" s="360">
        <f t="shared" ca="1" si="218"/>
        <v>786.00629044460675</v>
      </c>
      <c r="L487" s="357">
        <f t="shared" ca="1" si="203"/>
        <v>806.72559682058159</v>
      </c>
      <c r="M487" s="359">
        <f t="shared" ca="1" si="219"/>
        <v>1.3260772498593048</v>
      </c>
      <c r="N487" s="357">
        <f t="shared" ca="1" si="220"/>
        <v>75.978629725253299</v>
      </c>
      <c r="O487" s="343"/>
      <c r="P487" s="363">
        <f t="shared" ca="1" si="221"/>
        <v>23</v>
      </c>
      <c r="Q487" s="357">
        <f t="shared" ca="1" si="222"/>
        <v>0</v>
      </c>
      <c r="R487" s="359">
        <f t="shared" ca="1" si="223"/>
        <v>0</v>
      </c>
      <c r="S487" s="360">
        <f t="shared" ca="1" si="224"/>
        <v>9.7379999999999765</v>
      </c>
      <c r="T487" s="357">
        <f t="shared" ca="1" si="204"/>
        <v>95.529779999999775</v>
      </c>
      <c r="U487" s="364">
        <f t="shared" ca="1" si="205"/>
        <v>0</v>
      </c>
      <c r="V487" s="359">
        <f t="shared" ca="1" si="206"/>
        <v>1.1323551992296594</v>
      </c>
      <c r="W487" s="357">
        <f t="shared" ca="1" si="207"/>
        <v>174.28337509606712</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786.00629044460675</v>
      </c>
      <c r="AF487" s="344"/>
      <c r="AG487" s="359">
        <f t="shared" ca="1" si="230"/>
        <v>-27.457434518389459</v>
      </c>
      <c r="AH487" s="357">
        <f t="shared" ca="1" si="231"/>
        <v>-17.939502763767717</v>
      </c>
    </row>
    <row r="488" spans="1:34" x14ac:dyDescent="0.25">
      <c r="A488" s="402">
        <f t="shared" ca="1" si="209"/>
        <v>0.01</v>
      </c>
      <c r="B488" s="357">
        <f t="shared" ca="1" si="210"/>
        <v>4.8399999999999412</v>
      </c>
      <c r="C488" s="342"/>
      <c r="D488" s="359">
        <f t="shared" ca="1" si="211"/>
        <v>-4.3362122746903387</v>
      </c>
      <c r="E488" s="360">
        <f t="shared" ca="1" si="212"/>
        <v>-27.174004543239015</v>
      </c>
      <c r="F488" s="357">
        <f t="shared" ca="1" si="213"/>
        <v>27.517798963709829</v>
      </c>
      <c r="G488" s="359">
        <f t="shared" ca="1" si="214"/>
        <v>63.135409199865286</v>
      </c>
      <c r="H488" s="360">
        <f t="shared" ca="1" si="215"/>
        <v>252.72244077115127</v>
      </c>
      <c r="I488" s="357">
        <f t="shared" ca="1" si="216"/>
        <v>260.48937015579446</v>
      </c>
      <c r="J488" s="359">
        <f t="shared" ca="1" si="217"/>
        <v>182.29141772362033</v>
      </c>
      <c r="K488" s="360">
        <f t="shared" ca="1" si="218"/>
        <v>788.53487355254538</v>
      </c>
      <c r="L488" s="357">
        <f t="shared" ca="1" si="203"/>
        <v>809.33145730548256</v>
      </c>
      <c r="M488" s="359">
        <f t="shared" ca="1" si="219"/>
        <v>1.3259860060632089</v>
      </c>
      <c r="N488" s="357">
        <f t="shared" ca="1" si="220"/>
        <v>75.973401840830263</v>
      </c>
      <c r="O488" s="343"/>
      <c r="P488" s="363">
        <f t="shared" ca="1" si="221"/>
        <v>23</v>
      </c>
      <c r="Q488" s="357">
        <f t="shared" ca="1" si="222"/>
        <v>0</v>
      </c>
      <c r="R488" s="359">
        <f t="shared" ca="1" si="223"/>
        <v>0</v>
      </c>
      <c r="S488" s="360">
        <f t="shared" ca="1" si="224"/>
        <v>9.7379999999999765</v>
      </c>
      <c r="T488" s="357">
        <f t="shared" ca="1" si="204"/>
        <v>95.529779999999775</v>
      </c>
      <c r="U488" s="364">
        <f t="shared" ca="1" si="205"/>
        <v>0</v>
      </c>
      <c r="V488" s="359">
        <f t="shared" ca="1" si="206"/>
        <v>1.1320684657694886</v>
      </c>
      <c r="W488" s="357">
        <f t="shared" ca="1" si="207"/>
        <v>173.87306997767078</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788.53487355254538</v>
      </c>
      <c r="AF488" s="344"/>
      <c r="AG488" s="359">
        <f t="shared" ca="1" si="230"/>
        <v>-27.414960570012553</v>
      </c>
      <c r="AH488" s="357">
        <f t="shared" ca="1" si="231"/>
        <v>-17.897245337447888</v>
      </c>
    </row>
    <row r="489" spans="1:34" x14ac:dyDescent="0.25">
      <c r="A489" s="402">
        <f t="shared" ca="1" si="209"/>
        <v>0.01</v>
      </c>
      <c r="B489" s="357">
        <f t="shared" ca="1" si="210"/>
        <v>4.849999999999941</v>
      </c>
      <c r="C489" s="342"/>
      <c r="D489" s="359">
        <f t="shared" ca="1" si="211"/>
        <v>-4.3275843944160517</v>
      </c>
      <c r="E489" s="360">
        <f t="shared" ca="1" si="212"/>
        <v>-27.1327306936074</v>
      </c>
      <c r="F489" s="357">
        <f t="shared" ca="1" si="213"/>
        <v>27.475681276041517</v>
      </c>
      <c r="G489" s="359">
        <f t="shared" ca="1" si="214"/>
        <v>63.092133355921128</v>
      </c>
      <c r="H489" s="360">
        <f t="shared" ca="1" si="215"/>
        <v>252.45111346421518</v>
      </c>
      <c r="I489" s="357">
        <f t="shared" ca="1" si="216"/>
        <v>260.21564514979377</v>
      </c>
      <c r="J489" s="359">
        <f t="shared" ca="1" si="217"/>
        <v>182.92255543639925</v>
      </c>
      <c r="K489" s="360">
        <f t="shared" ca="1" si="218"/>
        <v>791.06074132372225</v>
      </c>
      <c r="L489" s="357">
        <f t="shared" ca="1" si="203"/>
        <v>811.93457726039696</v>
      </c>
      <c r="M489" s="359">
        <f t="shared" ca="1" si="219"/>
        <v>1.3258946329131134</v>
      </c>
      <c r="N489" s="357">
        <f t="shared" ca="1" si="220"/>
        <v>75.968166544968966</v>
      </c>
      <c r="O489" s="343"/>
      <c r="P489" s="363">
        <f t="shared" ca="1" si="221"/>
        <v>23</v>
      </c>
      <c r="Q489" s="357">
        <f t="shared" ca="1" si="222"/>
        <v>0</v>
      </c>
      <c r="R489" s="359">
        <f t="shared" ca="1" si="223"/>
        <v>0</v>
      </c>
      <c r="S489" s="360">
        <f t="shared" ca="1" si="224"/>
        <v>9.7379999999999765</v>
      </c>
      <c r="T489" s="357">
        <f t="shared" ca="1" si="204"/>
        <v>95.529779999999775</v>
      </c>
      <c r="U489" s="364">
        <f t="shared" ca="1" si="205"/>
        <v>0</v>
      </c>
      <c r="V489" s="359">
        <f t="shared" ca="1" si="206"/>
        <v>1.1317821098520957</v>
      </c>
      <c r="W489" s="357">
        <f t="shared" ca="1" si="207"/>
        <v>173.4639579322735</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791.06074132372225</v>
      </c>
      <c r="AF489" s="344"/>
      <c r="AG489" s="359">
        <f t="shared" ca="1" si="230"/>
        <v>-27.372609227772713</v>
      </c>
      <c r="AH489" s="357">
        <f t="shared" ca="1" si="231"/>
        <v>-17.855110903437176</v>
      </c>
    </row>
    <row r="490" spans="1:34" x14ac:dyDescent="0.25">
      <c r="A490" s="402">
        <f t="shared" ca="1" si="209"/>
        <v>0.01</v>
      </c>
      <c r="B490" s="357">
        <f t="shared" ca="1" si="210"/>
        <v>4.8599999999999408</v>
      </c>
      <c r="C490" s="342"/>
      <c r="D490" s="359">
        <f t="shared" ca="1" si="211"/>
        <v>-4.3189809594376172</v>
      </c>
      <c r="E490" s="360">
        <f t="shared" ca="1" si="212"/>
        <v>-27.091576866166385</v>
      </c>
      <c r="F490" s="357">
        <f t="shared" ca="1" si="213"/>
        <v>27.43368611075417</v>
      </c>
      <c r="G490" s="359">
        <f t="shared" ca="1" si="214"/>
        <v>63.048943546326754</v>
      </c>
      <c r="H490" s="360">
        <f t="shared" ca="1" si="215"/>
        <v>252.18019769555352</v>
      </c>
      <c r="I490" s="357">
        <f t="shared" ca="1" si="216"/>
        <v>259.94234243784979</v>
      </c>
      <c r="J490" s="359">
        <f t="shared" ca="1" si="217"/>
        <v>183.55326082091048</v>
      </c>
      <c r="K490" s="360">
        <f t="shared" ca="1" si="218"/>
        <v>793.58389787952115</v>
      </c>
      <c r="L490" s="357">
        <f t="shared" ca="1" si="203"/>
        <v>814.5349609020127</v>
      </c>
      <c r="M490" s="359">
        <f t="shared" ca="1" si="219"/>
        <v>1.3258031302386459</v>
      </c>
      <c r="N490" s="357">
        <f t="shared" ca="1" si="220"/>
        <v>75.962923827907829</v>
      </c>
      <c r="O490" s="343"/>
      <c r="P490" s="363">
        <f t="shared" ca="1" si="221"/>
        <v>23</v>
      </c>
      <c r="Q490" s="357">
        <f t="shared" ca="1" si="222"/>
        <v>0</v>
      </c>
      <c r="R490" s="359">
        <f t="shared" ca="1" si="223"/>
        <v>0</v>
      </c>
      <c r="S490" s="360">
        <f t="shared" ca="1" si="224"/>
        <v>9.7379999999999765</v>
      </c>
      <c r="T490" s="357">
        <f t="shared" ca="1" si="204"/>
        <v>95.529779999999775</v>
      </c>
      <c r="U490" s="364">
        <f t="shared" ca="1" si="205"/>
        <v>0</v>
      </c>
      <c r="V490" s="359">
        <f t="shared" ca="1" si="206"/>
        <v>1.1314961307606477</v>
      </c>
      <c r="W490" s="357">
        <f t="shared" ca="1" si="207"/>
        <v>173.0560343563817</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793.58389787952115</v>
      </c>
      <c r="AF490" s="344"/>
      <c r="AG490" s="359">
        <f t="shared" ca="1" si="230"/>
        <v>-27.330380015873679</v>
      </c>
      <c r="AH490" s="357">
        <f t="shared" ca="1" si="231"/>
        <v>-17.813098986678366</v>
      </c>
    </row>
    <row r="491" spans="1:34" x14ac:dyDescent="0.25">
      <c r="A491" s="402">
        <f t="shared" ca="1" si="209"/>
        <v>0.01</v>
      </c>
      <c r="B491" s="357">
        <f t="shared" ca="1" si="210"/>
        <v>4.8699999999999406</v>
      </c>
      <c r="C491" s="342"/>
      <c r="D491" s="359">
        <f t="shared" ca="1" si="211"/>
        <v>-4.3104018748848656</v>
      </c>
      <c r="E491" s="360">
        <f t="shared" ca="1" si="212"/>
        <v>-27.050542597784393</v>
      </c>
      <c r="F491" s="357">
        <f t="shared" ca="1" si="213"/>
        <v>27.39181299508229</v>
      </c>
      <c r="G491" s="359">
        <f t="shared" ca="1" si="214"/>
        <v>63.005839527577905</v>
      </c>
      <c r="H491" s="360">
        <f t="shared" ca="1" si="215"/>
        <v>251.90969226957569</v>
      </c>
      <c r="I491" s="357">
        <f t="shared" ca="1" si="216"/>
        <v>259.66946080339756</v>
      </c>
      <c r="J491" s="359">
        <f t="shared" ca="1" si="217"/>
        <v>184.18353473628</v>
      </c>
      <c r="K491" s="360">
        <f t="shared" ca="1" si="218"/>
        <v>796.10434732934675</v>
      </c>
      <c r="L491" s="357">
        <f t="shared" ca="1" si="203"/>
        <v>817.13261243487011</v>
      </c>
      <c r="M491" s="359">
        <f t="shared" ca="1" si="219"/>
        <v>1.3257114978690407</v>
      </c>
      <c r="N491" s="357">
        <f t="shared" ca="1" si="220"/>
        <v>75.957673679862665</v>
      </c>
      <c r="O491" s="343"/>
      <c r="P491" s="363">
        <f t="shared" ca="1" si="221"/>
        <v>23</v>
      </c>
      <c r="Q491" s="357">
        <f t="shared" ca="1" si="222"/>
        <v>0</v>
      </c>
      <c r="R491" s="359">
        <f t="shared" ca="1" si="223"/>
        <v>0</v>
      </c>
      <c r="S491" s="360">
        <f t="shared" ca="1" si="224"/>
        <v>9.7379999999999765</v>
      </c>
      <c r="T491" s="357">
        <f t="shared" ca="1" si="204"/>
        <v>95.529779999999775</v>
      </c>
      <c r="U491" s="364">
        <f t="shared" ca="1" si="205"/>
        <v>0</v>
      </c>
      <c r="V491" s="359">
        <f t="shared" ca="1" si="206"/>
        <v>1.1312105277805371</v>
      </c>
      <c r="W491" s="357">
        <f t="shared" ca="1" si="207"/>
        <v>172.64929466898113</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796.10434732934675</v>
      </c>
      <c r="AF491" s="344"/>
      <c r="AG491" s="359">
        <f t="shared" ca="1" si="230"/>
        <v>-27.28827246083938</v>
      </c>
      <c r="AH491" s="357">
        <f t="shared" ca="1" si="231"/>
        <v>-17.771209114436449</v>
      </c>
    </row>
    <row r="492" spans="1:34" x14ac:dyDescent="0.25">
      <c r="A492" s="402">
        <f t="shared" ca="1" si="209"/>
        <v>0.01</v>
      </c>
      <c r="B492" s="357">
        <f t="shared" ca="1" si="210"/>
        <v>4.8799999999999404</v>
      </c>
      <c r="C492" s="342"/>
      <c r="D492" s="359">
        <f t="shared" ca="1" si="211"/>
        <v>-4.3018470463505309</v>
      </c>
      <c r="E492" s="360">
        <f t="shared" ca="1" si="212"/>
        <v>-27.009627427591312</v>
      </c>
      <c r="F492" s="357">
        <f t="shared" ca="1" si="213"/>
        <v>27.350061458568749</v>
      </c>
      <c r="G492" s="359">
        <f t="shared" ca="1" si="214"/>
        <v>62.962821057114397</v>
      </c>
      <c r="H492" s="360">
        <f t="shared" ca="1" si="215"/>
        <v>251.63959599529977</v>
      </c>
      <c r="I492" s="357">
        <f t="shared" ca="1" si="216"/>
        <v>259.39699903458387</v>
      </c>
      <c r="J492" s="359">
        <f t="shared" ca="1" si="217"/>
        <v>184.81337803920346</v>
      </c>
      <c r="K492" s="360">
        <f t="shared" ca="1" si="218"/>
        <v>798.62209377067109</v>
      </c>
      <c r="L492" s="357">
        <f t="shared" ca="1" si="203"/>
        <v>819.72753605140781</v>
      </c>
      <c r="M492" s="359">
        <f t="shared" ca="1" si="219"/>
        <v>1.3256197356331358</v>
      </c>
      <c r="N492" s="357">
        <f t="shared" ca="1" si="220"/>
        <v>75.952416091026635</v>
      </c>
      <c r="O492" s="343"/>
      <c r="P492" s="363">
        <f t="shared" ca="1" si="221"/>
        <v>23</v>
      </c>
      <c r="Q492" s="357">
        <f t="shared" ca="1" si="222"/>
        <v>0</v>
      </c>
      <c r="R492" s="359">
        <f t="shared" ca="1" si="223"/>
        <v>0</v>
      </c>
      <c r="S492" s="360">
        <f t="shared" ca="1" si="224"/>
        <v>9.7379999999999765</v>
      </c>
      <c r="T492" s="357">
        <f t="shared" ca="1" si="204"/>
        <v>95.529779999999775</v>
      </c>
      <c r="U492" s="364">
        <f t="shared" ca="1" si="205"/>
        <v>0</v>
      </c>
      <c r="V492" s="359">
        <f t="shared" ca="1" si="206"/>
        <v>1.130925300199374</v>
      </c>
      <c r="W492" s="357">
        <f t="shared" ca="1" si="207"/>
        <v>172.24373431140523</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798.62209377067109</v>
      </c>
      <c r="AF492" s="344"/>
      <c r="AG492" s="359">
        <f t="shared" ca="1" si="230"/>
        <v>-27.246286091500192</v>
      </c>
      <c r="AH492" s="357">
        <f t="shared" ca="1" si="231"/>
        <v>-17.729440816284818</v>
      </c>
    </row>
    <row r="493" spans="1:34" x14ac:dyDescent="0.25">
      <c r="A493" s="402">
        <f t="shared" ca="1" si="209"/>
        <v>0.01</v>
      </c>
      <c r="B493" s="357">
        <f t="shared" ca="1" si="210"/>
        <v>4.8899999999999402</v>
      </c>
      <c r="C493" s="342"/>
      <c r="D493" s="359">
        <f t="shared" ca="1" si="211"/>
        <v>-4.2933163798875693</v>
      </c>
      <c r="E493" s="360">
        <f t="shared" ca="1" si="212"/>
        <v>-26.968830896965287</v>
      </c>
      <c r="F493" s="357">
        <f t="shared" ca="1" si="213"/>
        <v>27.30843103305132</v>
      </c>
      <c r="G493" s="359">
        <f t="shared" ca="1" si="214"/>
        <v>62.919887893315519</v>
      </c>
      <c r="H493" s="360">
        <f t="shared" ca="1" si="215"/>
        <v>251.36990768633012</v>
      </c>
      <c r="I493" s="357">
        <f t="shared" ca="1" si="216"/>
        <v>259.12495592424426</v>
      </c>
      <c r="J493" s="359">
        <f t="shared" ca="1" si="217"/>
        <v>185.4427915839556</v>
      </c>
      <c r="K493" s="360">
        <f t="shared" ca="1" si="218"/>
        <v>801.13714128907918</v>
      </c>
      <c r="L493" s="357">
        <f t="shared" ca="1" si="203"/>
        <v>822.3197359320086</v>
      </c>
      <c r="M493" s="359">
        <f t="shared" ca="1" si="219"/>
        <v>1.325527843359374</v>
      </c>
      <c r="N493" s="357">
        <f t="shared" ca="1" si="220"/>
        <v>75.947151051570216</v>
      </c>
      <c r="O493" s="343"/>
      <c r="P493" s="363">
        <f t="shared" ca="1" si="221"/>
        <v>23</v>
      </c>
      <c r="Q493" s="357">
        <f t="shared" ca="1" si="222"/>
        <v>0</v>
      </c>
      <c r="R493" s="359">
        <f t="shared" ca="1" si="223"/>
        <v>0</v>
      </c>
      <c r="S493" s="360">
        <f t="shared" ca="1" si="224"/>
        <v>9.7379999999999765</v>
      </c>
      <c r="T493" s="357">
        <f t="shared" ca="1" si="204"/>
        <v>95.529779999999775</v>
      </c>
      <c r="U493" s="364">
        <f t="shared" ca="1" si="205"/>
        <v>0</v>
      </c>
      <c r="V493" s="359">
        <f t="shared" ca="1" si="206"/>
        <v>1.130640447306978</v>
      </c>
      <c r="W493" s="357">
        <f t="shared" ca="1" si="207"/>
        <v>171.83934874720339</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801.13714128907918</v>
      </c>
      <c r="AF493" s="344"/>
      <c r="AG493" s="359">
        <f t="shared" ca="1" si="230"/>
        <v>-27.204420438979355</v>
      </c>
      <c r="AH493" s="357">
        <f t="shared" ca="1" si="231"/>
        <v>-17.687793624091768</v>
      </c>
    </row>
    <row r="494" spans="1:34" x14ac:dyDescent="0.25">
      <c r="A494" s="402">
        <f t="shared" ca="1" si="209"/>
        <v>0.01</v>
      </c>
      <c r="B494" s="357">
        <f t="shared" ca="1" si="210"/>
        <v>4.89999999999994</v>
      </c>
      <c r="C494" s="342"/>
      <c r="D494" s="359">
        <f t="shared" ca="1" si="211"/>
        <v>-4.284809782006417</v>
      </c>
      <c r="E494" s="360">
        <f t="shared" ca="1" si="212"/>
        <v>-26.928152549519453</v>
      </c>
      <c r="F494" s="357">
        <f t="shared" ca="1" si="213"/>
        <v>27.26692125264913</v>
      </c>
      <c r="G494" s="359">
        <f t="shared" ca="1" si="214"/>
        <v>62.877039795495456</v>
      </c>
      <c r="H494" s="360">
        <f t="shared" ca="1" si="215"/>
        <v>251.10062616083493</v>
      </c>
      <c r="I494" s="357">
        <f t="shared" ca="1" si="216"/>
        <v>258.85333026988025</v>
      </c>
      <c r="J494" s="359">
        <f t="shared" ca="1" si="217"/>
        <v>186.07177622239965</v>
      </c>
      <c r="K494" s="360">
        <f t="shared" ca="1" si="218"/>
        <v>803.64949395831502</v>
      </c>
      <c r="L494" s="357">
        <f t="shared" ca="1" si="203"/>
        <v>824.90921624504517</v>
      </c>
      <c r="M494" s="359">
        <f t="shared" ca="1" si="219"/>
        <v>1.3254358208758008</v>
      </c>
      <c r="N494" s="357">
        <f t="shared" ca="1" si="220"/>
        <v>75.941878551641153</v>
      </c>
      <c r="O494" s="343"/>
      <c r="P494" s="363">
        <f t="shared" ca="1" si="221"/>
        <v>23</v>
      </c>
      <c r="Q494" s="357">
        <f t="shared" ca="1" si="222"/>
        <v>0</v>
      </c>
      <c r="R494" s="359">
        <f t="shared" ca="1" si="223"/>
        <v>0</v>
      </c>
      <c r="S494" s="360">
        <f t="shared" ca="1" si="224"/>
        <v>9.7379999999999765</v>
      </c>
      <c r="T494" s="357">
        <f t="shared" ca="1" si="204"/>
        <v>95.529779999999775</v>
      </c>
      <c r="U494" s="364">
        <f t="shared" ca="1" si="205"/>
        <v>0</v>
      </c>
      <c r="V494" s="359">
        <f t="shared" ca="1" si="206"/>
        <v>1.1303559683953686</v>
      </c>
      <c r="W494" s="357">
        <f t="shared" ca="1" si="207"/>
        <v>171.43613346201062</v>
      </c>
      <c r="X494" s="343"/>
      <c r="Y494" s="367" t="str">
        <f t="shared" ca="1" si="225"/>
        <v/>
      </c>
      <c r="Z494" s="368" t="str">
        <f t="shared" ca="1" si="226"/>
        <v/>
      </c>
      <c r="AA494" s="369" t="str">
        <f t="shared" ca="1" si="227"/>
        <v/>
      </c>
      <c r="AB494" s="344"/>
      <c r="AC494" s="363" t="e">
        <f t="shared" ca="1" si="228"/>
        <v>#N/A</v>
      </c>
      <c r="AD494" s="376" t="e">
        <f t="shared" ca="1" si="229"/>
        <v>#N/A</v>
      </c>
      <c r="AE494" s="377">
        <f t="shared" ca="1" si="208"/>
        <v>803.64949395831502</v>
      </c>
      <c r="AF494" s="344"/>
      <c r="AG494" s="359">
        <f t="shared" ca="1" si="230"/>
        <v>-27.162675036679502</v>
      </c>
      <c r="AH494" s="357">
        <f t="shared" ca="1" si="231"/>
        <v>-17.646267072006964</v>
      </c>
    </row>
    <row r="495" spans="1:34" x14ac:dyDescent="0.25">
      <c r="A495" s="402">
        <f t="shared" ca="1" si="209"/>
        <v>0.01</v>
      </c>
      <c r="B495" s="357">
        <f t="shared" ca="1" si="210"/>
        <v>4.9099999999999397</v>
      </c>
      <c r="C495" s="342"/>
      <c r="D495" s="359">
        <f t="shared" ca="1" si="211"/>
        <v>-4.2763271596723182</v>
      </c>
      <c r="E495" s="360">
        <f t="shared" ca="1" si="212"/>
        <v>-26.887591931088821</v>
      </c>
      <c r="F495" s="357">
        <f t="shared" ca="1" si="213"/>
        <v>27.225531653749275</v>
      </c>
      <c r="G495" s="359">
        <f t="shared" ca="1" si="214"/>
        <v>62.83427652389873</v>
      </c>
      <c r="H495" s="360">
        <f t="shared" ca="1" si="215"/>
        <v>250.83175024152405</v>
      </c>
      <c r="I495" s="357">
        <f t="shared" ca="1" si="216"/>
        <v>258.58212087363671</v>
      </c>
      <c r="J495" s="359">
        <f t="shared" ca="1" si="217"/>
        <v>186.70033280399662</v>
      </c>
      <c r="K495" s="360">
        <f t="shared" ca="1" si="218"/>
        <v>806.15915584032678</v>
      </c>
      <c r="L495" s="357">
        <f t="shared" ca="1" si="203"/>
        <v>827.49598114692458</v>
      </c>
      <c r="M495" s="359">
        <f t="shared" ca="1" si="219"/>
        <v>1.3253436680100639</v>
      </c>
      <c r="N495" s="357">
        <f t="shared" ca="1" si="220"/>
        <v>75.936598581364393</v>
      </c>
      <c r="O495" s="343"/>
      <c r="P495" s="363">
        <f t="shared" ca="1" si="221"/>
        <v>23</v>
      </c>
      <c r="Q495" s="357">
        <f t="shared" ca="1" si="222"/>
        <v>0</v>
      </c>
      <c r="R495" s="359">
        <f t="shared" ca="1" si="223"/>
        <v>0</v>
      </c>
      <c r="S495" s="360">
        <f t="shared" ca="1" si="224"/>
        <v>9.7379999999999765</v>
      </c>
      <c r="T495" s="357">
        <f t="shared" ca="1" si="204"/>
        <v>95.529779999999775</v>
      </c>
      <c r="U495" s="364">
        <f t="shared" ca="1" si="205"/>
        <v>0</v>
      </c>
      <c r="V495" s="359">
        <f t="shared" ca="1" si="206"/>
        <v>1.1300718627587549</v>
      </c>
      <c r="W495" s="357">
        <f t="shared" ca="1" si="207"/>
        <v>171.0340839634178</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806.15915584032678</v>
      </c>
      <c r="AF495" s="344"/>
      <c r="AG495" s="359">
        <f t="shared" ca="1" si="230"/>
        <v>-27.121049420269209</v>
      </c>
      <c r="AH495" s="357">
        <f t="shared" ca="1" si="231"/>
        <v>-17.604860696448043</v>
      </c>
    </row>
    <row r="496" spans="1:34" x14ac:dyDescent="0.25">
      <c r="A496" s="402">
        <f t="shared" ca="1" si="209"/>
        <v>0.01</v>
      </c>
      <c r="B496" s="357">
        <f t="shared" ca="1" si="210"/>
        <v>4.9199999999999395</v>
      </c>
      <c r="C496" s="342"/>
      <c r="D496" s="359">
        <f t="shared" ca="1" si="211"/>
        <v>-4.2678684203026558</v>
      </c>
      <c r="E496" s="360">
        <f t="shared" ca="1" si="212"/>
        <v>-26.847148589717222</v>
      </c>
      <c r="F496" s="357">
        <f t="shared" ca="1" si="213"/>
        <v>27.184261774993487</v>
      </c>
      <c r="G496" s="359">
        <f t="shared" ca="1" si="214"/>
        <v>62.791597839695704</v>
      </c>
      <c r="H496" s="360">
        <f t="shared" ca="1" si="215"/>
        <v>250.56327875562687</v>
      </c>
      <c r="I496" s="357">
        <f t="shared" ca="1" si="216"/>
        <v>258.31132654227929</v>
      </c>
      <c r="J496" s="359">
        <f t="shared" ca="1" si="217"/>
        <v>187.32846217581459</v>
      </c>
      <c r="K496" s="360">
        <f t="shared" ca="1" si="218"/>
        <v>808.66613098531252</v>
      </c>
      <c r="L496" s="357">
        <f t="shared" ca="1" si="203"/>
        <v>830.08003478213482</v>
      </c>
      <c r="M496" s="359">
        <f t="shared" ca="1" si="219"/>
        <v>1.3252513845894123</v>
      </c>
      <c r="N496" s="357">
        <f t="shared" ca="1" si="220"/>
        <v>75.931311130842033</v>
      </c>
      <c r="O496" s="343"/>
      <c r="P496" s="363">
        <f t="shared" ca="1" si="221"/>
        <v>23</v>
      </c>
      <c r="Q496" s="357">
        <f t="shared" ca="1" si="222"/>
        <v>0</v>
      </c>
      <c r="R496" s="359">
        <f t="shared" ca="1" si="223"/>
        <v>0</v>
      </c>
      <c r="S496" s="360">
        <f t="shared" ca="1" si="224"/>
        <v>9.7379999999999765</v>
      </c>
      <c r="T496" s="357">
        <f t="shared" ca="1" si="204"/>
        <v>95.529779999999775</v>
      </c>
      <c r="U496" s="364">
        <f t="shared" ca="1" si="205"/>
        <v>0</v>
      </c>
      <c r="V496" s="359">
        <f t="shared" ca="1" si="206"/>
        <v>1.1297881296935299</v>
      </c>
      <c r="W496" s="357">
        <f t="shared" ca="1" si="207"/>
        <v>170.63319578084324</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808.66613098531252</v>
      </c>
      <c r="AF496" s="344"/>
      <c r="AG496" s="359">
        <f t="shared" ca="1" si="230"/>
        <v>-27.079543127669709</v>
      </c>
      <c r="AH496" s="357">
        <f t="shared" ca="1" si="231"/>
        <v>-17.56357403608731</v>
      </c>
    </row>
    <row r="497" spans="1:34" x14ac:dyDescent="0.25">
      <c r="A497" s="402">
        <f t="shared" ca="1" si="209"/>
        <v>0.01</v>
      </c>
      <c r="B497" s="357">
        <f t="shared" ca="1" si="210"/>
        <v>4.9299999999999393</v>
      </c>
      <c r="C497" s="342"/>
      <c r="D497" s="359">
        <f t="shared" ca="1" si="211"/>
        <v>-4.2594334717643001</v>
      </c>
      <c r="E497" s="360">
        <f t="shared" ca="1" si="212"/>
        <v>-26.806822075644405</v>
      </c>
      <c r="F497" s="357">
        <f t="shared" ca="1" si="213"/>
        <v>27.143111157264972</v>
      </c>
      <c r="G497" s="359">
        <f t="shared" ca="1" si="214"/>
        <v>62.749003504978063</v>
      </c>
      <c r="H497" s="360">
        <f t="shared" ca="1" si="215"/>
        <v>250.29521053487042</v>
      </c>
      <c r="I497" s="357">
        <f t="shared" ca="1" si="216"/>
        <v>258.04094608717213</v>
      </c>
      <c r="J497" s="359">
        <f t="shared" ca="1" si="217"/>
        <v>187.95616518253797</v>
      </c>
      <c r="K497" s="360">
        <f t="shared" ca="1" si="218"/>
        <v>811.17042343176502</v>
      </c>
      <c r="L497" s="357">
        <f t="shared" ca="1" si="203"/>
        <v>832.66138128328885</v>
      </c>
      <c r="M497" s="359">
        <f t="shared" ca="1" si="219"/>
        <v>1.3251589704406954</v>
      </c>
      <c r="N497" s="357">
        <f t="shared" ca="1" si="220"/>
        <v>75.926016190153263</v>
      </c>
      <c r="O497" s="343"/>
      <c r="P497" s="363">
        <f t="shared" ca="1" si="221"/>
        <v>23</v>
      </c>
      <c r="Q497" s="357">
        <f t="shared" ca="1" si="222"/>
        <v>0</v>
      </c>
      <c r="R497" s="359">
        <f t="shared" ca="1" si="223"/>
        <v>0</v>
      </c>
      <c r="S497" s="360">
        <f t="shared" ca="1" si="224"/>
        <v>9.7379999999999765</v>
      </c>
      <c r="T497" s="357">
        <f t="shared" ca="1" si="204"/>
        <v>95.529779999999775</v>
      </c>
      <c r="U497" s="364">
        <f t="shared" ca="1" si="205"/>
        <v>0</v>
      </c>
      <c r="V497" s="359">
        <f t="shared" ca="1" si="206"/>
        <v>1.129504768498258</v>
      </c>
      <c r="W497" s="357">
        <f t="shared" ca="1" si="207"/>
        <v>170.23346446540472</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811.17042343176502</v>
      </c>
      <c r="AF497" s="344"/>
      <c r="AG497" s="359">
        <f t="shared" ca="1" si="230"/>
        <v>-27.038155699041674</v>
      </c>
      <c r="AH497" s="357">
        <f t="shared" ca="1" si="231"/>
        <v>-17.522406631838535</v>
      </c>
    </row>
    <row r="498" spans="1:34" x14ac:dyDescent="0.25">
      <c r="A498" s="402">
        <f t="shared" ca="1" si="209"/>
        <v>0.01</v>
      </c>
      <c r="B498" s="357">
        <f t="shared" ca="1" si="210"/>
        <v>4.9399999999999391</v>
      </c>
      <c r="C498" s="342"/>
      <c r="D498" s="359">
        <f t="shared" ca="1" si="211"/>
        <v>-4.2510222223709757</v>
      </c>
      <c r="E498" s="360">
        <f t="shared" ca="1" si="212"/>
        <v>-26.766611941293135</v>
      </c>
      <c r="F498" s="357">
        <f t="shared" ca="1" si="213"/>
        <v>27.102079343675239</v>
      </c>
      <c r="G498" s="359">
        <f t="shared" ca="1" si="214"/>
        <v>62.706493282754352</v>
      </c>
      <c r="H498" s="360">
        <f t="shared" ca="1" si="215"/>
        <v>250.0275444154575</v>
      </c>
      <c r="I498" s="357">
        <f t="shared" ca="1" si="216"/>
        <v>257.77097832425528</v>
      </c>
      <c r="J498" s="359">
        <f t="shared" ca="1" si="217"/>
        <v>188.58344266647663</v>
      </c>
      <c r="K498" s="360">
        <f t="shared" ca="1" si="218"/>
        <v>813.67203720651662</v>
      </c>
      <c r="L498" s="357">
        <f t="shared" ca="1" si="203"/>
        <v>835.24002477116915</v>
      </c>
      <c r="M498" s="359">
        <f t="shared" ca="1" si="219"/>
        <v>1.3250664253903621</v>
      </c>
      <c r="N498" s="357">
        <f t="shared" ca="1" si="220"/>
        <v>75.920713749354334</v>
      </c>
      <c r="O498" s="343"/>
      <c r="P498" s="363">
        <f t="shared" ca="1" si="221"/>
        <v>23</v>
      </c>
      <c r="Q498" s="357">
        <f t="shared" ca="1" si="222"/>
        <v>0</v>
      </c>
      <c r="R498" s="359">
        <f t="shared" ca="1" si="223"/>
        <v>0</v>
      </c>
      <c r="S498" s="360">
        <f t="shared" ca="1" si="224"/>
        <v>9.7379999999999765</v>
      </c>
      <c r="T498" s="357">
        <f t="shared" ca="1" si="204"/>
        <v>95.529779999999775</v>
      </c>
      <c r="U498" s="364">
        <f t="shared" ca="1" si="205"/>
        <v>0</v>
      </c>
      <c r="V498" s="359">
        <f t="shared" ca="1" si="206"/>
        <v>1.1292217784736691</v>
      </c>
      <c r="W498" s="357">
        <f t="shared" ca="1" si="207"/>
        <v>169.83488558979224</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813.67203720651662</v>
      </c>
      <c r="AF498" s="344"/>
      <c r="AG498" s="359">
        <f t="shared" ca="1" si="230"/>
        <v>-26.996886676772078</v>
      </c>
      <c r="AH498" s="357">
        <f t="shared" ca="1" si="231"/>
        <v>-17.481358026843822</v>
      </c>
    </row>
    <row r="499" spans="1:34" x14ac:dyDescent="0.25">
      <c r="A499" s="402">
        <f t="shared" ca="1" si="209"/>
        <v>0.01</v>
      </c>
      <c r="B499" s="357">
        <f t="shared" ca="1" si="210"/>
        <v>4.9499999999999389</v>
      </c>
      <c r="C499" s="342"/>
      <c r="D499" s="359">
        <f t="shared" ca="1" si="211"/>
        <v>-4.2426345808806412</v>
      </c>
      <c r="E499" s="360">
        <f t="shared" ca="1" si="212"/>
        <v>-26.726517741256423</v>
      </c>
      <c r="F499" s="357">
        <f t="shared" ca="1" si="213"/>
        <v>27.061165879551062</v>
      </c>
      <c r="G499" s="359">
        <f t="shared" ca="1" si="214"/>
        <v>62.664066936945545</v>
      </c>
      <c r="H499" s="360">
        <f t="shared" ca="1" si="215"/>
        <v>249.76027923804494</v>
      </c>
      <c r="I499" s="357">
        <f t="shared" ca="1" si="216"/>
        <v>257.50142207402308</v>
      </c>
      <c r="J499" s="359">
        <f t="shared" ca="1" si="217"/>
        <v>189.21029546757512</v>
      </c>
      <c r="K499" s="360">
        <f t="shared" ca="1" si="218"/>
        <v>816.17097632478408</v>
      </c>
      <c r="L499" s="357">
        <f t="shared" ca="1" si="203"/>
        <v>837.8159693547733</v>
      </c>
      <c r="M499" s="359">
        <f t="shared" ca="1" si="219"/>
        <v>1.3249737492644595</v>
      </c>
      <c r="N499" s="357">
        <f t="shared" ca="1" si="220"/>
        <v>75.915403798478494</v>
      </c>
      <c r="O499" s="343"/>
      <c r="P499" s="363">
        <f t="shared" ca="1" si="221"/>
        <v>23</v>
      </c>
      <c r="Q499" s="357">
        <f t="shared" ca="1" si="222"/>
        <v>0</v>
      </c>
      <c r="R499" s="359">
        <f t="shared" ca="1" si="223"/>
        <v>0</v>
      </c>
      <c r="S499" s="360">
        <f t="shared" ca="1" si="224"/>
        <v>9.7379999999999765</v>
      </c>
      <c r="T499" s="357">
        <f t="shared" ca="1" si="204"/>
        <v>95.529779999999775</v>
      </c>
      <c r="U499" s="364">
        <f t="shared" ca="1" si="205"/>
        <v>0</v>
      </c>
      <c r="V499" s="359">
        <f t="shared" ca="1" si="206"/>
        <v>1.1289391589226481</v>
      </c>
      <c r="W499" s="357">
        <f t="shared" ca="1" si="207"/>
        <v>169.43745474814264</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816.17097632478408</v>
      </c>
      <c r="AF499" s="344"/>
      <c r="AG499" s="359">
        <f t="shared" ca="1" si="230"/>
        <v>-26.955735605461122</v>
      </c>
      <c r="AH499" s="357">
        <f t="shared" ca="1" si="231"/>
        <v>-17.44042776646053</v>
      </c>
    </row>
    <row r="500" spans="1:34" x14ac:dyDescent="0.25">
      <c r="A500" s="402">
        <f t="shared" ca="1" si="209"/>
        <v>0.01</v>
      </c>
      <c r="B500" s="357">
        <f t="shared" ca="1" si="210"/>
        <v>4.9599999999999387</v>
      </c>
      <c r="C500" s="342"/>
      <c r="D500" s="359">
        <f t="shared" ca="1" si="211"/>
        <v>-4.2342704564929088</v>
      </c>
      <c r="E500" s="360">
        <f t="shared" ca="1" si="212"/>
        <v>-26.68653903228487</v>
      </c>
      <c r="F500" s="357">
        <f t="shared" ca="1" si="213"/>
        <v>27.020370312421562</v>
      </c>
      <c r="G500" s="359">
        <f t="shared" ca="1" si="214"/>
        <v>62.621724232380615</v>
      </c>
      <c r="H500" s="360">
        <f t="shared" ca="1" si="215"/>
        <v>249.49341384772211</v>
      </c>
      <c r="I500" s="357">
        <f t="shared" ca="1" si="216"/>
        <v>257.23227616150166</v>
      </c>
      <c r="J500" s="359">
        <f t="shared" ca="1" si="217"/>
        <v>189.83672442342174</v>
      </c>
      <c r="K500" s="360">
        <f t="shared" ca="1" si="218"/>
        <v>818.66724479021286</v>
      </c>
      <c r="L500" s="357">
        <f t="shared" ca="1" si="203"/>
        <v>840.38921913135732</v>
      </c>
      <c r="M500" s="359">
        <f t="shared" ca="1" si="219"/>
        <v>1.3248809418886327</v>
      </c>
      <c r="N500" s="357">
        <f t="shared" ca="1" si="220"/>
        <v>75.910086327535936</v>
      </c>
      <c r="O500" s="343"/>
      <c r="P500" s="363">
        <f t="shared" ca="1" si="221"/>
        <v>23</v>
      </c>
      <c r="Q500" s="357">
        <f t="shared" ca="1" si="222"/>
        <v>0</v>
      </c>
      <c r="R500" s="359">
        <f t="shared" ca="1" si="223"/>
        <v>0</v>
      </c>
      <c r="S500" s="360">
        <f t="shared" ca="1" si="224"/>
        <v>9.7379999999999765</v>
      </c>
      <c r="T500" s="357">
        <f t="shared" ca="1" si="204"/>
        <v>95.529779999999775</v>
      </c>
      <c r="U500" s="364">
        <f t="shared" ca="1" si="205"/>
        <v>0</v>
      </c>
      <c r="V500" s="359">
        <f t="shared" ca="1" si="206"/>
        <v>1.128656909150227</v>
      </c>
      <c r="W500" s="357">
        <f t="shared" ca="1" si="207"/>
        <v>169.04116755591369</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818.66724479021286</v>
      </c>
      <c r="AF500" s="344"/>
      <c r="AG500" s="359">
        <f t="shared" ca="1" si="230"/>
        <v>-26.914702031909357</v>
      </c>
      <c r="AH500" s="357">
        <f t="shared" ca="1" si="231"/>
        <v>-17.399615398248415</v>
      </c>
    </row>
    <row r="501" spans="1:34" x14ac:dyDescent="0.25">
      <c r="A501" s="402">
        <f t="shared" ca="1" si="209"/>
        <v>0.01</v>
      </c>
      <c r="B501" s="357">
        <f t="shared" ca="1" si="210"/>
        <v>4.9699999999999385</v>
      </c>
      <c r="C501" s="342"/>
      <c r="D501" s="359">
        <f t="shared" ca="1" si="211"/>
        <v>-4.2259297588464468</v>
      </c>
      <c r="E501" s="360">
        <f t="shared" ca="1" si="212"/>
        <v>-26.646675373274043</v>
      </c>
      <c r="F501" s="357">
        <f t="shared" ca="1" si="213"/>
        <v>26.979692192005331</v>
      </c>
      <c r="G501" s="359">
        <f t="shared" ca="1" si="214"/>
        <v>62.579464934792149</v>
      </c>
      <c r="H501" s="360">
        <f t="shared" ca="1" si="215"/>
        <v>249.22694709398937</v>
      </c>
      <c r="I501" s="357">
        <f t="shared" ca="1" si="216"/>
        <v>256.96353941622743</v>
      </c>
      <c r="J501" s="359">
        <f t="shared" ca="1" si="217"/>
        <v>190.4627303692576</v>
      </c>
      <c r="K501" s="360">
        <f t="shared" ca="1" si="218"/>
        <v>821.1608465949214</v>
      </c>
      <c r="L501" s="357">
        <f t="shared" ca="1" si="203"/>
        <v>842.95977818648066</v>
      </c>
      <c r="M501" s="359">
        <f t="shared" ca="1" si="219"/>
        <v>1.3247880030881232</v>
      </c>
      <c r="N501" s="357">
        <f t="shared" ca="1" si="220"/>
        <v>75.904761326513722</v>
      </c>
      <c r="O501" s="343"/>
      <c r="P501" s="363">
        <f t="shared" ca="1" si="221"/>
        <v>23</v>
      </c>
      <c r="Q501" s="357">
        <f t="shared" ca="1" si="222"/>
        <v>0</v>
      </c>
      <c r="R501" s="359">
        <f t="shared" ca="1" si="223"/>
        <v>0</v>
      </c>
      <c r="S501" s="360">
        <f t="shared" ca="1" si="224"/>
        <v>9.7379999999999765</v>
      </c>
      <c r="T501" s="357">
        <f t="shared" ca="1" si="204"/>
        <v>95.529779999999775</v>
      </c>
      <c r="U501" s="364">
        <f t="shared" ca="1" si="205"/>
        <v>0</v>
      </c>
      <c r="V501" s="359">
        <f t="shared" ca="1" si="206"/>
        <v>1.1283750284635752</v>
      </c>
      <c r="W501" s="357">
        <f t="shared" ca="1" si="207"/>
        <v>168.64601964976015</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821.1608465949214</v>
      </c>
      <c r="AF501" s="344"/>
      <c r="AG501" s="359">
        <f t="shared" ca="1" si="230"/>
        <v>-26.873785505104721</v>
      </c>
      <c r="AH501" s="357">
        <f t="shared" ca="1" si="231"/>
        <v>-17.358920471956676</v>
      </c>
    </row>
    <row r="502" spans="1:34" x14ac:dyDescent="0.25">
      <c r="A502" s="402">
        <f t="shared" ca="1" si="209"/>
        <v>0.01</v>
      </c>
      <c r="B502" s="357">
        <f t="shared" ca="1" si="210"/>
        <v>4.9799999999999383</v>
      </c>
      <c r="C502" s="342"/>
      <c r="D502" s="359">
        <f t="shared" ca="1" si="211"/>
        <v>-4.2176123980164286</v>
      </c>
      <c r="E502" s="360">
        <f t="shared" ca="1" si="212"/>
        <v>-26.606926325251983</v>
      </c>
      <c r="F502" s="357">
        <f t="shared" ca="1" si="213"/>
        <v>26.939131070197657</v>
      </c>
      <c r="G502" s="359">
        <f t="shared" ca="1" si="214"/>
        <v>62.537288810811987</v>
      </c>
      <c r="H502" s="360">
        <f t="shared" ca="1" si="215"/>
        <v>248.96087783073685</v>
      </c>
      <c r="I502" s="357">
        <f t="shared" ca="1" si="216"/>
        <v>256.69521067222502</v>
      </c>
      <c r="J502" s="359">
        <f t="shared" ca="1" si="217"/>
        <v>191.08831413798563</v>
      </c>
      <c r="K502" s="360">
        <f t="shared" ca="1" si="218"/>
        <v>823.65178571954505</v>
      </c>
      <c r="L502" s="357">
        <f t="shared" ca="1" si="203"/>
        <v>845.52765059404942</v>
      </c>
      <c r="M502" s="359">
        <f t="shared" ca="1" si="219"/>
        <v>1.3246949326877686</v>
      </c>
      <c r="N502" s="357">
        <f t="shared" ca="1" si="220"/>
        <v>75.899428785375818</v>
      </c>
      <c r="O502" s="343"/>
      <c r="P502" s="363">
        <f t="shared" ca="1" si="221"/>
        <v>23</v>
      </c>
      <c r="Q502" s="357">
        <f t="shared" ca="1" si="222"/>
        <v>0</v>
      </c>
      <c r="R502" s="359">
        <f t="shared" ca="1" si="223"/>
        <v>0</v>
      </c>
      <c r="S502" s="360">
        <f t="shared" ca="1" si="224"/>
        <v>9.7379999999999765</v>
      </c>
      <c r="T502" s="357">
        <f t="shared" ca="1" si="204"/>
        <v>95.529779999999775</v>
      </c>
      <c r="U502" s="364">
        <f t="shared" ca="1" si="205"/>
        <v>0</v>
      </c>
      <c r="V502" s="359">
        <f t="shared" ca="1" si="206"/>
        <v>1.1280935161719927</v>
      </c>
      <c r="W502" s="357">
        <f t="shared" ca="1" si="207"/>
        <v>168.25200668740999</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823.65178571954505</v>
      </c>
      <c r="AF502" s="344"/>
      <c r="AG502" s="359">
        <f t="shared" ca="1" si="230"/>
        <v>-26.832985576209857</v>
      </c>
      <c r="AH502" s="357">
        <f t="shared" ca="1" si="231"/>
        <v>-17.318342539511249</v>
      </c>
    </row>
    <row r="503" spans="1:34" x14ac:dyDescent="0.25">
      <c r="A503" s="402">
        <f t="shared" ca="1" si="209"/>
        <v>0.01</v>
      </c>
      <c r="B503" s="357">
        <f t="shared" ca="1" si="210"/>
        <v>4.989999999999938</v>
      </c>
      <c r="C503" s="342"/>
      <c r="D503" s="359">
        <f t="shared" ca="1" si="211"/>
        <v>-4.2093182845119808</v>
      </c>
      <c r="E503" s="360">
        <f t="shared" ca="1" si="212"/>
        <v>-26.567291451366764</v>
      </c>
      <c r="F503" s="357">
        <f t="shared" ca="1" si="213"/>
        <v>26.898686501057863</v>
      </c>
      <c r="G503" s="359">
        <f t="shared" ca="1" si="214"/>
        <v>62.495195627966865</v>
      </c>
      <c r="H503" s="360">
        <f t="shared" ca="1" si="215"/>
        <v>248.69520491622319</v>
      </c>
      <c r="I503" s="357">
        <f t="shared" ca="1" si="216"/>
        <v>256.427288767986</v>
      </c>
      <c r="J503" s="359">
        <f t="shared" ca="1" si="217"/>
        <v>191.71347656017952</v>
      </c>
      <c r="K503" s="360">
        <f t="shared" ca="1" si="218"/>
        <v>826.1400661332799</v>
      </c>
      <c r="L503" s="357">
        <f t="shared" ca="1" si="203"/>
        <v>848.09284041636067</v>
      </c>
      <c r="M503" s="359">
        <f t="shared" ca="1" si="219"/>
        <v>1.3246017305120008</v>
      </c>
      <c r="N503" s="357">
        <f t="shared" ca="1" si="220"/>
        <v>75.894088694062887</v>
      </c>
      <c r="O503" s="343"/>
      <c r="P503" s="363">
        <f t="shared" ca="1" si="221"/>
        <v>23</v>
      </c>
      <c r="Q503" s="357">
        <f t="shared" ca="1" si="222"/>
        <v>0</v>
      </c>
      <c r="R503" s="359">
        <f t="shared" ca="1" si="223"/>
        <v>0</v>
      </c>
      <c r="S503" s="360">
        <f t="shared" ca="1" si="224"/>
        <v>9.7379999999999765</v>
      </c>
      <c r="T503" s="357">
        <f t="shared" ca="1" si="204"/>
        <v>95.529779999999775</v>
      </c>
      <c r="U503" s="364">
        <f t="shared" ca="1" si="205"/>
        <v>0</v>
      </c>
      <c r="V503" s="359">
        <f t="shared" ca="1" si="206"/>
        <v>1.1278123715869</v>
      </c>
      <c r="W503" s="357">
        <f t="shared" ca="1" si="207"/>
        <v>167.85912434754218</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826.1400661332799</v>
      </c>
      <c r="AF503" s="344"/>
      <c r="AG503" s="359">
        <f t="shared" ca="1" si="230"/>
        <v>-26.792301798549346</v>
      </c>
      <c r="AH503" s="357">
        <f t="shared" ca="1" si="231"/>
        <v>-17.277881155002095</v>
      </c>
    </row>
    <row r="504" spans="1:34" x14ac:dyDescent="0.25">
      <c r="A504" s="402">
        <f t="shared" ca="1" si="209"/>
        <v>0.01</v>
      </c>
      <c r="B504" s="357">
        <f t="shared" ca="1" si="210"/>
        <v>4.9999999999999378</v>
      </c>
      <c r="C504" s="342"/>
      <c r="D504" s="359">
        <f t="shared" ca="1" si="211"/>
        <v>-4.2010473292736794</v>
      </c>
      <c r="E504" s="360">
        <f t="shared" ca="1" si="212"/>
        <v>-26.527770316874182</v>
      </c>
      <c r="F504" s="357">
        <f t="shared" ca="1" si="213"/>
        <v>26.858358040796695</v>
      </c>
      <c r="G504" s="359">
        <f t="shared" ca="1" si="214"/>
        <v>62.453185154674131</v>
      </c>
      <c r="H504" s="360">
        <f t="shared" ca="1" si="215"/>
        <v>248.42992721305444</v>
      </c>
      <c r="I504" s="357">
        <f t="shared" ca="1" si="216"/>
        <v>256.15977254644713</v>
      </c>
      <c r="J504" s="359">
        <f t="shared" ca="1" si="217"/>
        <v>192.33821846409273</v>
      </c>
      <c r="K504" s="360">
        <f t="shared" ca="1" si="218"/>
        <v>828.62569179392631</v>
      </c>
      <c r="L504" s="357">
        <f t="shared" ca="1" si="203"/>
        <v>850.6553517041458</v>
      </c>
      <c r="M504" s="359">
        <f t="shared" ca="1" si="219"/>
        <v>1.3245083963848463</v>
      </c>
      <c r="N504" s="357">
        <f t="shared" ca="1" si="220"/>
        <v>75.888741042492398</v>
      </c>
      <c r="O504" s="343"/>
      <c r="P504" s="363">
        <f t="shared" ca="1" si="221"/>
        <v>23</v>
      </c>
      <c r="Q504" s="357">
        <f t="shared" ca="1" si="222"/>
        <v>0</v>
      </c>
      <c r="R504" s="359">
        <f t="shared" ca="1" si="223"/>
        <v>0</v>
      </c>
      <c r="S504" s="360">
        <f t="shared" ca="1" si="224"/>
        <v>9.7379999999999765</v>
      </c>
      <c r="T504" s="357">
        <f t="shared" ca="1" si="204"/>
        <v>95.529779999999775</v>
      </c>
      <c r="U504" s="364">
        <f t="shared" ca="1" si="205"/>
        <v>0</v>
      </c>
      <c r="V504" s="359">
        <f t="shared" ca="1" si="206"/>
        <v>1.1275315940218298</v>
      </c>
      <c r="W504" s="357">
        <f t="shared" ca="1" si="207"/>
        <v>167.4673683296644</v>
      </c>
      <c r="X504" s="343"/>
      <c r="Y504" s="367" t="str">
        <f t="shared" ca="1" si="225"/>
        <v/>
      </c>
      <c r="Z504" s="368" t="str">
        <f t="shared" ca="1" si="226"/>
        <v/>
      </c>
      <c r="AA504" s="369" t="str">
        <f t="shared" ca="1" si="227"/>
        <v/>
      </c>
      <c r="AB504" s="344"/>
      <c r="AC504" s="363">
        <f t="shared" ca="1" si="228"/>
        <v>4.9999999999999378</v>
      </c>
      <c r="AD504" s="376">
        <f t="shared" ca="1" si="229"/>
        <v>192.33821846409273</v>
      </c>
      <c r="AE504" s="377">
        <f t="shared" ca="1" si="208"/>
        <v>828.62569179392631</v>
      </c>
      <c r="AF504" s="344"/>
      <c r="AG504" s="359">
        <f t="shared" ca="1" si="230"/>
        <v>-26.751733727597184</v>
      </c>
      <c r="AH504" s="357">
        <f t="shared" ca="1" si="231"/>
        <v>-17.23753587467063</v>
      </c>
    </row>
    <row r="505" spans="1:34" x14ac:dyDescent="0.25">
      <c r="A505" s="402">
        <f t="shared" ca="1" si="209"/>
        <v>0.1</v>
      </c>
      <c r="B505" s="357">
        <f t="shared" ca="1" si="210"/>
        <v>5.0999999999999375</v>
      </c>
      <c r="C505" s="342"/>
      <c r="D505" s="359">
        <f t="shared" ca="1" si="211"/>
        <v>-4.1927994436710092</v>
      </c>
      <c r="E505" s="360">
        <f t="shared" ca="1" si="212"/>
        <v>-26.488362489125457</v>
      </c>
      <c r="F505" s="357">
        <f t="shared" ca="1" si="213"/>
        <v>26.818145247763809</v>
      </c>
      <c r="G505" s="359">
        <f t="shared" ca="1" si="214"/>
        <v>62.033905210307033</v>
      </c>
      <c r="H505" s="360">
        <f t="shared" ca="1" si="215"/>
        <v>245.7810909641419</v>
      </c>
      <c r="I505" s="357">
        <f t="shared" ca="1" si="216"/>
        <v>253.48875728750804</v>
      </c>
      <c r="J505" s="359">
        <f t="shared" ca="1" si="217"/>
        <v>198.56257298234181</v>
      </c>
      <c r="K505" s="360">
        <f t="shared" ca="1" si="218"/>
        <v>853.33624270278608</v>
      </c>
      <c r="L505" s="357">
        <f t="shared" ca="1" si="203"/>
        <v>876.13345929685624</v>
      </c>
      <c r="M505" s="359">
        <f t="shared" ca="1" si="219"/>
        <v>1.3235648700351168</v>
      </c>
      <c r="N505" s="357">
        <f t="shared" ca="1" si="220"/>
        <v>75.834680964793506</v>
      </c>
      <c r="O505" s="343"/>
      <c r="P505" s="363">
        <f t="shared" ca="1" si="221"/>
        <v>23</v>
      </c>
      <c r="Q505" s="357">
        <f t="shared" ca="1" si="222"/>
        <v>0</v>
      </c>
      <c r="R505" s="359">
        <f t="shared" ca="1" si="223"/>
        <v>0</v>
      </c>
      <c r="S505" s="360">
        <f t="shared" ca="1" si="224"/>
        <v>9.7379999999999765</v>
      </c>
      <c r="T505" s="357">
        <f t="shared" ca="1" si="204"/>
        <v>95.529779999999775</v>
      </c>
      <c r="U505" s="364">
        <f t="shared" ca="1" si="205"/>
        <v>0</v>
      </c>
      <c r="V505" s="359">
        <f t="shared" ca="1" si="206"/>
        <v>1.1247439176978977</v>
      </c>
      <c r="W505" s="357">
        <f t="shared" ca="1" si="207"/>
        <v>163.58771106985853</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853.33624270278608</v>
      </c>
      <c r="AF505" s="344"/>
      <c r="AG505" s="359">
        <f t="shared" ca="1" si="230"/>
        <v>-26.711280920964185</v>
      </c>
      <c r="AH505" s="357">
        <f t="shared" ca="1" si="231"/>
        <v>-17.197306256897186</v>
      </c>
    </row>
    <row r="506" spans="1:34" x14ac:dyDescent="0.25">
      <c r="A506" s="402">
        <f t="shared" ca="1" si="209"/>
        <v>0.1</v>
      </c>
      <c r="B506" s="357">
        <f t="shared" ca="1" si="210"/>
        <v>5.1999999999999371</v>
      </c>
      <c r="C506" s="342"/>
      <c r="D506" s="359">
        <f t="shared" ca="1" si="211"/>
        <v>-4.1110364304762994</v>
      </c>
      <c r="E506" s="360">
        <f t="shared" ca="1" si="212"/>
        <v>-26.098109146930099</v>
      </c>
      <c r="F506" s="357">
        <f t="shared" ca="1" si="213"/>
        <v>26.419915245469276</v>
      </c>
      <c r="G506" s="359">
        <f t="shared" ca="1" si="214"/>
        <v>61.622801567259401</v>
      </c>
      <c r="H506" s="360">
        <f t="shared" ca="1" si="215"/>
        <v>243.17128004944888</v>
      </c>
      <c r="I506" s="357">
        <f t="shared" ca="1" si="216"/>
        <v>250.85781054989164</v>
      </c>
      <c r="J506" s="359">
        <f t="shared" ca="1" si="217"/>
        <v>204.74540832122014</v>
      </c>
      <c r="K506" s="360">
        <f t="shared" ca="1" si="218"/>
        <v>877.7838612534656</v>
      </c>
      <c r="L506" s="357">
        <f t="shared" ca="1" si="203"/>
        <v>901.3463204039092</v>
      </c>
      <c r="M506" s="359">
        <f t="shared" ca="1" si="219"/>
        <v>1.3226078701933464</v>
      </c>
      <c r="N506" s="357">
        <f t="shared" ca="1" si="220"/>
        <v>75.779848912865376</v>
      </c>
      <c r="O506" s="343"/>
      <c r="P506" s="363">
        <f t="shared" ca="1" si="221"/>
        <v>23</v>
      </c>
      <c r="Q506" s="357">
        <f t="shared" ca="1" si="222"/>
        <v>0</v>
      </c>
      <c r="R506" s="359">
        <f t="shared" ca="1" si="223"/>
        <v>0</v>
      </c>
      <c r="S506" s="360">
        <f t="shared" ca="1" si="224"/>
        <v>9.7379999999999765</v>
      </c>
      <c r="T506" s="357">
        <f t="shared" ca="1" si="204"/>
        <v>95.529779999999775</v>
      </c>
      <c r="U506" s="364">
        <f t="shared" ca="1" si="205"/>
        <v>0</v>
      </c>
      <c r="V506" s="359">
        <f t="shared" ca="1" si="206"/>
        <v>1.1219923975474151</v>
      </c>
      <c r="W506" s="357">
        <f t="shared" ca="1" si="207"/>
        <v>159.81766717260456</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877.7838612534656</v>
      </c>
      <c r="AF506" s="344"/>
      <c r="AG506" s="359">
        <f t="shared" ca="1" si="230"/>
        <v>-26.310616115070946</v>
      </c>
      <c r="AH506" s="357">
        <f t="shared" ca="1" si="231"/>
        <v>-16.798902348517039</v>
      </c>
    </row>
    <row r="507" spans="1:34" x14ac:dyDescent="0.25">
      <c r="A507" s="402">
        <f t="shared" ca="1" si="209"/>
        <v>0.1</v>
      </c>
      <c r="B507" s="357">
        <f t="shared" ca="1" si="210"/>
        <v>5.2999999999999368</v>
      </c>
      <c r="C507" s="342"/>
      <c r="D507" s="359">
        <f t="shared" ca="1" si="211"/>
        <v>-4.0315200887079179</v>
      </c>
      <c r="E507" s="360">
        <f t="shared" ca="1" si="212"/>
        <v>-25.718882354953465</v>
      </c>
      <c r="F507" s="357">
        <f t="shared" ca="1" si="213"/>
        <v>26.03294189701948</v>
      </c>
      <c r="G507" s="359">
        <f t="shared" ca="1" si="214"/>
        <v>61.21964955838861</v>
      </c>
      <c r="H507" s="360">
        <f t="shared" ca="1" si="215"/>
        <v>240.59939181395353</v>
      </c>
      <c r="I507" s="357">
        <f t="shared" ca="1" si="216"/>
        <v>248.26581084252467</v>
      </c>
      <c r="J507" s="359">
        <f t="shared" ca="1" si="217"/>
        <v>210.88753087750254</v>
      </c>
      <c r="K507" s="360">
        <f t="shared" ca="1" si="218"/>
        <v>901.97239484663578</v>
      </c>
      <c r="L507" s="357">
        <f t="shared" ca="1" si="203"/>
        <v>926.29787419867546</v>
      </c>
      <c r="M507" s="359">
        <f t="shared" ca="1" si="219"/>
        <v>1.3216372127912444</v>
      </c>
      <c r="N507" s="357">
        <f t="shared" ca="1" si="220"/>
        <v>75.724234340371794</v>
      </c>
      <c r="O507" s="343"/>
      <c r="P507" s="363">
        <f t="shared" ca="1" si="221"/>
        <v>23</v>
      </c>
      <c r="Q507" s="357">
        <f t="shared" ca="1" si="222"/>
        <v>0</v>
      </c>
      <c r="R507" s="359">
        <f t="shared" ca="1" si="223"/>
        <v>0</v>
      </c>
      <c r="S507" s="360">
        <f t="shared" ca="1" si="224"/>
        <v>9.7379999999999765</v>
      </c>
      <c r="T507" s="357">
        <f t="shared" ca="1" si="204"/>
        <v>95.529779999999775</v>
      </c>
      <c r="U507" s="364">
        <f t="shared" ca="1" si="205"/>
        <v>0</v>
      </c>
      <c r="V507" s="359">
        <f t="shared" ca="1" si="206"/>
        <v>1.1192763713572274</v>
      </c>
      <c r="W507" s="357">
        <f t="shared" ca="1" si="207"/>
        <v>156.15316306254675</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901.97239484663578</v>
      </c>
      <c r="AF507" s="344"/>
      <c r="AG507" s="359">
        <f t="shared" ca="1" si="230"/>
        <v>-25.921166623762893</v>
      </c>
      <c r="AH507" s="357">
        <f t="shared" ca="1" si="231"/>
        <v>-16.411754690142221</v>
      </c>
    </row>
    <row r="508" spans="1:34" x14ac:dyDescent="0.25">
      <c r="A508" s="402">
        <f t="shared" ca="1" si="209"/>
        <v>0.1</v>
      </c>
      <c r="B508" s="357">
        <f t="shared" ca="1" si="210"/>
        <v>5.3999999999999364</v>
      </c>
      <c r="C508" s="342"/>
      <c r="D508" s="359">
        <f t="shared" ca="1" si="211"/>
        <v>-3.9541663747296045</v>
      </c>
      <c r="E508" s="360">
        <f t="shared" ca="1" si="212"/>
        <v>-25.350272310506337</v>
      </c>
      <c r="F508" s="357">
        <f t="shared" ca="1" si="213"/>
        <v>25.656806853851993</v>
      </c>
      <c r="G508" s="359">
        <f t="shared" ca="1" si="214"/>
        <v>60.824232920915648</v>
      </c>
      <c r="H508" s="360">
        <f t="shared" ca="1" si="215"/>
        <v>238.0643645829029</v>
      </c>
      <c r="I508" s="357">
        <f t="shared" ca="1" si="216"/>
        <v>245.7116785882981</v>
      </c>
      <c r="J508" s="359">
        <f t="shared" ca="1" si="217"/>
        <v>216.98972500146775</v>
      </c>
      <c r="K508" s="360">
        <f t="shared" ca="1" si="218"/>
        <v>925.90558266647861</v>
      </c>
      <c r="L508" s="357">
        <f t="shared" ca="1" si="203"/>
        <v>950.99194989713965</v>
      </c>
      <c r="M508" s="359">
        <f t="shared" ca="1" si="219"/>
        <v>1.3206527094332865</v>
      </c>
      <c r="N508" s="357">
        <f t="shared" ca="1" si="220"/>
        <v>75.667826453044356</v>
      </c>
      <c r="O508" s="343"/>
      <c r="P508" s="363">
        <f t="shared" ca="1" si="221"/>
        <v>23</v>
      </c>
      <c r="Q508" s="357">
        <f t="shared" ca="1" si="222"/>
        <v>0</v>
      </c>
      <c r="R508" s="359">
        <f t="shared" ca="1" si="223"/>
        <v>0</v>
      </c>
      <c r="S508" s="360">
        <f t="shared" ca="1" si="224"/>
        <v>9.7379999999999765</v>
      </c>
      <c r="T508" s="357">
        <f t="shared" ca="1" si="204"/>
        <v>95.529779999999775</v>
      </c>
      <c r="U508" s="364">
        <f t="shared" ca="1" si="205"/>
        <v>0</v>
      </c>
      <c r="V508" s="359">
        <f t="shared" ca="1" si="206"/>
        <v>1.1165951967492433</v>
      </c>
      <c r="W508" s="357">
        <f t="shared" ca="1" si="207"/>
        <v>152.59031545205318</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925.90558266647861</v>
      </c>
      <c r="AF508" s="344"/>
      <c r="AG508" s="359">
        <f t="shared" ca="1" si="230"/>
        <v>-25.542513318536464</v>
      </c>
      <c r="AH508" s="357">
        <f t="shared" ca="1" si="231"/>
        <v>-16.035444964319893</v>
      </c>
    </row>
    <row r="509" spans="1:34" x14ac:dyDescent="0.25">
      <c r="A509" s="402">
        <f t="shared" ca="1" si="209"/>
        <v>0.1</v>
      </c>
      <c r="B509" s="357">
        <f t="shared" ca="1" si="210"/>
        <v>5.4999999999999361</v>
      </c>
      <c r="C509" s="342"/>
      <c r="D509" s="359">
        <f t="shared" ca="1" si="211"/>
        <v>-3.8788951677372947</v>
      </c>
      <c r="E509" s="360">
        <f t="shared" ca="1" si="212"/>
        <v>-24.991888353474529</v>
      </c>
      <c r="F509" s="357">
        <f t="shared" ca="1" si="213"/>
        <v>25.291111308023446</v>
      </c>
      <c r="G509" s="359">
        <f t="shared" ca="1" si="214"/>
        <v>60.436343404141915</v>
      </c>
      <c r="H509" s="360">
        <f t="shared" ca="1" si="215"/>
        <v>235.56517574755546</v>
      </c>
      <c r="I509" s="357">
        <f t="shared" ca="1" si="216"/>
        <v>243.19437417226587</v>
      </c>
      <c r="J509" s="359">
        <f t="shared" ca="1" si="217"/>
        <v>223.05275381772063</v>
      </c>
      <c r="K509" s="360">
        <f t="shared" ca="1" si="218"/>
        <v>949.58705968300148</v>
      </c>
      <c r="L509" s="357">
        <f t="shared" ca="1" si="203"/>
        <v>975.4322707923277</v>
      </c>
      <c r="M509" s="359">
        <f t="shared" ca="1" si="219"/>
        <v>1.3196541672940925</v>
      </c>
      <c r="N509" s="357">
        <f t="shared" ca="1" si="220"/>
        <v>75.61061420280258</v>
      </c>
      <c r="O509" s="343"/>
      <c r="P509" s="363">
        <f t="shared" ca="1" si="221"/>
        <v>23</v>
      </c>
      <c r="Q509" s="357">
        <f t="shared" ca="1" si="222"/>
        <v>0</v>
      </c>
      <c r="R509" s="359">
        <f t="shared" ca="1" si="223"/>
        <v>0</v>
      </c>
      <c r="S509" s="360">
        <f t="shared" ca="1" si="224"/>
        <v>9.7379999999999765</v>
      </c>
      <c r="T509" s="357">
        <f t="shared" ca="1" si="204"/>
        <v>95.529779999999775</v>
      </c>
      <c r="U509" s="364">
        <f t="shared" ca="1" si="205"/>
        <v>0</v>
      </c>
      <c r="V509" s="359">
        <f t="shared" ca="1" si="206"/>
        <v>1.1139482504072538</v>
      </c>
      <c r="W509" s="357">
        <f t="shared" ca="1" si="207"/>
        <v>149.12542070964412</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949.58705968300148</v>
      </c>
      <c r="AF509" s="344"/>
      <c r="AG509" s="359">
        <f t="shared" ca="1" si="230"/>
        <v>-25.174256589241416</v>
      </c>
      <c r="AH509" s="357">
        <f t="shared" ca="1" si="231"/>
        <v>-15.669574394336983</v>
      </c>
    </row>
    <row r="510" spans="1:34" x14ac:dyDescent="0.25">
      <c r="A510" s="402">
        <f t="shared" ca="1" si="209"/>
        <v>0.1</v>
      </c>
      <c r="B510" s="357">
        <f t="shared" ca="1" si="210"/>
        <v>5.5999999999999357</v>
      </c>
      <c r="C510" s="342"/>
      <c r="D510" s="359">
        <f t="shared" ca="1" si="211"/>
        <v>-3.8056300505452776</v>
      </c>
      <c r="E510" s="360">
        <f t="shared" ca="1" si="212"/>
        <v>-24.643357896788942</v>
      </c>
      <c r="F510" s="357">
        <f t="shared" ca="1" si="213"/>
        <v>24.935474900447417</v>
      </c>
      <c r="G510" s="359">
        <f t="shared" ca="1" si="214"/>
        <v>60.055780399087389</v>
      </c>
      <c r="H510" s="360">
        <f t="shared" ca="1" si="215"/>
        <v>233.10083995787656</v>
      </c>
      <c r="I510" s="357">
        <f t="shared" ca="1" si="216"/>
        <v>240.71289609908936</v>
      </c>
      <c r="J510" s="359">
        <f t="shared" ca="1" si="217"/>
        <v>229.07736000788211</v>
      </c>
      <c r="K510" s="360">
        <f t="shared" ca="1" si="218"/>
        <v>973.02036046827311</v>
      </c>
      <c r="L510" s="357">
        <f t="shared" ca="1" si="203"/>
        <v>999.62245810805439</v>
      </c>
      <c r="M510" s="359">
        <f t="shared" ca="1" si="219"/>
        <v>1.3186413890124002</v>
      </c>
      <c r="N510" s="357">
        <f t="shared" ca="1" si="220"/>
        <v>75.552586281679098</v>
      </c>
      <c r="O510" s="343"/>
      <c r="P510" s="363">
        <f t="shared" ca="1" si="221"/>
        <v>23</v>
      </c>
      <c r="Q510" s="357">
        <f t="shared" ca="1" si="222"/>
        <v>0</v>
      </c>
      <c r="R510" s="359">
        <f t="shared" ca="1" si="223"/>
        <v>0</v>
      </c>
      <c r="S510" s="360">
        <f t="shared" ca="1" si="224"/>
        <v>9.7379999999999765</v>
      </c>
      <c r="T510" s="357">
        <f t="shared" ca="1" si="204"/>
        <v>95.529779999999775</v>
      </c>
      <c r="U510" s="364">
        <f t="shared" ca="1" si="205"/>
        <v>0</v>
      </c>
      <c r="V510" s="359">
        <f t="shared" ca="1" si="206"/>
        <v>1.111334927341193</v>
      </c>
      <c r="W510" s="357">
        <f t="shared" ca="1" si="207"/>
        <v>145.75494491862179</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973.02036046827311</v>
      </c>
      <c r="AF510" s="344"/>
      <c r="AG510" s="359">
        <f t="shared" ca="1" si="230"/>
        <v>-24.816015251635385</v>
      </c>
      <c r="AH510" s="357">
        <f t="shared" ca="1" si="231"/>
        <v>-15.31376265245887</v>
      </c>
    </row>
    <row r="511" spans="1:34" x14ac:dyDescent="0.25">
      <c r="A511" s="402">
        <f t="shared" ca="1" si="209"/>
        <v>0.1</v>
      </c>
      <c r="B511" s="357">
        <f t="shared" ca="1" si="210"/>
        <v>5.6999999999999353</v>
      </c>
      <c r="C511" s="342"/>
      <c r="D511" s="359">
        <f t="shared" ca="1" si="211"/>
        <v>-3.7342981046049299</v>
      </c>
      <c r="E511" s="360">
        <f t="shared" ca="1" si="212"/>
        <v>-24.304325426328877</v>
      </c>
      <c r="F511" s="357">
        <f t="shared" ca="1" si="213"/>
        <v>24.589534700009114</v>
      </c>
      <c r="G511" s="359">
        <f t="shared" ca="1" si="214"/>
        <v>59.682350588626896</v>
      </c>
      <c r="H511" s="360">
        <f t="shared" ca="1" si="215"/>
        <v>230.67040741524366</v>
      </c>
      <c r="I511" s="357">
        <f t="shared" ca="1" si="216"/>
        <v>238.26627925264259</v>
      </c>
      <c r="J511" s="359">
        <f t="shared" ca="1" si="217"/>
        <v>235.06426655726781</v>
      </c>
      <c r="K511" s="360">
        <f t="shared" ca="1" si="218"/>
        <v>996.2089228369291</v>
      </c>
      <c r="L511" s="357">
        <f t="shared" ca="1" si="203"/>
        <v>1023.5660346807239</v>
      </c>
      <c r="M511" s="359">
        <f t="shared" ca="1" si="219"/>
        <v>1.3176141725815314</v>
      </c>
      <c r="N511" s="357">
        <f t="shared" ca="1" si="220"/>
        <v>75.493731115543824</v>
      </c>
      <c r="O511" s="343"/>
      <c r="P511" s="363">
        <f t="shared" ca="1" si="221"/>
        <v>23</v>
      </c>
      <c r="Q511" s="357">
        <f t="shared" ca="1" si="222"/>
        <v>0</v>
      </c>
      <c r="R511" s="359">
        <f t="shared" ca="1" si="223"/>
        <v>0</v>
      </c>
      <c r="S511" s="360">
        <f t="shared" ca="1" si="224"/>
        <v>9.7379999999999765</v>
      </c>
      <c r="T511" s="357">
        <f t="shared" ca="1" si="204"/>
        <v>95.529779999999775</v>
      </c>
      <c r="U511" s="364">
        <f t="shared" ca="1" si="205"/>
        <v>0</v>
      </c>
      <c r="V511" s="359">
        <f t="shared" ca="1" si="206"/>
        <v>1.1087546401866963</v>
      </c>
      <c r="W511" s="357">
        <f t="shared" ca="1" si="207"/>
        <v>142.47551457497443</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996.2089228369291</v>
      </c>
      <c r="AF511" s="344"/>
      <c r="AG511" s="359">
        <f t="shared" ca="1" si="230"/>
        <v>-24.467425525790098</v>
      </c>
      <c r="AH511" s="357">
        <f t="shared" ca="1" si="231"/>
        <v>-14.967646839045198</v>
      </c>
    </row>
    <row r="512" spans="1:34" x14ac:dyDescent="0.25">
      <c r="A512" s="402">
        <f t="shared" ca="1" si="209"/>
        <v>0.1</v>
      </c>
      <c r="B512" s="357">
        <f t="shared" ca="1" si="210"/>
        <v>5.799999999999935</v>
      </c>
      <c r="C512" s="342"/>
      <c r="D512" s="359">
        <f t="shared" ca="1" si="211"/>
        <v>-3.6648297182058278</v>
      </c>
      <c r="E512" s="360">
        <f t="shared" ca="1" si="212"/>
        <v>-23.974451565135322</v>
      </c>
      <c r="F512" s="357">
        <f t="shared" ca="1" si="213"/>
        <v>24.252944248327132</v>
      </c>
      <c r="G512" s="359">
        <f t="shared" ca="1" si="214"/>
        <v>59.315867616806315</v>
      </c>
      <c r="H512" s="360">
        <f t="shared" ca="1" si="215"/>
        <v>228.27296225873013</v>
      </c>
      <c r="I512" s="357">
        <f t="shared" ca="1" si="216"/>
        <v>235.85359325121618</v>
      </c>
      <c r="J512" s="359">
        <f t="shared" ca="1" si="217"/>
        <v>241.01417746753947</v>
      </c>
      <c r="K512" s="360">
        <f t="shared" ca="1" si="218"/>
        <v>1019.1560913206278</v>
      </c>
      <c r="L512" s="357">
        <f t="shared" ca="1" si="203"/>
        <v>1047.2664284776317</v>
      </c>
      <c r="M512" s="359">
        <f t="shared" ca="1" si="219"/>
        <v>1.3165723112362269</v>
      </c>
      <c r="N512" s="357">
        <f t="shared" ca="1" si="220"/>
        <v>75.434036857620058</v>
      </c>
      <c r="O512" s="343"/>
      <c r="P512" s="363">
        <f t="shared" ca="1" si="221"/>
        <v>23</v>
      </c>
      <c r="Q512" s="357">
        <f t="shared" ca="1" si="222"/>
        <v>0</v>
      </c>
      <c r="R512" s="359">
        <f t="shared" ca="1" si="223"/>
        <v>0</v>
      </c>
      <c r="S512" s="360">
        <f t="shared" ca="1" si="224"/>
        <v>9.7379999999999765</v>
      </c>
      <c r="T512" s="357">
        <f t="shared" ca="1" si="204"/>
        <v>95.529779999999775</v>
      </c>
      <c r="U512" s="364">
        <f t="shared" ca="1" si="205"/>
        <v>0</v>
      </c>
      <c r="V512" s="359">
        <f t="shared" ca="1" si="206"/>
        <v>1.1062068185379439</v>
      </c>
      <c r="W512" s="357">
        <f t="shared" ca="1" si="207"/>
        <v>139.28390787782999</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1019.1560913206278</v>
      </c>
      <c r="AF512" s="344"/>
      <c r="AG512" s="359">
        <f t="shared" ca="1" si="230"/>
        <v>-24.128140080118399</v>
      </c>
      <c r="AH512" s="357">
        <f t="shared" ca="1" si="231"/>
        <v>-14.63088052731308</v>
      </c>
    </row>
    <row r="513" spans="1:34" x14ac:dyDescent="0.25">
      <c r="A513" s="402">
        <f t="shared" ca="1" si="209"/>
        <v>0.1</v>
      </c>
      <c r="B513" s="357">
        <f t="shared" ca="1" si="210"/>
        <v>5.8999999999999346</v>
      </c>
      <c r="C513" s="342"/>
      <c r="D513" s="359">
        <f t="shared" ca="1" si="211"/>
        <v>-3.597158406895824</v>
      </c>
      <c r="E513" s="360">
        <f t="shared" ca="1" si="212"/>
        <v>-23.653412197233834</v>
      </c>
      <c r="F513" s="357">
        <f t="shared" ca="1" si="213"/>
        <v>23.925372665364101</v>
      </c>
      <c r="G513" s="359">
        <f t="shared" ca="1" si="214"/>
        <v>58.956151776116734</v>
      </c>
      <c r="H513" s="360">
        <f t="shared" ca="1" si="215"/>
        <v>225.90762103900676</v>
      </c>
      <c r="I513" s="357">
        <f t="shared" ca="1" si="216"/>
        <v>233.47394089223749</v>
      </c>
      <c r="J513" s="359">
        <f t="shared" ca="1" si="217"/>
        <v>246.92777843718562</v>
      </c>
      <c r="K513" s="360">
        <f t="shared" ca="1" si="218"/>
        <v>1041.8651204855146</v>
      </c>
      <c r="L513" s="357">
        <f t="shared" ca="1" si="203"/>
        <v>1070.7269759598942</v>
      </c>
      <c r="M513" s="359">
        <f t="shared" ca="1" si="219"/>
        <v>1.3155155933357408</v>
      </c>
      <c r="N513" s="357">
        <f t="shared" ca="1" si="220"/>
        <v>75.373491381786266</v>
      </c>
      <c r="O513" s="343"/>
      <c r="P513" s="363">
        <f t="shared" ca="1" si="221"/>
        <v>23</v>
      </c>
      <c r="Q513" s="357">
        <f t="shared" ca="1" si="222"/>
        <v>0</v>
      </c>
      <c r="R513" s="359">
        <f t="shared" ca="1" si="223"/>
        <v>0</v>
      </c>
      <c r="S513" s="360">
        <f t="shared" ca="1" si="224"/>
        <v>9.7379999999999765</v>
      </c>
      <c r="T513" s="357">
        <f t="shared" ca="1" si="204"/>
        <v>95.529779999999775</v>
      </c>
      <c r="U513" s="364">
        <f t="shared" ca="1" si="205"/>
        <v>0</v>
      </c>
      <c r="V513" s="359">
        <f t="shared" ca="1" si="206"/>
        <v>1.1036909083119046</v>
      </c>
      <c r="W513" s="357">
        <f t="shared" ca="1" si="207"/>
        <v>136.17704656954896</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1041.8651204855146</v>
      </c>
      <c r="AF513" s="344"/>
      <c r="AG513" s="359">
        <f t="shared" ca="1" si="230"/>
        <v>-23.79782713622286</v>
      </c>
      <c r="AH513" s="357">
        <f t="shared" ca="1" si="231"/>
        <v>-14.303132868949509</v>
      </c>
    </row>
    <row r="514" spans="1:34" x14ac:dyDescent="0.25">
      <c r="A514" s="402">
        <f t="shared" ca="1" si="209"/>
        <v>0.1</v>
      </c>
      <c r="B514" s="357">
        <f t="shared" ca="1" si="210"/>
        <v>5.9999999999999343</v>
      </c>
      <c r="C514" s="342"/>
      <c r="D514" s="359">
        <f t="shared" ca="1" si="211"/>
        <v>-3.5312206452351802</v>
      </c>
      <c r="E514" s="360">
        <f t="shared" ca="1" si="212"/>
        <v>-23.340897646750214</v>
      </c>
      <c r="F514" s="357">
        <f t="shared" ca="1" si="213"/>
        <v>23.606503811479683</v>
      </c>
      <c r="G514" s="359">
        <f t="shared" ca="1" si="214"/>
        <v>58.603029711593216</v>
      </c>
      <c r="H514" s="360">
        <f t="shared" ca="1" si="215"/>
        <v>223.57353127433174</v>
      </c>
      <c r="I514" s="357">
        <f t="shared" ca="1" si="216"/>
        <v>231.12645668086651</v>
      </c>
      <c r="J514" s="359">
        <f t="shared" ca="1" si="217"/>
        <v>252.80573751157112</v>
      </c>
      <c r="K514" s="360">
        <f t="shared" ca="1" si="218"/>
        <v>1064.3391781011815</v>
      </c>
      <c r="L514" s="357">
        <f t="shared" ca="1" si="203"/>
        <v>1093.9509252977796</v>
      </c>
      <c r="M514" s="359">
        <f t="shared" ca="1" si="219"/>
        <v>1.3144438022430591</v>
      </c>
      <c r="N514" s="357">
        <f t="shared" ca="1" si="220"/>
        <v>75.312082275655897</v>
      </c>
      <c r="O514" s="343"/>
      <c r="P514" s="363">
        <f t="shared" ca="1" si="221"/>
        <v>23</v>
      </c>
      <c r="Q514" s="357">
        <f t="shared" ca="1" si="222"/>
        <v>0</v>
      </c>
      <c r="R514" s="359">
        <f t="shared" ca="1" si="223"/>
        <v>0</v>
      </c>
      <c r="S514" s="360">
        <f t="shared" ca="1" si="224"/>
        <v>9.7379999999999765</v>
      </c>
      <c r="T514" s="357">
        <f t="shared" ca="1" si="204"/>
        <v>95.529779999999775</v>
      </c>
      <c r="U514" s="364">
        <f t="shared" ca="1" si="205"/>
        <v>0</v>
      </c>
      <c r="V514" s="359">
        <f t="shared" ca="1" si="206"/>
        <v>1.1012063711422371</v>
      </c>
      <c r="W514" s="357">
        <f t="shared" ca="1" si="207"/>
        <v>133.15198828602703</v>
      </c>
      <c r="X514" s="343"/>
      <c r="Y514" s="367" t="str">
        <f t="shared" ca="1" si="225"/>
        <v/>
      </c>
      <c r="Z514" s="368" t="str">
        <f t="shared" ca="1" si="226"/>
        <v/>
      </c>
      <c r="AA514" s="369" t="str">
        <f t="shared" ca="1" si="227"/>
        <v/>
      </c>
      <c r="AB514" s="344"/>
      <c r="AC514" s="363">
        <f t="shared" ca="1" si="228"/>
        <v>5.9999999999999343</v>
      </c>
      <c r="AD514" s="376">
        <f t="shared" ca="1" si="229"/>
        <v>252.80573751157112</v>
      </c>
      <c r="AE514" s="377">
        <f t="shared" ca="1" si="208"/>
        <v>1064.3391781011815</v>
      </c>
      <c r="AF514" s="344"/>
      <c r="AG514" s="359">
        <f t="shared" ca="1" si="230"/>
        <v>-23.47616963015836</v>
      </c>
      <c r="AH514" s="357">
        <f t="shared" ca="1" si="231"/>
        <v>-13.984087756166492</v>
      </c>
    </row>
    <row r="515" spans="1:34" x14ac:dyDescent="0.25">
      <c r="A515" s="402">
        <f t="shared" ca="1" si="209"/>
        <v>0.1</v>
      </c>
      <c r="B515" s="357">
        <f t="shared" ca="1" si="210"/>
        <v>6.0999999999999339</v>
      </c>
      <c r="C515" s="342"/>
      <c r="D515" s="359">
        <f t="shared" ca="1" si="211"/>
        <v>-3.4669557090718062</v>
      </c>
      <c r="E515" s="360">
        <f t="shared" ca="1" si="212"/>
        <v>-23.036611908352402</v>
      </c>
      <c r="F515" s="357">
        <f t="shared" ca="1" si="213"/>
        <v>23.296035501876911</v>
      </c>
      <c r="G515" s="359">
        <f t="shared" ca="1" si="214"/>
        <v>58.256334140686036</v>
      </c>
      <c r="H515" s="360">
        <f t="shared" ca="1" si="215"/>
        <v>221.2698700834965</v>
      </c>
      <c r="I515" s="357">
        <f t="shared" ca="1" si="216"/>
        <v>228.81030543723043</v>
      </c>
      <c r="J515" s="359">
        <f t="shared" ca="1" si="217"/>
        <v>258.64870570418509</v>
      </c>
      <c r="K515" s="360">
        <f t="shared" ca="1" si="218"/>
        <v>1086.581348169073</v>
      </c>
      <c r="L515" s="357">
        <f t="shared" ca="1" si="203"/>
        <v>1116.9414394458513</v>
      </c>
      <c r="M515" s="359">
        <f t="shared" ca="1" si="219"/>
        <v>1.3133567162001227</v>
      </c>
      <c r="N515" s="357">
        <f t="shared" ca="1" si="220"/>
        <v>75.249796833428064</v>
      </c>
      <c r="O515" s="343"/>
      <c r="P515" s="363">
        <f t="shared" ca="1" si="221"/>
        <v>23</v>
      </c>
      <c r="Q515" s="357">
        <f t="shared" ca="1" si="222"/>
        <v>0</v>
      </c>
      <c r="R515" s="359">
        <f t="shared" ca="1" si="223"/>
        <v>0</v>
      </c>
      <c r="S515" s="360">
        <f t="shared" ca="1" si="224"/>
        <v>9.7379999999999765</v>
      </c>
      <c r="T515" s="357">
        <f t="shared" ca="1" si="204"/>
        <v>95.529779999999775</v>
      </c>
      <c r="U515" s="364">
        <f t="shared" ca="1" si="205"/>
        <v>0</v>
      </c>
      <c r="V515" s="359">
        <f t="shared" ca="1" si="206"/>
        <v>1.0987526838011903</v>
      </c>
      <c r="W515" s="357">
        <f t="shared" ca="1" si="207"/>
        <v>130.20591938093477</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1086.581348169073</v>
      </c>
      <c r="AF515" s="344"/>
      <c r="AG515" s="359">
        <f t="shared" ca="1" si="230"/>
        <v>-23.162864426058448</v>
      </c>
      <c r="AH515" s="357">
        <f t="shared" ca="1" si="231"/>
        <v>-13.673443036149862</v>
      </c>
    </row>
    <row r="516" spans="1:34" x14ac:dyDescent="0.25">
      <c r="A516" s="402">
        <f t="shared" ca="1" si="209"/>
        <v>0.1</v>
      </c>
      <c r="B516" s="357">
        <f t="shared" ca="1" si="210"/>
        <v>6.1999999999999336</v>
      </c>
      <c r="C516" s="342"/>
      <c r="D516" s="359">
        <f t="shared" ca="1" si="211"/>
        <v>-3.4043055275895515</v>
      </c>
      <c r="E516" s="360">
        <f t="shared" ca="1" si="212"/>
        <v>-22.740271925369697</v>
      </c>
      <c r="F516" s="357">
        <f t="shared" ca="1" si="213"/>
        <v>22.993678769716993</v>
      </c>
      <c r="G516" s="359">
        <f t="shared" ca="1" si="214"/>
        <v>57.915903587927083</v>
      </c>
      <c r="H516" s="360">
        <f t="shared" ca="1" si="215"/>
        <v>218.99584289095952</v>
      </c>
      <c r="I516" s="357">
        <f t="shared" ca="1" si="216"/>
        <v>226.52468097743321</v>
      </c>
      <c r="J516" s="359">
        <f t="shared" ca="1" si="217"/>
        <v>264.45731759061573</v>
      </c>
      <c r="K516" s="360">
        <f t="shared" ca="1" si="218"/>
        <v>1108.5946338177957</v>
      </c>
      <c r="L516" s="357">
        <f t="shared" ref="L516:L579" ca="1" si="232">SQRT(pos_x^2+pos_z^2)</f>
        <v>1139.7015990849693</v>
      </c>
      <c r="M516" s="359">
        <f t="shared" ca="1" si="219"/>
        <v>1.3122541081989112</v>
      </c>
      <c r="N516" s="357">
        <f t="shared" ca="1" si="220"/>
        <v>75.186622048501292</v>
      </c>
      <c r="O516" s="343"/>
      <c r="P516" s="363">
        <f t="shared" ca="1" si="221"/>
        <v>23</v>
      </c>
      <c r="Q516" s="357">
        <f t="shared" ca="1" si="222"/>
        <v>0</v>
      </c>
      <c r="R516" s="359">
        <f t="shared" ca="1" si="223"/>
        <v>0</v>
      </c>
      <c r="S516" s="360">
        <f t="shared" ca="1" si="224"/>
        <v>9.7379999999999765</v>
      </c>
      <c r="T516" s="357">
        <f t="shared" ref="T516:T579" ca="1" si="233">m*g</f>
        <v>95.529779999999775</v>
      </c>
      <c r="U516" s="364">
        <f t="shared" ref="U516:U579" ca="1" si="234">IF(pos_xz&lt;L_rampe,Poids*COS(Beta),0)</f>
        <v>0</v>
      </c>
      <c r="V516" s="359">
        <f t="shared" ref="V516:V579" ca="1" si="235">Rho_moyen*(20000-Alt_rampe-pos_z)/(20000+Alt_rampe+pos_z)</f>
        <v>1.0963293376479815</v>
      </c>
      <c r="W516" s="357">
        <f t="shared" ref="W516:W579" ca="1" si="236">1/2*Rho*Sref*Cx*vit_xz^2</f>
        <v>127.33614819051068</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1108.5946338177957</v>
      </c>
      <c r="AF516" s="344"/>
      <c r="AG516" s="359">
        <f t="shared" ca="1" si="230"/>
        <v>-22.857621578399318</v>
      </c>
      <c r="AH516" s="357">
        <f t="shared" ca="1" si="231"/>
        <v>-13.370909774176944</v>
      </c>
    </row>
    <row r="517" spans="1:34" x14ac:dyDescent="0.25">
      <c r="A517" s="402">
        <f t="shared" ref="A517:A580" ca="1" si="238">IF(B516+0.01&lt;=T_ini+ROUNDUP(Temps_fin_propu,0), 0.01, IF(K516&gt;0, 0.1, 0.0001))</f>
        <v>0.1</v>
      </c>
      <c r="B517" s="357">
        <f t="shared" ref="B517:B580" ca="1" si="239">B516+pas</f>
        <v>6.2999999999999332</v>
      </c>
      <c r="C517" s="342"/>
      <c r="D517" s="359">
        <f t="shared" ref="D517:D580" ca="1" si="240">IF(AND(L516&lt;L_rampe,Poussee&lt;Poids*SIN(M516)),0,(-W516+Poussee)/m*COS(M516)-U516/m*SIN(M516))</f>
        <v>-3.3432145444412651</v>
      </c>
      <c r="E517" s="360">
        <f t="shared" ref="E517:E580" ca="1" si="241">IF(AND(L516&lt;L_rampe,Poussee&lt;Poids*SIN(M516)),0,(-W516+Poussee)/m*SIN(M516)+U516/m*COS(M516)-Poids/m)</f>
        <v>-22.451606912230773</v>
      </c>
      <c r="F517" s="357">
        <f t="shared" ref="F517:F580" ca="1" si="242">SQRT(acc_x^2+acc_z^2)</f>
        <v>22.69915717447439</v>
      </c>
      <c r="G517" s="359">
        <f t="shared" ref="G517:G580" ca="1" si="243">G516+acc_x*pas</f>
        <v>57.581582133482954</v>
      </c>
      <c r="H517" s="360">
        <f t="shared" ref="H517:H580" ca="1" si="244">H516+acc_z*pas</f>
        <v>216.75068219973645</v>
      </c>
      <c r="I517" s="357">
        <f t="shared" ref="I517:I580" ca="1" si="245">SQRT(vit_x^2+vit_z^2)</f>
        <v>224.26880486382004</v>
      </c>
      <c r="J517" s="359">
        <f t="shared" ref="J517:J580" ca="1" si="246">J516+0.5*(vit_x+G516)*pas*(K516&gt;=0)</f>
        <v>270.23219187668622</v>
      </c>
      <c r="K517" s="360">
        <f t="shared" ref="K517:K580" ca="1" si="247">K516+0.5*(vit_z+H516)*pas</f>
        <v>1130.3819600723305</v>
      </c>
      <c r="L517" s="357">
        <f t="shared" ca="1" si="232"/>
        <v>1162.2344054378368</v>
      </c>
      <c r="M517" s="359">
        <f t="shared" ref="M517:M580" ca="1" si="248">IF(AND(L516&gt;L_rampe,G517&gt;0),ATAN2(G517,H517),$M$4)</f>
        <v>1.3111357458482504</v>
      </c>
      <c r="N517" s="357">
        <f t="shared" ref="N517:N580" ca="1" si="249">DEGREES(Beta)</f>
        <v>75.122544605842094</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9.7379999999999765</v>
      </c>
      <c r="T517" s="357">
        <f t="shared" ca="1" si="233"/>
        <v>95.529779999999775</v>
      </c>
      <c r="U517" s="364">
        <f t="shared" ca="1" si="234"/>
        <v>0</v>
      </c>
      <c r="V517" s="359">
        <f t="shared" ca="1" si="235"/>
        <v>1.0939358381022031</v>
      </c>
      <c r="W517" s="357">
        <f t="shared" ca="1" si="236"/>
        <v>124.54009870815216</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1130.3819600723305</v>
      </c>
      <c r="AF517" s="344"/>
      <c r="AG517" s="359">
        <f t="shared" ref="AG517:AG580" ca="1" si="259">IF(AND(L516&lt;L_rampe,Poussee&lt;Poids*SIN(M516)),0,(-W516+Poussee)/m-Poids*SIN(M516)/m)</f>
        <v>-22.560163639472016</v>
      </c>
      <c r="AH517" s="357">
        <f t="shared" ref="AH517:AH580" ca="1" si="260">IF(AND(L516&lt;L_rampe,Poussee&lt;Poids*SIN(M516)), g*SIN(M516), (-W516+Poussee)/m)</f>
        <v>-13.076211561974841</v>
      </c>
    </row>
    <row r="518" spans="1:34" x14ac:dyDescent="0.25">
      <c r="A518" s="402">
        <f t="shared" ca="1" si="238"/>
        <v>0.1</v>
      </c>
      <c r="B518" s="357">
        <f t="shared" ca="1" si="239"/>
        <v>6.3999999999999329</v>
      </c>
      <c r="C518" s="342"/>
      <c r="D518" s="359">
        <f t="shared" ca="1" si="240"/>
        <v>-3.2836295873324115</v>
      </c>
      <c r="E518" s="360">
        <f t="shared" ca="1" si="241"/>
        <v>-22.170357718126642</v>
      </c>
      <c r="F518" s="357">
        <f t="shared" ca="1" si="242"/>
        <v>22.412206152373809</v>
      </c>
      <c r="G518" s="359">
        <f t="shared" ca="1" si="243"/>
        <v>57.253219174749709</v>
      </c>
      <c r="H518" s="360">
        <f t="shared" ca="1" si="244"/>
        <v>214.53364642792377</v>
      </c>
      <c r="I518" s="357">
        <f t="shared" ca="1" si="245"/>
        <v>222.04192522029109</v>
      </c>
      <c r="J518" s="359">
        <f t="shared" ca="1" si="246"/>
        <v>275.97393194209786</v>
      </c>
      <c r="K518" s="360">
        <f t="shared" ca="1" si="247"/>
        <v>1151.9461765037136</v>
      </c>
      <c r="L518" s="357">
        <f t="shared" ca="1" si="232"/>
        <v>1184.5427829644257</v>
      </c>
      <c r="M518" s="359">
        <f t="shared" ca="1" si="248"/>
        <v>1.310001391236197</v>
      </c>
      <c r="N518" s="357">
        <f t="shared" ca="1" si="249"/>
        <v>75.05755087410023</v>
      </c>
      <c r="O518" s="343"/>
      <c r="P518" s="363">
        <f t="shared" ca="1" si="250"/>
        <v>23</v>
      </c>
      <c r="Q518" s="357">
        <f t="shared" ca="1" si="251"/>
        <v>0</v>
      </c>
      <c r="R518" s="359">
        <f t="shared" ca="1" si="252"/>
        <v>0</v>
      </c>
      <c r="S518" s="360">
        <f t="shared" ca="1" si="253"/>
        <v>9.7379999999999765</v>
      </c>
      <c r="T518" s="357">
        <f t="shared" ca="1" si="233"/>
        <v>95.529779999999775</v>
      </c>
      <c r="U518" s="364">
        <f t="shared" ca="1" si="234"/>
        <v>0</v>
      </c>
      <c r="V518" s="359">
        <f t="shared" ca="1" si="235"/>
        <v>1.0915717041409096</v>
      </c>
      <c r="W518" s="357">
        <f t="shared" ca="1" si="236"/>
        <v>121.8153046404495</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1151.9461765037136</v>
      </c>
      <c r="AF518" s="344"/>
      <c r="AG518" s="359">
        <f t="shared" ca="1" si="259"/>
        <v>-22.270225008903115</v>
      </c>
      <c r="AH518" s="357">
        <f t="shared" ca="1" si="260"/>
        <v>-12.789083868161066</v>
      </c>
    </row>
    <row r="519" spans="1:34" x14ac:dyDescent="0.25">
      <c r="A519" s="402">
        <f t="shared" ca="1" si="238"/>
        <v>0.1</v>
      </c>
      <c r="B519" s="357">
        <f t="shared" ca="1" si="239"/>
        <v>6.4999999999999325</v>
      </c>
      <c r="C519" s="342"/>
      <c r="D519" s="359">
        <f t="shared" ca="1" si="240"/>
        <v>-3.2254997454705592</v>
      </c>
      <c r="E519" s="360">
        <f t="shared" ca="1" si="241"/>
        <v>-21.896276229046023</v>
      </c>
      <c r="F519" s="357">
        <f t="shared" ca="1" si="242"/>
        <v>22.132572405997379</v>
      </c>
      <c r="G519" s="359">
        <f t="shared" ca="1" si="243"/>
        <v>56.930669200202651</v>
      </c>
      <c r="H519" s="360">
        <f t="shared" ca="1" si="244"/>
        <v>212.34401880501918</v>
      </c>
      <c r="I519" s="357">
        <f t="shared" ca="1" si="245"/>
        <v>219.84331560875179</v>
      </c>
      <c r="J519" s="359">
        <f t="shared" ca="1" si="246"/>
        <v>281.68312636084551</v>
      </c>
      <c r="K519" s="360">
        <f t="shared" ca="1" si="247"/>
        <v>1173.2900597653606</v>
      </c>
      <c r="L519" s="357">
        <f t="shared" ca="1" si="232"/>
        <v>1206.6295819432837</v>
      </c>
      <c r="M519" s="359">
        <f t="shared" ca="1" si="248"/>
        <v>1.3088508007878423</v>
      </c>
      <c r="N519" s="357">
        <f t="shared" ca="1" si="249"/>
        <v>74.991626897461444</v>
      </c>
      <c r="O519" s="343"/>
      <c r="P519" s="363">
        <f t="shared" ca="1" si="250"/>
        <v>23</v>
      </c>
      <c r="Q519" s="357">
        <f t="shared" ca="1" si="251"/>
        <v>0</v>
      </c>
      <c r="R519" s="359">
        <f t="shared" ca="1" si="252"/>
        <v>0</v>
      </c>
      <c r="S519" s="360">
        <f t="shared" ca="1" si="253"/>
        <v>9.7379999999999765</v>
      </c>
      <c r="T519" s="357">
        <f t="shared" ca="1" si="233"/>
        <v>95.529779999999775</v>
      </c>
      <c r="U519" s="364">
        <f t="shared" ca="1" si="234"/>
        <v>0</v>
      </c>
      <c r="V519" s="359">
        <f t="shared" ca="1" si="235"/>
        <v>1.0892364678181248</v>
      </c>
      <c r="W519" s="357">
        <f t="shared" ca="1" si="236"/>
        <v>119.15940381850571</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1173.2900597653606</v>
      </c>
      <c r="AF519" s="344"/>
      <c r="AG519" s="359">
        <f t="shared" ca="1" si="259"/>
        <v>-21.98755132231075</v>
      </c>
      <c r="AH519" s="357">
        <f t="shared" ca="1" si="260"/>
        <v>-12.509273427854774</v>
      </c>
    </row>
    <row r="520" spans="1:34" x14ac:dyDescent="0.25">
      <c r="A520" s="402">
        <f t="shared" ca="1" si="238"/>
        <v>0.1</v>
      </c>
      <c r="B520" s="357">
        <f t="shared" ca="1" si="239"/>
        <v>6.5999999999999321</v>
      </c>
      <c r="C520" s="342"/>
      <c r="D520" s="359">
        <f t="shared" ca="1" si="240"/>
        <v>-3.1687762543414348</v>
      </c>
      <c r="E520" s="360">
        <f t="shared" ca="1" si="241"/>
        <v>-21.629124805551747</v>
      </c>
      <c r="F520" s="357">
        <f t="shared" ca="1" si="242"/>
        <v>21.860013330375899</v>
      </c>
      <c r="G520" s="359">
        <f t="shared" ca="1" si="243"/>
        <v>56.613791574768506</v>
      </c>
      <c r="H520" s="360">
        <f t="shared" ca="1" si="244"/>
        <v>210.181106324464</v>
      </c>
      <c r="I520" s="357">
        <f t="shared" ca="1" si="245"/>
        <v>217.67227396305432</v>
      </c>
      <c r="J520" s="359">
        <f t="shared" ca="1" si="246"/>
        <v>287.36034939959404</v>
      </c>
      <c r="K520" s="360">
        <f t="shared" ca="1" si="247"/>
        <v>1194.4163160218347</v>
      </c>
      <c r="L520" s="357">
        <f t="shared" ca="1" si="232"/>
        <v>1228.497580944394</v>
      </c>
      <c r="M520" s="359">
        <f t="shared" ca="1" si="248"/>
        <v>1.3076837251183826</v>
      </c>
      <c r="N520" s="357">
        <f t="shared" ca="1" si="249"/>
        <v>74.924758387229005</v>
      </c>
      <c r="O520" s="343"/>
      <c r="P520" s="363">
        <f t="shared" ca="1" si="250"/>
        <v>23</v>
      </c>
      <c r="Q520" s="357">
        <f t="shared" ca="1" si="251"/>
        <v>0</v>
      </c>
      <c r="R520" s="359">
        <f t="shared" ca="1" si="252"/>
        <v>0</v>
      </c>
      <c r="S520" s="360">
        <f t="shared" ca="1" si="253"/>
        <v>9.7379999999999765</v>
      </c>
      <c r="T520" s="357">
        <f t="shared" ca="1" si="233"/>
        <v>95.529779999999775</v>
      </c>
      <c r="U520" s="364">
        <f t="shared" ca="1" si="234"/>
        <v>0</v>
      </c>
      <c r="V520" s="359">
        <f t="shared" ca="1" si="235"/>
        <v>1.0869296738055789</v>
      </c>
      <c r="W520" s="357">
        <f t="shared" ca="1" si="236"/>
        <v>116.57013294038865</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1194.4163160218347</v>
      </c>
      <c r="AF520" s="344"/>
      <c r="AG520" s="359">
        <f t="shared" ca="1" si="259"/>
        <v>-21.711898876408409</v>
      </c>
      <c r="AH520" s="357">
        <f t="shared" ca="1" si="260"/>
        <v>-12.236537668772437</v>
      </c>
    </row>
    <row r="521" spans="1:34" x14ac:dyDescent="0.25">
      <c r="A521" s="402">
        <f t="shared" ca="1" si="238"/>
        <v>0.1</v>
      </c>
      <c r="B521" s="357">
        <f t="shared" ca="1" si="239"/>
        <v>6.6999999999999318</v>
      </c>
      <c r="C521" s="342"/>
      <c r="D521" s="359">
        <f t="shared" ca="1" si="240"/>
        <v>-3.1134123873134611</v>
      </c>
      <c r="E521" s="360">
        <f t="shared" ca="1" si="241"/>
        <v>-21.368675753868366</v>
      </c>
      <c r="F521" s="357">
        <f t="shared" ca="1" si="242"/>
        <v>21.594296473083784</v>
      </c>
      <c r="G521" s="359">
        <f t="shared" ca="1" si="243"/>
        <v>56.302450336037161</v>
      </c>
      <c r="H521" s="360">
        <f t="shared" ca="1" si="244"/>
        <v>208.04423874907715</v>
      </c>
      <c r="I521" s="357">
        <f t="shared" ca="1" si="245"/>
        <v>215.52812157703445</v>
      </c>
      <c r="J521" s="359">
        <f t="shared" ca="1" si="246"/>
        <v>293.00616149513434</v>
      </c>
      <c r="K521" s="360">
        <f t="shared" ca="1" si="247"/>
        <v>1215.3275832755119</v>
      </c>
      <c r="L521" s="357">
        <f t="shared" ca="1" si="232"/>
        <v>1250.1494891989553</v>
      </c>
      <c r="M521" s="359">
        <f t="shared" ca="1" si="248"/>
        <v>1.3064999088812819</v>
      </c>
      <c r="N521" s="357">
        <f t="shared" ca="1" si="249"/>
        <v>74.856930713124072</v>
      </c>
      <c r="O521" s="343"/>
      <c r="P521" s="363">
        <f t="shared" ca="1" si="250"/>
        <v>23</v>
      </c>
      <c r="Q521" s="357">
        <f t="shared" ca="1" si="251"/>
        <v>0</v>
      </c>
      <c r="R521" s="359">
        <f t="shared" ca="1" si="252"/>
        <v>0</v>
      </c>
      <c r="S521" s="360">
        <f t="shared" ca="1" si="253"/>
        <v>9.7379999999999765</v>
      </c>
      <c r="T521" s="357">
        <f t="shared" ca="1" si="233"/>
        <v>95.529779999999775</v>
      </c>
      <c r="U521" s="364">
        <f t="shared" ca="1" si="234"/>
        <v>0</v>
      </c>
      <c r="V521" s="359">
        <f t="shared" ca="1" si="235"/>
        <v>1.0846508789535603</v>
      </c>
      <c r="W521" s="357">
        <f t="shared" ca="1" si="236"/>
        <v>114.04532262240073</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1215.3275832755119</v>
      </c>
      <c r="AF521" s="344"/>
      <c r="AG521" s="359">
        <f t="shared" ca="1" si="259"/>
        <v>-21.443034088074519</v>
      </c>
      <c r="AH521" s="357">
        <f t="shared" ca="1" si="260"/>
        <v>-11.970644171327677</v>
      </c>
    </row>
    <row r="522" spans="1:34" x14ac:dyDescent="0.25">
      <c r="A522" s="402">
        <f t="shared" ca="1" si="238"/>
        <v>0.1</v>
      </c>
      <c r="B522" s="357">
        <f t="shared" ca="1" si="239"/>
        <v>6.7999999999999314</v>
      </c>
      <c r="C522" s="342"/>
      <c r="D522" s="359">
        <f t="shared" ca="1" si="240"/>
        <v>-3.0593633536106988</v>
      </c>
      <c r="E522" s="360">
        <f t="shared" ca="1" si="241"/>
        <v>-21.114710828036053</v>
      </c>
      <c r="F522" s="357">
        <f t="shared" ca="1" si="242"/>
        <v>21.335199026046116</v>
      </c>
      <c r="G522" s="359">
        <f t="shared" ca="1" si="243"/>
        <v>55.996514000676093</v>
      </c>
      <c r="H522" s="360">
        <f t="shared" ca="1" si="244"/>
        <v>205.93276766627355</v>
      </c>
      <c r="I522" s="357">
        <f t="shared" ca="1" si="245"/>
        <v>213.41020214347608</v>
      </c>
      <c r="J522" s="359">
        <f t="shared" ca="1" si="246"/>
        <v>298.62110971197001</v>
      </c>
      <c r="K522" s="360">
        <f t="shared" ca="1" si="247"/>
        <v>1236.0264335962795</v>
      </c>
      <c r="L522" s="357">
        <f t="shared" ca="1" si="232"/>
        <v>1271.5879488711532</v>
      </c>
      <c r="M522" s="359">
        <f t="shared" ca="1" si="248"/>
        <v>1.3052990906113586</v>
      </c>
      <c r="N522" s="357">
        <f t="shared" ca="1" si="249"/>
        <v>74.788128894295269</v>
      </c>
      <c r="O522" s="343"/>
      <c r="P522" s="363">
        <f t="shared" ca="1" si="250"/>
        <v>23</v>
      </c>
      <c r="Q522" s="357">
        <f t="shared" ca="1" si="251"/>
        <v>0</v>
      </c>
      <c r="R522" s="359">
        <f t="shared" ca="1" si="252"/>
        <v>0</v>
      </c>
      <c r="S522" s="360">
        <f t="shared" ca="1" si="253"/>
        <v>9.7379999999999765</v>
      </c>
      <c r="T522" s="357">
        <f t="shared" ca="1" si="233"/>
        <v>95.529779999999775</v>
      </c>
      <c r="U522" s="364">
        <f t="shared" ca="1" si="234"/>
        <v>0</v>
      </c>
      <c r="V522" s="359">
        <f t="shared" ca="1" si="235"/>
        <v>1.0823996518708396</v>
      </c>
      <c r="W522" s="357">
        <f t="shared" ca="1" si="236"/>
        <v>111.58289273853453</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1236.0264335962795</v>
      </c>
      <c r="AF522" s="344"/>
      <c r="AG522" s="359">
        <f t="shared" ca="1" si="259"/>
        <v>-21.180732985094799</v>
      </c>
      <c r="AH522" s="357">
        <f t="shared" ca="1" si="260"/>
        <v>-11.711370160443726</v>
      </c>
    </row>
    <row r="523" spans="1:34" x14ac:dyDescent="0.25">
      <c r="A523" s="402">
        <f t="shared" ca="1" si="238"/>
        <v>0.1</v>
      </c>
      <c r="B523" s="357">
        <f t="shared" ca="1" si="239"/>
        <v>6.8999999999999311</v>
      </c>
      <c r="C523" s="342"/>
      <c r="D523" s="359">
        <f t="shared" ca="1" si="240"/>
        <v>-3.006586202228787</v>
      </c>
      <c r="E523" s="360">
        <f t="shared" ca="1" si="241"/>
        <v>-20.867020761055393</v>
      </c>
      <c r="F523" s="357">
        <f t="shared" ca="1" si="242"/>
        <v>21.082507346939295</v>
      </c>
      <c r="G523" s="359">
        <f t="shared" ca="1" si="243"/>
        <v>55.695855380453217</v>
      </c>
      <c r="H523" s="360">
        <f t="shared" ca="1" si="244"/>
        <v>203.846065590168</v>
      </c>
      <c r="I523" s="357">
        <f t="shared" ca="1" si="245"/>
        <v>211.31788084104815</v>
      </c>
      <c r="J523" s="359">
        <f t="shared" ca="1" si="246"/>
        <v>304.20572818102647</v>
      </c>
      <c r="K523" s="360">
        <f t="shared" ca="1" si="247"/>
        <v>1256.5153752591016</v>
      </c>
      <c r="L523" s="357">
        <f t="shared" ca="1" si="232"/>
        <v>1292.81553723672</v>
      </c>
      <c r="M523" s="359">
        <f t="shared" ca="1" si="248"/>
        <v>1.3040810025626135</v>
      </c>
      <c r="N523" s="357">
        <f t="shared" ca="1" si="249"/>
        <v>74.718337590026849</v>
      </c>
      <c r="O523" s="343"/>
      <c r="P523" s="363">
        <f t="shared" ca="1" si="250"/>
        <v>23</v>
      </c>
      <c r="Q523" s="357">
        <f t="shared" ca="1" si="251"/>
        <v>0</v>
      </c>
      <c r="R523" s="359">
        <f t="shared" ca="1" si="252"/>
        <v>0</v>
      </c>
      <c r="S523" s="360">
        <f t="shared" ca="1" si="253"/>
        <v>9.7379999999999765</v>
      </c>
      <c r="T523" s="357">
        <f t="shared" ca="1" si="233"/>
        <v>95.529779999999775</v>
      </c>
      <c r="U523" s="364">
        <f t="shared" ca="1" si="234"/>
        <v>0</v>
      </c>
      <c r="V523" s="359">
        <f t="shared" ca="1" si="235"/>
        <v>1.0801755725226776</v>
      </c>
      <c r="W523" s="357">
        <f t="shared" ca="1" si="236"/>
        <v>109.18084802902244</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1256.5153752591016</v>
      </c>
      <c r="AF523" s="344"/>
      <c r="AG523" s="359">
        <f t="shared" ca="1" si="259"/>
        <v>-20.924780726456859</v>
      </c>
      <c r="AH523" s="357">
        <f t="shared" ca="1" si="260"/>
        <v>-11.458502026959827</v>
      </c>
    </row>
    <row r="524" spans="1:34" x14ac:dyDescent="0.25">
      <c r="A524" s="402">
        <f t="shared" ca="1" si="238"/>
        <v>0.1</v>
      </c>
      <c r="B524" s="357">
        <f t="shared" ca="1" si="239"/>
        <v>6.9999999999999307</v>
      </c>
      <c r="C524" s="342"/>
      <c r="D524" s="359">
        <f t="shared" ca="1" si="240"/>
        <v>-2.9550397314002095</v>
      </c>
      <c r="E524" s="360">
        <f t="shared" ca="1" si="241"/>
        <v>-20.625404823102258</v>
      </c>
      <c r="F524" s="357">
        <f t="shared" ca="1" si="242"/>
        <v>20.836016508224496</v>
      </c>
      <c r="G524" s="359">
        <f t="shared" ca="1" si="243"/>
        <v>55.400351407313195</v>
      </c>
      <c r="H524" s="360">
        <f t="shared" ca="1" si="244"/>
        <v>201.78352510785777</v>
      </c>
      <c r="I524" s="357">
        <f t="shared" ca="1" si="245"/>
        <v>209.25054346645615</v>
      </c>
      <c r="J524" s="359">
        <f t="shared" ca="1" si="246"/>
        <v>309.7605385204148</v>
      </c>
      <c r="K524" s="360">
        <f t="shared" ca="1" si="247"/>
        <v>1276.7968547940029</v>
      </c>
      <c r="L524" s="357">
        <f t="shared" ca="1" si="232"/>
        <v>1313.8347687728146</v>
      </c>
      <c r="M524" s="359">
        <f t="shared" ca="1" si="248"/>
        <v>1.3028453705406102</v>
      </c>
      <c r="N524" s="357">
        <f t="shared" ca="1" si="249"/>
        <v>74.647541090134837</v>
      </c>
      <c r="O524" s="343"/>
      <c r="P524" s="363">
        <f t="shared" ca="1" si="250"/>
        <v>23</v>
      </c>
      <c r="Q524" s="357">
        <f t="shared" ca="1" si="251"/>
        <v>0</v>
      </c>
      <c r="R524" s="359">
        <f t="shared" ca="1" si="252"/>
        <v>0</v>
      </c>
      <c r="S524" s="360">
        <f t="shared" ca="1" si="253"/>
        <v>9.7379999999999765</v>
      </c>
      <c r="T524" s="357">
        <f t="shared" ca="1" si="233"/>
        <v>95.529779999999775</v>
      </c>
      <c r="U524" s="364">
        <f t="shared" ca="1" si="234"/>
        <v>0</v>
      </c>
      <c r="V524" s="359">
        <f t="shared" ca="1" si="235"/>
        <v>1.0779782318459987</v>
      </c>
      <c r="W524" s="357">
        <f t="shared" ca="1" si="236"/>
        <v>106.83727396030865</v>
      </c>
      <c r="X524" s="343"/>
      <c r="Y524" s="367" t="str">
        <f t="shared" ca="1" si="254"/>
        <v/>
      </c>
      <c r="Z524" s="368" t="str">
        <f t="shared" ca="1" si="255"/>
        <v/>
      </c>
      <c r="AA524" s="369" t="str">
        <f t="shared" ca="1" si="256"/>
        <v/>
      </c>
      <c r="AB524" s="344"/>
      <c r="AC524" s="363">
        <f t="shared" ca="1" si="257"/>
        <v>6.9999999999999307</v>
      </c>
      <c r="AD524" s="376">
        <f t="shared" ca="1" si="258"/>
        <v>309.7605385204148</v>
      </c>
      <c r="AE524" s="377">
        <f t="shared" ca="1" si="237"/>
        <v>1276.7968547940029</v>
      </c>
      <c r="AF524" s="344"/>
      <c r="AG524" s="359">
        <f t="shared" ca="1" si="259"/>
        <v>-20.674971150234818</v>
      </c>
      <c r="AH524" s="357">
        <f t="shared" ca="1" si="260"/>
        <v>-11.211834876671052</v>
      </c>
    </row>
    <row r="525" spans="1:34" x14ac:dyDescent="0.25">
      <c r="A525" s="402">
        <f t="shared" ca="1" si="238"/>
        <v>0.1</v>
      </c>
      <c r="B525" s="357">
        <f t="shared" ca="1" si="239"/>
        <v>7.0999999999999304</v>
      </c>
      <c r="C525" s="342"/>
      <c r="D525" s="359">
        <f t="shared" ca="1" si="240"/>
        <v>-2.9046844032445454</v>
      </c>
      <c r="E525" s="360">
        <f t="shared" ca="1" si="241"/>
        <v>-20.389670405035147</v>
      </c>
      <c r="F525" s="357">
        <f t="shared" ca="1" si="242"/>
        <v>20.595529871999368</v>
      </c>
      <c r="G525" s="359">
        <f t="shared" ca="1" si="243"/>
        <v>55.109882966988742</v>
      </c>
      <c r="H525" s="360">
        <f t="shared" ca="1" si="244"/>
        <v>199.74455806735426</v>
      </c>
      <c r="I525" s="357">
        <f t="shared" ca="1" si="245"/>
        <v>207.2075956092292</v>
      </c>
      <c r="J525" s="359">
        <f t="shared" ca="1" si="246"/>
        <v>315.28605023912991</v>
      </c>
      <c r="K525" s="360">
        <f t="shared" ca="1" si="247"/>
        <v>1296.8732589527635</v>
      </c>
      <c r="L525" s="357">
        <f t="shared" ca="1" si="232"/>
        <v>1334.6480971635006</v>
      </c>
      <c r="M525" s="359">
        <f t="shared" ca="1" si="248"/>
        <v>1.3015919137292125</v>
      </c>
      <c r="N525" s="357">
        <f t="shared" ca="1" si="249"/>
        <v>74.57572330503983</v>
      </c>
      <c r="O525" s="343"/>
      <c r="P525" s="363">
        <f t="shared" ca="1" si="250"/>
        <v>23</v>
      </c>
      <c r="Q525" s="357">
        <f t="shared" ca="1" si="251"/>
        <v>0</v>
      </c>
      <c r="R525" s="359">
        <f t="shared" ca="1" si="252"/>
        <v>0</v>
      </c>
      <c r="S525" s="360">
        <f t="shared" ca="1" si="253"/>
        <v>9.7379999999999765</v>
      </c>
      <c r="T525" s="357">
        <f t="shared" ca="1" si="233"/>
        <v>95.529779999999775</v>
      </c>
      <c r="U525" s="364">
        <f t="shared" ca="1" si="234"/>
        <v>0</v>
      </c>
      <c r="V525" s="359">
        <f t="shared" ca="1" si="235"/>
        <v>1.0758072313808515</v>
      </c>
      <c r="W525" s="357">
        <f t="shared" ca="1" si="236"/>
        <v>104.55033282006389</v>
      </c>
      <c r="X525" s="343"/>
      <c r="Y525" s="367" t="str">
        <f t="shared" ca="1" si="254"/>
        <v/>
      </c>
      <c r="Z525" s="368" t="str">
        <f t="shared" ca="1" si="255"/>
        <v/>
      </c>
      <c r="AA525" s="369" t="str">
        <f t="shared" ca="1" si="256"/>
        <v/>
      </c>
      <c r="AB525" s="344"/>
      <c r="AC525" s="363" t="e">
        <f t="shared" ca="1" si="257"/>
        <v>#N/A</v>
      </c>
      <c r="AD525" s="376" t="e">
        <f t="shared" ca="1" si="258"/>
        <v>#N/A</v>
      </c>
      <c r="AE525" s="377">
        <f t="shared" ca="1" si="237"/>
        <v>1296.8732589527635</v>
      </c>
      <c r="AF525" s="344"/>
      <c r="AG525" s="359">
        <f t="shared" ca="1" si="259"/>
        <v>-20.431106347247223</v>
      </c>
      <c r="AH525" s="357">
        <f t="shared" ca="1" si="260"/>
        <v>-10.971172105186785</v>
      </c>
    </row>
    <row r="526" spans="1:34" x14ac:dyDescent="0.25">
      <c r="A526" s="402">
        <f t="shared" ca="1" si="238"/>
        <v>0.1</v>
      </c>
      <c r="B526" s="357">
        <f t="shared" ca="1" si="239"/>
        <v>7.19999999999993</v>
      </c>
      <c r="C526" s="342"/>
      <c r="D526" s="359">
        <f t="shared" ca="1" si="240"/>
        <v>-2.8554822632659653</v>
      </c>
      <c r="E526" s="360">
        <f t="shared" ca="1" si="241"/>
        <v>-20.159632625547093</v>
      </c>
      <c r="F526" s="357">
        <f t="shared" ca="1" si="242"/>
        <v>20.360858688985818</v>
      </c>
      <c r="G526" s="359">
        <f t="shared" ca="1" si="243"/>
        <v>54.824334740662145</v>
      </c>
      <c r="H526" s="360">
        <f t="shared" ca="1" si="244"/>
        <v>197.72859480479954</v>
      </c>
      <c r="I526" s="357">
        <f t="shared" ca="1" si="245"/>
        <v>205.18846186673554</v>
      </c>
      <c r="J526" s="359">
        <f t="shared" ca="1" si="246"/>
        <v>320.78276112451243</v>
      </c>
      <c r="K526" s="360">
        <f t="shared" ca="1" si="247"/>
        <v>1316.7469165963712</v>
      </c>
      <c r="L526" s="357">
        <f t="shared" ca="1" si="232"/>
        <v>1355.2579172248791</v>
      </c>
      <c r="M526" s="359">
        <f t="shared" ca="1" si="248"/>
        <v>1.300320344511473</v>
      </c>
      <c r="N526" s="357">
        <f t="shared" ca="1" si="249"/>
        <v>74.50286775550461</v>
      </c>
      <c r="O526" s="343"/>
      <c r="P526" s="363">
        <f t="shared" ca="1" si="250"/>
        <v>23</v>
      </c>
      <c r="Q526" s="357">
        <f t="shared" ca="1" si="251"/>
        <v>0</v>
      </c>
      <c r="R526" s="359">
        <f t="shared" ca="1" si="252"/>
        <v>0</v>
      </c>
      <c r="S526" s="360">
        <f t="shared" ca="1" si="253"/>
        <v>9.7379999999999765</v>
      </c>
      <c r="T526" s="357">
        <f t="shared" ca="1" si="233"/>
        <v>95.529779999999775</v>
      </c>
      <c r="U526" s="364">
        <f t="shared" ca="1" si="234"/>
        <v>0</v>
      </c>
      <c r="V526" s="359">
        <f t="shared" ca="1" si="235"/>
        <v>1.0736621829173454</v>
      </c>
      <c r="W526" s="357">
        <f t="shared" ca="1" si="236"/>
        <v>102.31826003206464</v>
      </c>
      <c r="X526" s="343"/>
      <c r="Y526" s="367" t="str">
        <f t="shared" ca="1" si="254"/>
        <v/>
      </c>
      <c r="Z526" s="368" t="str">
        <f t="shared" ca="1" si="255"/>
        <v/>
      </c>
      <c r="AA526" s="369" t="str">
        <f t="shared" ca="1" si="256"/>
        <v/>
      </c>
      <c r="AB526" s="344"/>
      <c r="AC526" s="363" t="e">
        <f t="shared" ca="1" si="257"/>
        <v>#N/A</v>
      </c>
      <c r="AD526" s="376" t="e">
        <f t="shared" ca="1" si="258"/>
        <v>#N/A</v>
      </c>
      <c r="AE526" s="377">
        <f t="shared" ca="1" si="237"/>
        <v>1316.7469165963712</v>
      </c>
      <c r="AF526" s="344"/>
      <c r="AG526" s="359">
        <f t="shared" ca="1" si="259"/>
        <v>-20.192996258804399</v>
      </c>
      <c r="AH526" s="357">
        <f t="shared" ca="1" si="260"/>
        <v>-10.736324996925871</v>
      </c>
    </row>
    <row r="527" spans="1:34" x14ac:dyDescent="0.25">
      <c r="A527" s="402">
        <f t="shared" ca="1" si="238"/>
        <v>0.1</v>
      </c>
      <c r="B527" s="357">
        <f t="shared" ca="1" si="239"/>
        <v>7.2999999999999297</v>
      </c>
      <c r="C527" s="342"/>
      <c r="D527" s="359">
        <f t="shared" ca="1" si="240"/>
        <v>-2.8073968643850442</v>
      </c>
      <c r="E527" s="360">
        <f t="shared" ca="1" si="241"/>
        <v>-19.935113960435281</v>
      </c>
      <c r="F527" s="357">
        <f t="shared" ca="1" si="242"/>
        <v>20.131821720095292</v>
      </c>
      <c r="G527" s="359">
        <f t="shared" ca="1" si="243"/>
        <v>54.543595054223644</v>
      </c>
      <c r="H527" s="360">
        <f t="shared" ca="1" si="244"/>
        <v>195.73508340875603</v>
      </c>
      <c r="I527" s="357">
        <f t="shared" ca="1" si="245"/>
        <v>203.19258509717281</v>
      </c>
      <c r="J527" s="359">
        <f t="shared" ca="1" si="246"/>
        <v>326.25115761425673</v>
      </c>
      <c r="K527" s="360">
        <f t="shared" ca="1" si="247"/>
        <v>1336.420100507049</v>
      </c>
      <c r="L527" s="357">
        <f t="shared" ca="1" si="232"/>
        <v>1375.6665667537006</v>
      </c>
      <c r="M527" s="359">
        <f t="shared" ca="1" si="248"/>
        <v>1.2990303682844606</v>
      </c>
      <c r="N527" s="357">
        <f t="shared" ca="1" si="249"/>
        <v>74.428957562024578</v>
      </c>
      <c r="O527" s="343"/>
      <c r="P527" s="363">
        <f t="shared" ca="1" si="250"/>
        <v>23</v>
      </c>
      <c r="Q527" s="357">
        <f t="shared" ca="1" si="251"/>
        <v>0</v>
      </c>
      <c r="R527" s="359">
        <f t="shared" ca="1" si="252"/>
        <v>0</v>
      </c>
      <c r="S527" s="360">
        <f t="shared" ca="1" si="253"/>
        <v>9.7379999999999765</v>
      </c>
      <c r="T527" s="357">
        <f t="shared" ca="1" si="233"/>
        <v>95.529779999999775</v>
      </c>
      <c r="U527" s="364">
        <f t="shared" ca="1" si="234"/>
        <v>0</v>
      </c>
      <c r="V527" s="359">
        <f t="shared" ca="1" si="235"/>
        <v>1.0715427081572855</v>
      </c>
      <c r="W527" s="357">
        <f t="shared" ca="1" si="236"/>
        <v>100.13936067685093</v>
      </c>
      <c r="X527" s="343"/>
      <c r="Y527" s="367" t="str">
        <f t="shared" ca="1" si="254"/>
        <v/>
      </c>
      <c r="Z527" s="368" t="str">
        <f t="shared" ca="1" si="255"/>
        <v/>
      </c>
      <c r="AA527" s="369" t="str">
        <f t="shared" ca="1" si="256"/>
        <v/>
      </c>
      <c r="AB527" s="344"/>
      <c r="AC527" s="363" t="e">
        <f t="shared" ca="1" si="257"/>
        <v>#N/A</v>
      </c>
      <c r="AD527" s="376" t="e">
        <f t="shared" ca="1" si="258"/>
        <v>#N/A</v>
      </c>
      <c r="AE527" s="377">
        <f t="shared" ca="1" si="237"/>
        <v>1336.420100507049</v>
      </c>
      <c r="AF527" s="344"/>
      <c r="AG527" s="359">
        <f t="shared" ca="1" si="259"/>
        <v>-19.960458296984367</v>
      </c>
      <c r="AH527" s="357">
        <f t="shared" ca="1" si="260"/>
        <v>-10.507112346689761</v>
      </c>
    </row>
    <row r="528" spans="1:34" x14ac:dyDescent="0.25">
      <c r="A528" s="402">
        <f t="shared" ca="1" si="238"/>
        <v>0.1</v>
      </c>
      <c r="B528" s="357">
        <f t="shared" ca="1" si="239"/>
        <v>7.3999999999999293</v>
      </c>
      <c r="C528" s="342"/>
      <c r="D528" s="359">
        <f t="shared" ca="1" si="240"/>
        <v>-2.7603931952144705</v>
      </c>
      <c r="E528" s="360">
        <f t="shared" ca="1" si="241"/>
        <v>-19.715943892571261</v>
      </c>
      <c r="F528" s="357">
        <f t="shared" ca="1" si="242"/>
        <v>19.90824487912494</v>
      </c>
      <c r="G528" s="359">
        <f t="shared" ca="1" si="243"/>
        <v>54.267555734702199</v>
      </c>
      <c r="H528" s="360">
        <f t="shared" ca="1" si="244"/>
        <v>193.76348901949891</v>
      </c>
      <c r="I528" s="357">
        <f t="shared" ca="1" si="245"/>
        <v>201.21942570842529</v>
      </c>
      <c r="J528" s="359">
        <f t="shared" ca="1" si="246"/>
        <v>331.691715153703</v>
      </c>
      <c r="K528" s="360">
        <f t="shared" ca="1" si="247"/>
        <v>1355.8950291284618</v>
      </c>
      <c r="L528" s="357">
        <f t="shared" ca="1" si="232"/>
        <v>1395.8763283030762</v>
      </c>
      <c r="M528" s="359">
        <f t="shared" ca="1" si="248"/>
        <v>1.2977216832678038</v>
      </c>
      <c r="N528" s="357">
        <f t="shared" ca="1" si="249"/>
        <v>74.353975433858139</v>
      </c>
      <c r="O528" s="343"/>
      <c r="P528" s="363">
        <f t="shared" ca="1" si="250"/>
        <v>23</v>
      </c>
      <c r="Q528" s="357">
        <f t="shared" ca="1" si="251"/>
        <v>0</v>
      </c>
      <c r="R528" s="359">
        <f t="shared" ca="1" si="252"/>
        <v>0</v>
      </c>
      <c r="S528" s="360">
        <f t="shared" ca="1" si="253"/>
        <v>9.7379999999999765</v>
      </c>
      <c r="T528" s="357">
        <f t="shared" ca="1" si="233"/>
        <v>95.529779999999775</v>
      </c>
      <c r="U528" s="364">
        <f t="shared" ca="1" si="234"/>
        <v>0</v>
      </c>
      <c r="V528" s="359">
        <f t="shared" ca="1" si="235"/>
        <v>1.0694484383897862</v>
      </c>
      <c r="W528" s="357">
        <f t="shared" ca="1" si="236"/>
        <v>98.012006205088227</v>
      </c>
      <c r="X528" s="343"/>
      <c r="Y528" s="367" t="str">
        <f t="shared" ca="1" si="254"/>
        <v/>
      </c>
      <c r="Z528" s="368" t="str">
        <f t="shared" ca="1" si="255"/>
        <v/>
      </c>
      <c r="AA528" s="369" t="str">
        <f t="shared" ca="1" si="256"/>
        <v/>
      </c>
      <c r="AB528" s="344"/>
      <c r="AC528" s="363" t="e">
        <f t="shared" ca="1" si="257"/>
        <v>#N/A</v>
      </c>
      <c r="AD528" s="376" t="e">
        <f t="shared" ca="1" si="258"/>
        <v>#N/A</v>
      </c>
      <c r="AE528" s="377">
        <f t="shared" ca="1" si="237"/>
        <v>1355.8950291284618</v>
      </c>
      <c r="AF528" s="344"/>
      <c r="AG528" s="359">
        <f t="shared" ca="1" si="259"/>
        <v>-19.73331698598874</v>
      </c>
      <c r="AH528" s="357">
        <f t="shared" ca="1" si="260"/>
        <v>-10.283360102367135</v>
      </c>
    </row>
    <row r="529" spans="1:34" x14ac:dyDescent="0.25">
      <c r="A529" s="402">
        <f t="shared" ca="1" si="238"/>
        <v>0.1</v>
      </c>
      <c r="B529" s="357">
        <f t="shared" ca="1" si="239"/>
        <v>7.4999999999999289</v>
      </c>
      <c r="C529" s="342"/>
      <c r="D529" s="359">
        <f t="shared" ca="1" si="240"/>
        <v>-2.7144376123090717</v>
      </c>
      <c r="E529" s="360">
        <f t="shared" ca="1" si="241"/>
        <v>-19.501958581256517</v>
      </c>
      <c r="F529" s="357">
        <f t="shared" ca="1" si="242"/>
        <v>19.689960895242095</v>
      </c>
      <c r="G529" s="359">
        <f t="shared" ca="1" si="243"/>
        <v>53.996111973471294</v>
      </c>
      <c r="H529" s="360">
        <f t="shared" ca="1" si="244"/>
        <v>191.81329316137325</v>
      </c>
      <c r="I529" s="357">
        <f t="shared" ca="1" si="245"/>
        <v>199.26846098081495</v>
      </c>
      <c r="J529" s="359">
        <f t="shared" ca="1" si="246"/>
        <v>337.10489853911167</v>
      </c>
      <c r="K529" s="360">
        <f t="shared" ca="1" si="247"/>
        <v>1375.1738682375055</v>
      </c>
      <c r="L529" s="357">
        <f t="shared" ca="1" si="232"/>
        <v>1415.889430888715</v>
      </c>
      <c r="M529" s="359">
        <f t="shared" ca="1" si="248"/>
        <v>1.2963939803057176</v>
      </c>
      <c r="N529" s="357">
        <f t="shared" ca="1" si="249"/>
        <v>74.277903657683581</v>
      </c>
      <c r="O529" s="343"/>
      <c r="P529" s="363">
        <f t="shared" ca="1" si="250"/>
        <v>23</v>
      </c>
      <c r="Q529" s="357">
        <f t="shared" ca="1" si="251"/>
        <v>0</v>
      </c>
      <c r="R529" s="359">
        <f t="shared" ca="1" si="252"/>
        <v>0</v>
      </c>
      <c r="S529" s="360">
        <f t="shared" ca="1" si="253"/>
        <v>9.7379999999999765</v>
      </c>
      <c r="T529" s="357">
        <f t="shared" ca="1" si="233"/>
        <v>95.529779999999775</v>
      </c>
      <c r="U529" s="364">
        <f t="shared" ca="1" si="234"/>
        <v>0</v>
      </c>
      <c r="V529" s="359">
        <f t="shared" ca="1" si="235"/>
        <v>1.0673790141801687</v>
      </c>
      <c r="W529" s="357">
        <f t="shared" ca="1" si="236"/>
        <v>95.934631331489854</v>
      </c>
      <c r="X529" s="343"/>
      <c r="Y529" s="367" t="str">
        <f t="shared" ca="1" si="254"/>
        <v/>
      </c>
      <c r="Z529" s="368" t="str">
        <f t="shared" ca="1" si="255"/>
        <v/>
      </c>
      <c r="AA529" s="369" t="str">
        <f t="shared" ca="1" si="256"/>
        <v/>
      </c>
      <c r="AB529" s="344"/>
      <c r="AC529" s="363" t="e">
        <f t="shared" ca="1" si="257"/>
        <v>#N/A</v>
      </c>
      <c r="AD529" s="376" t="e">
        <f t="shared" ca="1" si="258"/>
        <v>#N/A</v>
      </c>
      <c r="AE529" s="377">
        <f t="shared" ca="1" si="237"/>
        <v>1375.1738682375055</v>
      </c>
      <c r="AF529" s="344"/>
      <c r="AG529" s="359">
        <f t="shared" ca="1" si="259"/>
        <v>-19.511403623233704</v>
      </c>
      <c r="AH529" s="357">
        <f t="shared" ca="1" si="260"/>
        <v>-10.064901027427446</v>
      </c>
    </row>
    <row r="530" spans="1:34" x14ac:dyDescent="0.25">
      <c r="A530" s="402">
        <f t="shared" ca="1" si="238"/>
        <v>0.1</v>
      </c>
      <c r="B530" s="357">
        <f t="shared" ca="1" si="239"/>
        <v>7.5999999999999286</v>
      </c>
      <c r="C530" s="342"/>
      <c r="D530" s="359">
        <f t="shared" ca="1" si="240"/>
        <v>-2.6694977761398277</v>
      </c>
      <c r="E530" s="360">
        <f t="shared" ca="1" si="241"/>
        <v>-19.293000549741706</v>
      </c>
      <c r="F530" s="357">
        <f t="shared" ca="1" si="242"/>
        <v>19.47680899401001</v>
      </c>
      <c r="G530" s="359">
        <f t="shared" ca="1" si="243"/>
        <v>53.729162195857313</v>
      </c>
      <c r="H530" s="360">
        <f t="shared" ca="1" si="244"/>
        <v>189.88399310639909</v>
      </c>
      <c r="I530" s="357">
        <f t="shared" ca="1" si="245"/>
        <v>197.33918442189773</v>
      </c>
      <c r="J530" s="359">
        <f t="shared" ca="1" si="246"/>
        <v>342.49116224757813</v>
      </c>
      <c r="K530" s="360">
        <f t="shared" ca="1" si="247"/>
        <v>1394.2587325508941</v>
      </c>
      <c r="L530" s="357">
        <f t="shared" ca="1" si="232"/>
        <v>1435.7080516289245</v>
      </c>
      <c r="M530" s="359">
        <f t="shared" ca="1" si="248"/>
        <v>1.2950469426622735</v>
      </c>
      <c r="N530" s="357">
        <f t="shared" ca="1" si="249"/>
        <v>74.200724085868984</v>
      </c>
      <c r="O530" s="343"/>
      <c r="P530" s="363">
        <f t="shared" ca="1" si="250"/>
        <v>23</v>
      </c>
      <c r="Q530" s="357">
        <f t="shared" ca="1" si="251"/>
        <v>0</v>
      </c>
      <c r="R530" s="359">
        <f t="shared" ca="1" si="252"/>
        <v>0</v>
      </c>
      <c r="S530" s="360">
        <f t="shared" ca="1" si="253"/>
        <v>9.7379999999999765</v>
      </c>
      <c r="T530" s="357">
        <f t="shared" ca="1" si="233"/>
        <v>95.529779999999775</v>
      </c>
      <c r="U530" s="364">
        <f t="shared" ca="1" si="234"/>
        <v>0</v>
      </c>
      <c r="V530" s="359">
        <f t="shared" ca="1" si="235"/>
        <v>1.0653340850715047</v>
      </c>
      <c r="W530" s="357">
        <f t="shared" ca="1" si="236"/>
        <v>93.905731098011941</v>
      </c>
      <c r="X530" s="343"/>
      <c r="Y530" s="367" t="str">
        <f t="shared" ca="1" si="254"/>
        <v/>
      </c>
      <c r="Z530" s="368" t="str">
        <f t="shared" ca="1" si="255"/>
        <v/>
      </c>
      <c r="AA530" s="369" t="str">
        <f t="shared" ca="1" si="256"/>
        <v/>
      </c>
      <c r="AB530" s="344"/>
      <c r="AC530" s="363" t="e">
        <f t="shared" ca="1" si="257"/>
        <v>#N/A</v>
      </c>
      <c r="AD530" s="376" t="e">
        <f t="shared" ca="1" si="258"/>
        <v>#N/A</v>
      </c>
      <c r="AE530" s="377">
        <f t="shared" ca="1" si="237"/>
        <v>1394.2587325508941</v>
      </c>
      <c r="AF530" s="344"/>
      <c r="AG530" s="359">
        <f t="shared" ca="1" si="259"/>
        <v>-19.294555958926619</v>
      </c>
      <c r="AH530" s="357">
        <f t="shared" ca="1" si="260"/>
        <v>-9.8515743819562633</v>
      </c>
    </row>
    <row r="531" spans="1:34" x14ac:dyDescent="0.25">
      <c r="A531" s="402">
        <f t="shared" ca="1" si="238"/>
        <v>0.1</v>
      </c>
      <c r="B531" s="357">
        <f t="shared" ca="1" si="239"/>
        <v>7.6999999999999282</v>
      </c>
      <c r="C531" s="342"/>
      <c r="D531" s="359">
        <f t="shared" ca="1" si="240"/>
        <v>-2.6255425905591347</v>
      </c>
      <c r="E531" s="360">
        <f t="shared" ca="1" si="241"/>
        <v>-19.088918389773955</v>
      </c>
      <c r="F531" s="357">
        <f t="shared" ca="1" si="242"/>
        <v>19.268634595795579</v>
      </c>
      <c r="G531" s="359">
        <f t="shared" ca="1" si="243"/>
        <v>53.466607936801402</v>
      </c>
      <c r="H531" s="360">
        <f t="shared" ca="1" si="244"/>
        <v>187.97510126742171</v>
      </c>
      <c r="I531" s="357">
        <f t="shared" ca="1" si="245"/>
        <v>195.43110515157275</v>
      </c>
      <c r="J531" s="359">
        <f t="shared" ca="1" si="246"/>
        <v>347.85095075421106</v>
      </c>
      <c r="K531" s="360">
        <f t="shared" ca="1" si="247"/>
        <v>1413.1516872695852</v>
      </c>
      <c r="L531" s="357">
        <f t="shared" ca="1" si="232"/>
        <v>1455.3343173214475</v>
      </c>
      <c r="M531" s="359">
        <f t="shared" ca="1" si="248"/>
        <v>1.2936802458096608</v>
      </c>
      <c r="N531" s="357">
        <f t="shared" ca="1" si="249"/>
        <v>74.12241812434047</v>
      </c>
      <c r="O531" s="343"/>
      <c r="P531" s="363">
        <f t="shared" ca="1" si="250"/>
        <v>23</v>
      </c>
      <c r="Q531" s="357">
        <f t="shared" ca="1" si="251"/>
        <v>0</v>
      </c>
      <c r="R531" s="359">
        <f t="shared" ca="1" si="252"/>
        <v>0</v>
      </c>
      <c r="S531" s="360">
        <f t="shared" ca="1" si="253"/>
        <v>9.7379999999999765</v>
      </c>
      <c r="T531" s="357">
        <f t="shared" ca="1" si="233"/>
        <v>95.529779999999775</v>
      </c>
      <c r="U531" s="364">
        <f t="shared" ca="1" si="234"/>
        <v>0</v>
      </c>
      <c r="V531" s="359">
        <f t="shared" ca="1" si="235"/>
        <v>1.0633133092981906</v>
      </c>
      <c r="W531" s="357">
        <f t="shared" ca="1" si="236"/>
        <v>91.923858095823093</v>
      </c>
      <c r="X531" s="343"/>
      <c r="Y531" s="367" t="str">
        <f t="shared" ca="1" si="254"/>
        <v/>
      </c>
      <c r="Z531" s="368" t="str">
        <f t="shared" ca="1" si="255"/>
        <v/>
      </c>
      <c r="AA531" s="369" t="str">
        <f t="shared" ca="1" si="256"/>
        <v/>
      </c>
      <c r="AB531" s="344"/>
      <c r="AC531" s="363" t="e">
        <f t="shared" ca="1" si="257"/>
        <v>#N/A</v>
      </c>
      <c r="AD531" s="376" t="e">
        <f t="shared" ca="1" si="258"/>
        <v>#N/A</v>
      </c>
      <c r="AE531" s="377">
        <f t="shared" ca="1" si="237"/>
        <v>1413.1516872695852</v>
      </c>
      <c r="AF531" s="344"/>
      <c r="AG531" s="359">
        <f t="shared" ca="1" si="259"/>
        <v>-19.082617892966574</v>
      </c>
      <c r="AH531" s="357">
        <f t="shared" ca="1" si="260"/>
        <v>-9.6432256210733378</v>
      </c>
    </row>
    <row r="532" spans="1:34" x14ac:dyDescent="0.25">
      <c r="A532" s="402">
        <f t="shared" ca="1" si="238"/>
        <v>0.1</v>
      </c>
      <c r="B532" s="357">
        <f t="shared" ca="1" si="239"/>
        <v>7.7999999999999279</v>
      </c>
      <c r="C532" s="342"/>
      <c r="D532" s="359">
        <f t="shared" ca="1" si="240"/>
        <v>-2.5825421455408843</v>
      </c>
      <c r="E532" s="360">
        <f t="shared" ca="1" si="241"/>
        <v>-18.889566482116244</v>
      </c>
      <c r="F532" s="357">
        <f t="shared" ca="1" si="242"/>
        <v>19.065289030481136</v>
      </c>
      <c r="G532" s="359">
        <f t="shared" ca="1" si="243"/>
        <v>53.208353722247317</v>
      </c>
      <c r="H532" s="360">
        <f t="shared" ca="1" si="244"/>
        <v>186.08614461921007</v>
      </c>
      <c r="I532" s="357">
        <f t="shared" ca="1" si="245"/>
        <v>193.54374731588038</v>
      </c>
      <c r="J532" s="359">
        <f t="shared" ca="1" si="246"/>
        <v>353.18469883716347</v>
      </c>
      <c r="K532" s="360">
        <f t="shared" ca="1" si="247"/>
        <v>1431.8547495639168</v>
      </c>
      <c r="L532" s="357">
        <f t="shared" ca="1" si="232"/>
        <v>1474.7703059600315</v>
      </c>
      <c r="M532" s="359">
        <f t="shared" ca="1" si="248"/>
        <v>1.2922935572091749</v>
      </c>
      <c r="N532" s="357">
        <f t="shared" ca="1" si="249"/>
        <v>74.042966720033718</v>
      </c>
      <c r="O532" s="343"/>
      <c r="P532" s="363">
        <f t="shared" ca="1" si="250"/>
        <v>23</v>
      </c>
      <c r="Q532" s="357">
        <f t="shared" ca="1" si="251"/>
        <v>0</v>
      </c>
      <c r="R532" s="359">
        <f t="shared" ca="1" si="252"/>
        <v>0</v>
      </c>
      <c r="S532" s="360">
        <f t="shared" ca="1" si="253"/>
        <v>9.7379999999999765</v>
      </c>
      <c r="T532" s="357">
        <f t="shared" ca="1" si="233"/>
        <v>95.529779999999775</v>
      </c>
      <c r="U532" s="364">
        <f t="shared" ca="1" si="234"/>
        <v>0</v>
      </c>
      <c r="V532" s="359">
        <f t="shared" ca="1" si="235"/>
        <v>1.0613163535109824</v>
      </c>
      <c r="W532" s="357">
        <f t="shared" ca="1" si="236"/>
        <v>89.987619836281368</v>
      </c>
      <c r="X532" s="343"/>
      <c r="Y532" s="367" t="str">
        <f t="shared" ca="1" si="254"/>
        <v/>
      </c>
      <c r="Z532" s="368" t="str">
        <f t="shared" ca="1" si="255"/>
        <v/>
      </c>
      <c r="AA532" s="369" t="str">
        <f t="shared" ca="1" si="256"/>
        <v/>
      </c>
      <c r="AB532" s="344"/>
      <c r="AC532" s="363" t="e">
        <f t="shared" ca="1" si="257"/>
        <v>#N/A</v>
      </c>
      <c r="AD532" s="376" t="e">
        <f t="shared" ca="1" si="258"/>
        <v>#N/A</v>
      </c>
      <c r="AE532" s="377">
        <f t="shared" ca="1" si="237"/>
        <v>1431.8547495639168</v>
      </c>
      <c r="AF532" s="344"/>
      <c r="AG532" s="359">
        <f t="shared" ca="1" si="259"/>
        <v>-18.875439188088272</v>
      </c>
      <c r="AH532" s="357">
        <f t="shared" ca="1" si="260"/>
        <v>-9.439706109655301</v>
      </c>
    </row>
    <row r="533" spans="1:34" x14ac:dyDescent="0.25">
      <c r="A533" s="402">
        <f t="shared" ca="1" si="238"/>
        <v>0.1</v>
      </c>
      <c r="B533" s="357">
        <f t="shared" ca="1" si="239"/>
        <v>7.8999999999999275</v>
      </c>
      <c r="C533" s="342"/>
      <c r="D533" s="359">
        <f t="shared" ca="1" si="240"/>
        <v>-2.5404676629940366</v>
      </c>
      <c r="E533" s="360">
        <f t="shared" ca="1" si="241"/>
        <v>-18.694804732056042</v>
      </c>
      <c r="F533" s="357">
        <f t="shared" ca="1" si="242"/>
        <v>18.866629267477098</v>
      </c>
      <c r="G533" s="359">
        <f t="shared" ca="1" si="243"/>
        <v>52.954306955947914</v>
      </c>
      <c r="H533" s="360">
        <f t="shared" ca="1" si="244"/>
        <v>184.21666414600446</v>
      </c>
      <c r="I533" s="357">
        <f t="shared" ca="1" si="245"/>
        <v>191.67664952796562</v>
      </c>
      <c r="J533" s="359">
        <f t="shared" ca="1" si="246"/>
        <v>358.49283187107324</v>
      </c>
      <c r="K533" s="360">
        <f t="shared" ca="1" si="247"/>
        <v>1450.3698900021775</v>
      </c>
      <c r="L533" s="357">
        <f t="shared" ca="1" si="232"/>
        <v>1494.0180481934849</v>
      </c>
      <c r="M533" s="359">
        <f t="shared" ca="1" si="248"/>
        <v>1.2908865360846613</v>
      </c>
      <c r="N533" s="357">
        <f t="shared" ca="1" si="249"/>
        <v>73.962350347913343</v>
      </c>
      <c r="O533" s="343"/>
      <c r="P533" s="363">
        <f t="shared" ca="1" si="250"/>
        <v>23</v>
      </c>
      <c r="Q533" s="357">
        <f t="shared" ca="1" si="251"/>
        <v>0</v>
      </c>
      <c r="R533" s="359">
        <f t="shared" ca="1" si="252"/>
        <v>0</v>
      </c>
      <c r="S533" s="360">
        <f t="shared" ca="1" si="253"/>
        <v>9.7379999999999765</v>
      </c>
      <c r="T533" s="357">
        <f t="shared" ca="1" si="233"/>
        <v>95.529779999999775</v>
      </c>
      <c r="U533" s="364">
        <f t="shared" ca="1" si="234"/>
        <v>0</v>
      </c>
      <c r="V533" s="359">
        <f t="shared" ca="1" si="235"/>
        <v>1.0593428925129378</v>
      </c>
      <c r="W533" s="357">
        <f t="shared" ca="1" si="236"/>
        <v>88.095676261821168</v>
      </c>
      <c r="X533" s="343"/>
      <c r="Y533" s="367" t="str">
        <f t="shared" ca="1" si="254"/>
        <v/>
      </c>
      <c r="Z533" s="368" t="str">
        <f t="shared" ca="1" si="255"/>
        <v/>
      </c>
      <c r="AA533" s="369" t="str">
        <f t="shared" ca="1" si="256"/>
        <v/>
      </c>
      <c r="AB533" s="344"/>
      <c r="AC533" s="363" t="e">
        <f t="shared" ca="1" si="257"/>
        <v>#N/A</v>
      </c>
      <c r="AD533" s="376" t="e">
        <f t="shared" ca="1" si="258"/>
        <v>#N/A</v>
      </c>
      <c r="AE533" s="377">
        <f t="shared" ca="1" si="237"/>
        <v>1450.3698900021775</v>
      </c>
      <c r="AF533" s="344"/>
      <c r="AG533" s="359">
        <f t="shared" ca="1" si="259"/>
        <v>-18.672875198243403</v>
      </c>
      <c r="AH533" s="357">
        <f t="shared" ca="1" si="260"/>
        <v>-9.2408728523599901</v>
      </c>
    </row>
    <row r="534" spans="1:34" x14ac:dyDescent="0.25">
      <c r="A534" s="402">
        <f t="shared" ca="1" si="238"/>
        <v>0.1</v>
      </c>
      <c r="B534" s="357">
        <f t="shared" ca="1" si="239"/>
        <v>7.9999999999999272</v>
      </c>
      <c r="C534" s="342"/>
      <c r="D534" s="359">
        <f t="shared" ca="1" si="240"/>
        <v>-2.4992914454621165</v>
      </c>
      <c r="E534" s="360">
        <f t="shared" ca="1" si="241"/>
        <v>-18.504498318988244</v>
      </c>
      <c r="F534" s="357">
        <f t="shared" ca="1" si="242"/>
        <v>18.672517660101406</v>
      </c>
      <c r="G534" s="359">
        <f t="shared" ca="1" si="243"/>
        <v>52.704377811401699</v>
      </c>
      <c r="H534" s="360">
        <f t="shared" ca="1" si="244"/>
        <v>182.36621431410563</v>
      </c>
      <c r="I534" s="357">
        <f t="shared" ca="1" si="245"/>
        <v>189.82936433477639</v>
      </c>
      <c r="J534" s="359">
        <f t="shared" ca="1" si="246"/>
        <v>363.77576610944072</v>
      </c>
      <c r="K534" s="360">
        <f t="shared" ca="1" si="247"/>
        <v>1468.6990339251829</v>
      </c>
      <c r="L534" s="357">
        <f t="shared" ca="1" si="232"/>
        <v>1513.0795287298272</v>
      </c>
      <c r="M534" s="359">
        <f t="shared" ca="1" si="248"/>
        <v>1.2894588331881276</v>
      </c>
      <c r="N534" s="357">
        <f t="shared" ca="1" si="249"/>
        <v>73.880548997543357</v>
      </c>
      <c r="O534" s="343"/>
      <c r="P534" s="363">
        <f t="shared" ca="1" si="250"/>
        <v>23</v>
      </c>
      <c r="Q534" s="357">
        <f t="shared" ca="1" si="251"/>
        <v>0</v>
      </c>
      <c r="R534" s="359">
        <f t="shared" ca="1" si="252"/>
        <v>0</v>
      </c>
      <c r="S534" s="360">
        <f t="shared" ca="1" si="253"/>
        <v>9.7379999999999765</v>
      </c>
      <c r="T534" s="357">
        <f t="shared" ca="1" si="233"/>
        <v>95.529779999999775</v>
      </c>
      <c r="U534" s="364">
        <f t="shared" ca="1" si="234"/>
        <v>0</v>
      </c>
      <c r="V534" s="359">
        <f t="shared" ca="1" si="235"/>
        <v>1.057392609005763</v>
      </c>
      <c r="W534" s="357">
        <f t="shared" ca="1" si="236"/>
        <v>86.246737388277751</v>
      </c>
      <c r="X534" s="343"/>
      <c r="Y534" s="367" t="str">
        <f t="shared" ca="1" si="254"/>
        <v/>
      </c>
      <c r="Z534" s="368" t="str">
        <f t="shared" ca="1" si="255"/>
        <v/>
      </c>
      <c r="AA534" s="369" t="str">
        <f t="shared" ca="1" si="256"/>
        <v/>
      </c>
      <c r="AB534" s="344"/>
      <c r="AC534" s="363">
        <f t="shared" ca="1" si="257"/>
        <v>7.9999999999999272</v>
      </c>
      <c r="AD534" s="376">
        <f t="shared" ca="1" si="258"/>
        <v>363.77576610944072</v>
      </c>
      <c r="AE534" s="377">
        <f t="shared" ca="1" si="237"/>
        <v>1468.6990339251829</v>
      </c>
      <c r="AF534" s="344"/>
      <c r="AG534" s="359">
        <f t="shared" ca="1" si="259"/>
        <v>-18.474786611282447</v>
      </c>
      <c r="AH534" s="357">
        <f t="shared" ca="1" si="260"/>
        <v>-9.0465882380182148</v>
      </c>
    </row>
    <row r="535" spans="1:34" x14ac:dyDescent="0.25">
      <c r="A535" s="402">
        <f t="shared" ca="1" si="238"/>
        <v>0.1</v>
      </c>
      <c r="B535" s="357">
        <f t="shared" ca="1" si="239"/>
        <v>8.0999999999999268</v>
      </c>
      <c r="C535" s="342"/>
      <c r="D535" s="359">
        <f t="shared" ca="1" si="240"/>
        <v>-2.4589868275340008</v>
      </c>
      <c r="E535" s="360">
        <f t="shared" ca="1" si="241"/>
        <v>-18.318517459219805</v>
      </c>
      <c r="F535" s="357">
        <f t="shared" ca="1" si="242"/>
        <v>18.482821703455524</v>
      </c>
      <c r="G535" s="359">
        <f t="shared" ca="1" si="243"/>
        <v>52.4584791286483</v>
      </c>
      <c r="H535" s="360">
        <f t="shared" ca="1" si="244"/>
        <v>180.53436256818367</v>
      </c>
      <c r="I535" s="357">
        <f t="shared" ca="1" si="245"/>
        <v>188.0014577081551</v>
      </c>
      <c r="J535" s="359">
        <f t="shared" ca="1" si="246"/>
        <v>369.03390895644321</v>
      </c>
      <c r="K535" s="360">
        <f t="shared" ca="1" si="247"/>
        <v>1486.8440627692974</v>
      </c>
      <c r="L535" s="357">
        <f t="shared" ca="1" si="232"/>
        <v>1531.9566876879981</v>
      </c>
      <c r="M535" s="359">
        <f t="shared" ca="1" si="248"/>
        <v>1.2880100905572278</v>
      </c>
      <c r="N535" s="357">
        <f t="shared" ca="1" si="249"/>
        <v>73.797542159192119</v>
      </c>
      <c r="O535" s="343"/>
      <c r="P535" s="363">
        <f t="shared" ca="1" si="250"/>
        <v>23</v>
      </c>
      <c r="Q535" s="357">
        <f t="shared" ca="1" si="251"/>
        <v>0</v>
      </c>
      <c r="R535" s="359">
        <f t="shared" ca="1" si="252"/>
        <v>0</v>
      </c>
      <c r="S535" s="360">
        <f t="shared" ca="1" si="253"/>
        <v>9.7379999999999765</v>
      </c>
      <c r="T535" s="357">
        <f t="shared" ca="1" si="233"/>
        <v>95.529779999999775</v>
      </c>
      <c r="U535" s="364">
        <f t="shared" ca="1" si="234"/>
        <v>0</v>
      </c>
      <c r="V535" s="359">
        <f t="shared" ca="1" si="235"/>
        <v>1.0554651933460679</v>
      </c>
      <c r="W535" s="357">
        <f t="shared" ca="1" si="236"/>
        <v>84.439561070749392</v>
      </c>
      <c r="X535" s="343"/>
      <c r="Y535" s="367" t="str">
        <f t="shared" ca="1" si="254"/>
        <v/>
      </c>
      <c r="Z535" s="368" t="str">
        <f t="shared" ca="1" si="255"/>
        <v/>
      </c>
      <c r="AA535" s="369" t="str">
        <f t="shared" ca="1" si="256"/>
        <v/>
      </c>
      <c r="AB535" s="344"/>
      <c r="AC535" s="363" t="e">
        <f t="shared" ca="1" si="257"/>
        <v>#N/A</v>
      </c>
      <c r="AD535" s="376" t="e">
        <f t="shared" ca="1" si="258"/>
        <v>#N/A</v>
      </c>
      <c r="AE535" s="377">
        <f t="shared" ca="1" si="237"/>
        <v>1486.8440627692974</v>
      </c>
      <c r="AF535" s="344"/>
      <c r="AG535" s="359">
        <f t="shared" ca="1" si="259"/>
        <v>-18.281039205063749</v>
      </c>
      <c r="AH535" s="357">
        <f t="shared" ca="1" si="260"/>
        <v>-8.8567197975228957</v>
      </c>
    </row>
    <row r="536" spans="1:34" x14ac:dyDescent="0.25">
      <c r="A536" s="402">
        <f t="shared" ca="1" si="238"/>
        <v>0.1</v>
      </c>
      <c r="B536" s="357">
        <f t="shared" ca="1" si="239"/>
        <v>8.1999999999999265</v>
      </c>
      <c r="C536" s="342"/>
      <c r="D536" s="359">
        <f t="shared" ca="1" si="240"/>
        <v>-2.419528129803151</v>
      </c>
      <c r="E536" s="360">
        <f t="shared" ca="1" si="241"/>
        <v>-18.136737181201553</v>
      </c>
      <c r="F536" s="357">
        <f t="shared" ca="1" si="242"/>
        <v>18.297413804985872</v>
      </c>
      <c r="G536" s="359">
        <f t="shared" ca="1" si="243"/>
        <v>52.216526315667984</v>
      </c>
      <c r="H536" s="360">
        <f t="shared" ca="1" si="244"/>
        <v>178.72068885006351</v>
      </c>
      <c r="I536" s="357">
        <f t="shared" ca="1" si="245"/>
        <v>186.19250855906117</v>
      </c>
      <c r="J536" s="359">
        <f t="shared" ca="1" si="246"/>
        <v>374.267659228659</v>
      </c>
      <c r="K536" s="360">
        <f t="shared" ca="1" si="247"/>
        <v>1504.8068153402096</v>
      </c>
      <c r="L536" s="357">
        <f t="shared" ca="1" si="232"/>
        <v>1550.6514218994685</v>
      </c>
      <c r="M536" s="359">
        <f t="shared" ca="1" si="248"/>
        <v>1.2865399412643086</v>
      </c>
      <c r="N536" s="357">
        <f t="shared" ca="1" si="249"/>
        <v>73.713308809453707</v>
      </c>
      <c r="O536" s="343"/>
      <c r="P536" s="363">
        <f t="shared" ca="1" si="250"/>
        <v>23</v>
      </c>
      <c r="Q536" s="357">
        <f t="shared" ca="1" si="251"/>
        <v>0</v>
      </c>
      <c r="R536" s="359">
        <f t="shared" ca="1" si="252"/>
        <v>0</v>
      </c>
      <c r="S536" s="360">
        <f t="shared" ca="1" si="253"/>
        <v>9.7379999999999765</v>
      </c>
      <c r="T536" s="357">
        <f t="shared" ca="1" si="233"/>
        <v>95.529779999999775</v>
      </c>
      <c r="U536" s="364">
        <f t="shared" ca="1" si="234"/>
        <v>0</v>
      </c>
      <c r="V536" s="359">
        <f t="shared" ca="1" si="235"/>
        <v>1.0535603433110783</v>
      </c>
      <c r="W536" s="357">
        <f t="shared" ca="1" si="236"/>
        <v>82.672950885629888</v>
      </c>
      <c r="X536" s="343"/>
      <c r="Y536" s="367" t="str">
        <f t="shared" ca="1" si="254"/>
        <v/>
      </c>
      <c r="Z536" s="368" t="str">
        <f t="shared" ca="1" si="255"/>
        <v/>
      </c>
      <c r="AA536" s="369" t="str">
        <f t="shared" ca="1" si="256"/>
        <v/>
      </c>
      <c r="AB536" s="344"/>
      <c r="AC536" s="363" t="e">
        <f t="shared" ca="1" si="257"/>
        <v>#N/A</v>
      </c>
      <c r="AD536" s="376" t="e">
        <f t="shared" ca="1" si="258"/>
        <v>#N/A</v>
      </c>
      <c r="AE536" s="377">
        <f t="shared" ca="1" si="237"/>
        <v>1504.8068153402096</v>
      </c>
      <c r="AF536" s="344"/>
      <c r="AG536" s="359">
        <f t="shared" ca="1" si="259"/>
        <v>-18.091503616175508</v>
      </c>
      <c r="AH536" s="357">
        <f t="shared" ca="1" si="260"/>
        <v>-8.6711399744043529</v>
      </c>
    </row>
    <row r="537" spans="1:34" x14ac:dyDescent="0.25">
      <c r="A537" s="402">
        <f t="shared" ca="1" si="238"/>
        <v>0.1</v>
      </c>
      <c r="B537" s="357">
        <f t="shared" ca="1" si="239"/>
        <v>8.2999999999999261</v>
      </c>
      <c r="C537" s="342"/>
      <c r="D537" s="359">
        <f t="shared" ca="1" si="240"/>
        <v>-2.3808906152234264</v>
      </c>
      <c r="E537" s="360">
        <f t="shared" ca="1" si="241"/>
        <v>-17.95903711244582</v>
      </c>
      <c r="F537" s="357">
        <f t="shared" ca="1" si="242"/>
        <v>18.116171066973983</v>
      </c>
      <c r="G537" s="359">
        <f t="shared" ca="1" si="243"/>
        <v>51.978437254145639</v>
      </c>
      <c r="H537" s="360">
        <f t="shared" ca="1" si="244"/>
        <v>176.92478513881892</v>
      </c>
      <c r="I537" s="357">
        <f t="shared" ca="1" si="245"/>
        <v>184.40210827374071</v>
      </c>
      <c r="J537" s="359">
        <f t="shared" ca="1" si="246"/>
        <v>379.47740740714966</v>
      </c>
      <c r="K537" s="360">
        <f t="shared" ca="1" si="247"/>
        <v>1522.5890890396538</v>
      </c>
      <c r="L537" s="357">
        <f t="shared" ca="1" si="232"/>
        <v>1569.1655861619749</v>
      </c>
      <c r="M537" s="359">
        <f t="shared" ca="1" si="248"/>
        <v>1.2850480091566923</v>
      </c>
      <c r="N537" s="357">
        <f t="shared" ca="1" si="249"/>
        <v>73.627827396367238</v>
      </c>
      <c r="O537" s="343"/>
      <c r="P537" s="363">
        <f t="shared" ca="1" si="250"/>
        <v>23</v>
      </c>
      <c r="Q537" s="357">
        <f t="shared" ca="1" si="251"/>
        <v>0</v>
      </c>
      <c r="R537" s="359">
        <f t="shared" ca="1" si="252"/>
        <v>0</v>
      </c>
      <c r="S537" s="360">
        <f t="shared" ca="1" si="253"/>
        <v>9.7379999999999765</v>
      </c>
      <c r="T537" s="357">
        <f t="shared" ca="1" si="233"/>
        <v>95.529779999999775</v>
      </c>
      <c r="U537" s="364">
        <f t="shared" ca="1" si="234"/>
        <v>0</v>
      </c>
      <c r="V537" s="359">
        <f t="shared" ca="1" si="235"/>
        <v>1.051677763873361</v>
      </c>
      <c r="W537" s="357">
        <f t="shared" ca="1" si="236"/>
        <v>80.945754121936233</v>
      </c>
      <c r="X537" s="343"/>
      <c r="Y537" s="367" t="str">
        <f t="shared" ca="1" si="254"/>
        <v/>
      </c>
      <c r="Z537" s="368" t="str">
        <f t="shared" ca="1" si="255"/>
        <v/>
      </c>
      <c r="AA537" s="369" t="str">
        <f t="shared" ca="1" si="256"/>
        <v/>
      </c>
      <c r="AB537" s="344"/>
      <c r="AC537" s="363" t="e">
        <f t="shared" ca="1" si="257"/>
        <v>#N/A</v>
      </c>
      <c r="AD537" s="376" t="e">
        <f t="shared" ca="1" si="258"/>
        <v>#N/A</v>
      </c>
      <c r="AE537" s="377">
        <f t="shared" ca="1" si="237"/>
        <v>1522.5890890396538</v>
      </c>
      <c r="AF537" s="344"/>
      <c r="AG537" s="359">
        <f t="shared" ca="1" si="259"/>
        <v>-17.906055120510722</v>
      </c>
      <c r="AH537" s="357">
        <f t="shared" ca="1" si="260"/>
        <v>-8.4897259073351901</v>
      </c>
    </row>
    <row r="538" spans="1:34" x14ac:dyDescent="0.25">
      <c r="A538" s="402">
        <f t="shared" ca="1" si="238"/>
        <v>0.1</v>
      </c>
      <c r="B538" s="357">
        <f t="shared" ca="1" si="239"/>
        <v>8.3999999999999257</v>
      </c>
      <c r="C538" s="342"/>
      <c r="D538" s="359">
        <f t="shared" ca="1" si="240"/>
        <v>-2.3430504477197847</v>
      </c>
      <c r="E538" s="360">
        <f t="shared" ca="1" si="241"/>
        <v>-17.785301277438339</v>
      </c>
      <c r="F538" s="357">
        <f t="shared" ca="1" si="242"/>
        <v>17.938975080249421</v>
      </c>
      <c r="G538" s="359">
        <f t="shared" ca="1" si="243"/>
        <v>51.74413220937366</v>
      </c>
      <c r="H538" s="360">
        <f t="shared" ca="1" si="244"/>
        <v>175.14625501107508</v>
      </c>
      <c r="I538" s="357">
        <f t="shared" ca="1" si="245"/>
        <v>182.62986027072816</v>
      </c>
      <c r="J538" s="359">
        <f t="shared" ca="1" si="246"/>
        <v>384.66353588032564</v>
      </c>
      <c r="K538" s="360">
        <f t="shared" ca="1" si="247"/>
        <v>1540.1926410471485</v>
      </c>
      <c r="L538" s="357">
        <f t="shared" ca="1" si="232"/>
        <v>1587.5009944474823</v>
      </c>
      <c r="M538" s="359">
        <f t="shared" ca="1" si="248"/>
        <v>1.2835339085878612</v>
      </c>
      <c r="N538" s="357">
        <f t="shared" ca="1" si="249"/>
        <v>73.541075824014854</v>
      </c>
      <c r="O538" s="343"/>
      <c r="P538" s="363">
        <f t="shared" ca="1" si="250"/>
        <v>23</v>
      </c>
      <c r="Q538" s="357">
        <f t="shared" ca="1" si="251"/>
        <v>0</v>
      </c>
      <c r="R538" s="359">
        <f t="shared" ca="1" si="252"/>
        <v>0</v>
      </c>
      <c r="S538" s="360">
        <f t="shared" ca="1" si="253"/>
        <v>9.7379999999999765</v>
      </c>
      <c r="T538" s="357">
        <f t="shared" ca="1" si="233"/>
        <v>95.529779999999775</v>
      </c>
      <c r="U538" s="364">
        <f t="shared" ca="1" si="234"/>
        <v>0</v>
      </c>
      <c r="V538" s="359">
        <f t="shared" ca="1" si="235"/>
        <v>1.0498171669841634</v>
      </c>
      <c r="W538" s="357">
        <f t="shared" ca="1" si="236"/>
        <v>79.256859875512134</v>
      </c>
      <c r="X538" s="343"/>
      <c r="Y538" s="367" t="str">
        <f t="shared" ca="1" si="254"/>
        <v/>
      </c>
      <c r="Z538" s="368" t="str">
        <f t="shared" ca="1" si="255"/>
        <v/>
      </c>
      <c r="AA538" s="369" t="str">
        <f t="shared" ca="1" si="256"/>
        <v/>
      </c>
      <c r="AB538" s="344"/>
      <c r="AC538" s="363" t="e">
        <f t="shared" ca="1" si="257"/>
        <v>#N/A</v>
      </c>
      <c r="AD538" s="376" t="e">
        <f t="shared" ca="1" si="258"/>
        <v>#N/A</v>
      </c>
      <c r="AE538" s="377">
        <f t="shared" ca="1" si="237"/>
        <v>1540.1926410471485</v>
      </c>
      <c r="AF538" s="344"/>
      <c r="AG538" s="359">
        <f t="shared" ca="1" si="259"/>
        <v>-17.724573424985486</v>
      </c>
      <c r="AH538" s="357">
        <f t="shared" ca="1" si="260"/>
        <v>-8.312359223858742</v>
      </c>
    </row>
    <row r="539" spans="1:34" x14ac:dyDescent="0.25">
      <c r="A539" s="402">
        <f t="shared" ca="1" si="238"/>
        <v>0.1</v>
      </c>
      <c r="B539" s="357">
        <f t="shared" ca="1" si="239"/>
        <v>8.4999999999999254</v>
      </c>
      <c r="C539" s="342"/>
      <c r="D539" s="359">
        <f t="shared" ca="1" si="240"/>
        <v>-2.3059846529215613</v>
      </c>
      <c r="E539" s="360">
        <f t="shared" ca="1" si="241"/>
        <v>-17.615417905898518</v>
      </c>
      <c r="F539" s="357">
        <f t="shared" ca="1" si="242"/>
        <v>17.765711728466155</v>
      </c>
      <c r="G539" s="359">
        <f t="shared" ca="1" si="243"/>
        <v>51.513533744081506</v>
      </c>
      <c r="H539" s="360">
        <f t="shared" ca="1" si="244"/>
        <v>173.38471322048522</v>
      </c>
      <c r="I539" s="357">
        <f t="shared" ca="1" si="245"/>
        <v>180.8753795776322</v>
      </c>
      <c r="J539" s="359">
        <f t="shared" ca="1" si="246"/>
        <v>389.82641917799839</v>
      </c>
      <c r="K539" s="360">
        <f t="shared" ca="1" si="247"/>
        <v>1557.6191894587266</v>
      </c>
      <c r="L539" s="357">
        <f t="shared" ca="1" si="232"/>
        <v>1605.6594210663734</v>
      </c>
      <c r="M539" s="359">
        <f t="shared" ca="1" si="248"/>
        <v>1.28199724413919</v>
      </c>
      <c r="N539" s="357">
        <f t="shared" ca="1" si="249"/>
        <v>73.4530314365782</v>
      </c>
      <c r="O539" s="343"/>
      <c r="P539" s="363">
        <f t="shared" ca="1" si="250"/>
        <v>23</v>
      </c>
      <c r="Q539" s="357">
        <f t="shared" ca="1" si="251"/>
        <v>0</v>
      </c>
      <c r="R539" s="359">
        <f t="shared" ca="1" si="252"/>
        <v>0</v>
      </c>
      <c r="S539" s="360">
        <f t="shared" ca="1" si="253"/>
        <v>9.7379999999999765</v>
      </c>
      <c r="T539" s="357">
        <f t="shared" ca="1" si="233"/>
        <v>95.529779999999775</v>
      </c>
      <c r="U539" s="364">
        <f t="shared" ca="1" si="234"/>
        <v>0</v>
      </c>
      <c r="V539" s="359">
        <f t="shared" ca="1" si="235"/>
        <v>1.0479782713649606</v>
      </c>
      <c r="W539" s="357">
        <f t="shared" ca="1" si="236"/>
        <v>77.605197240109163</v>
      </c>
      <c r="X539" s="343"/>
      <c r="Y539" s="367" t="str">
        <f t="shared" ca="1" si="254"/>
        <v/>
      </c>
      <c r="Z539" s="368" t="str">
        <f t="shared" ca="1" si="255"/>
        <v/>
      </c>
      <c r="AA539" s="369" t="str">
        <f t="shared" ca="1" si="256"/>
        <v/>
      </c>
      <c r="AB539" s="344"/>
      <c r="AC539" s="363" t="e">
        <f t="shared" ca="1" si="257"/>
        <v>#N/A</v>
      </c>
      <c r="AD539" s="376" t="e">
        <f t="shared" ca="1" si="258"/>
        <v>#N/A</v>
      </c>
      <c r="AE539" s="377">
        <f t="shared" ca="1" si="237"/>
        <v>1557.6191894587266</v>
      </c>
      <c r="AF539" s="344"/>
      <c r="AG539" s="359">
        <f t="shared" ca="1" si="259"/>
        <v>-17.5469424697378</v>
      </c>
      <c r="AH539" s="357">
        <f t="shared" ca="1" si="260"/>
        <v>-8.1389258446818982</v>
      </c>
    </row>
    <row r="540" spans="1:34" x14ac:dyDescent="0.25">
      <c r="A540" s="402">
        <f t="shared" ca="1" si="238"/>
        <v>0.1</v>
      </c>
      <c r="B540" s="357">
        <f t="shared" ca="1" si="239"/>
        <v>8.599999999999925</v>
      </c>
      <c r="C540" s="342"/>
      <c r="D540" s="359">
        <f t="shared" ca="1" si="240"/>
        <v>-2.2696710808947103</v>
      </c>
      <c r="E540" s="360">
        <f t="shared" ca="1" si="241"/>
        <v>-17.449279250784674</v>
      </c>
      <c r="F540" s="357">
        <f t="shared" ca="1" si="242"/>
        <v>17.596271002326439</v>
      </c>
      <c r="G540" s="359">
        <f t="shared" ca="1" si="243"/>
        <v>51.286566635992038</v>
      </c>
      <c r="H540" s="360">
        <f t="shared" ca="1" si="244"/>
        <v>171.63978529540677</v>
      </c>
      <c r="I540" s="357">
        <f t="shared" ca="1" si="245"/>
        <v>179.13829242672094</v>
      </c>
      <c r="J540" s="359">
        <f t="shared" ca="1" si="246"/>
        <v>394.96642419700208</v>
      </c>
      <c r="K540" s="360">
        <f t="shared" ca="1" si="247"/>
        <v>1574.8704143845212</v>
      </c>
      <c r="L540" s="357">
        <f t="shared" ca="1" si="232"/>
        <v>1623.6426017897656</v>
      </c>
      <c r="M540" s="359">
        <f t="shared" ca="1" si="248"/>
        <v>1.2804376103318611</v>
      </c>
      <c r="N540" s="357">
        <f t="shared" ca="1" si="249"/>
        <v>73.36367100183233</v>
      </c>
      <c r="O540" s="343"/>
      <c r="P540" s="363">
        <f t="shared" ca="1" si="250"/>
        <v>23</v>
      </c>
      <c r="Q540" s="357">
        <f t="shared" ca="1" si="251"/>
        <v>0</v>
      </c>
      <c r="R540" s="359">
        <f t="shared" ca="1" si="252"/>
        <v>0</v>
      </c>
      <c r="S540" s="360">
        <f t="shared" ca="1" si="253"/>
        <v>9.7379999999999765</v>
      </c>
      <c r="T540" s="357">
        <f t="shared" ca="1" si="233"/>
        <v>95.529779999999775</v>
      </c>
      <c r="U540" s="364">
        <f t="shared" ca="1" si="234"/>
        <v>0</v>
      </c>
      <c r="V540" s="359">
        <f t="shared" ca="1" si="235"/>
        <v>1.046160802306856</v>
      </c>
      <c r="W540" s="357">
        <f t="shared" ca="1" si="236"/>
        <v>75.989733589741533</v>
      </c>
      <c r="X540" s="343"/>
      <c r="Y540" s="367" t="str">
        <f t="shared" ca="1" si="254"/>
        <v/>
      </c>
      <c r="Z540" s="368" t="str">
        <f t="shared" ca="1" si="255"/>
        <v/>
      </c>
      <c r="AA540" s="369" t="str">
        <f t="shared" ca="1" si="256"/>
        <v/>
      </c>
      <c r="AB540" s="344"/>
      <c r="AC540" s="363" t="e">
        <f t="shared" ca="1" si="257"/>
        <v>#N/A</v>
      </c>
      <c r="AD540" s="376" t="e">
        <f t="shared" ca="1" si="258"/>
        <v>#N/A</v>
      </c>
      <c r="AE540" s="377">
        <f t="shared" ca="1" si="237"/>
        <v>1574.8704143845212</v>
      </c>
      <c r="AF540" s="344"/>
      <c r="AG540" s="359">
        <f t="shared" ca="1" si="259"/>
        <v>-17.373050240187009</v>
      </c>
      <c r="AH540" s="357">
        <f t="shared" ca="1" si="260"/>
        <v>-7.9693157979163436</v>
      </c>
    </row>
    <row r="541" spans="1:34" x14ac:dyDescent="0.25">
      <c r="A541" s="402">
        <f t="shared" ca="1" si="238"/>
        <v>0.1</v>
      </c>
      <c r="B541" s="357">
        <f t="shared" ca="1" si="239"/>
        <v>8.6999999999999247</v>
      </c>
      <c r="C541" s="342"/>
      <c r="D541" s="359">
        <f t="shared" ca="1" si="240"/>
        <v>-2.234088370757513</v>
      </c>
      <c r="E541" s="360">
        <f t="shared" ca="1" si="241"/>
        <v>-17.286781415480448</v>
      </c>
      <c r="F541" s="357">
        <f t="shared" ca="1" si="242"/>
        <v>17.430546823176666</v>
      </c>
      <c r="G541" s="359">
        <f t="shared" ca="1" si="243"/>
        <v>51.063157798916286</v>
      </c>
      <c r="H541" s="360">
        <f t="shared" ca="1" si="244"/>
        <v>169.91110715385872</v>
      </c>
      <c r="I541" s="357">
        <f t="shared" ca="1" si="245"/>
        <v>177.41823586837708</v>
      </c>
      <c r="J541" s="359">
        <f t="shared" ca="1" si="246"/>
        <v>400.08391041874751</v>
      </c>
      <c r="K541" s="360">
        <f t="shared" ca="1" si="247"/>
        <v>1591.9479590069843</v>
      </c>
      <c r="L541" s="357">
        <f t="shared" ca="1" si="232"/>
        <v>1641.4522349317569</v>
      </c>
      <c r="M541" s="359">
        <f t="shared" ca="1" si="248"/>
        <v>1.2788545913285765</v>
      </c>
      <c r="N541" s="357">
        <f t="shared" ca="1" si="249"/>
        <v>73.272970694055118</v>
      </c>
      <c r="O541" s="343"/>
      <c r="P541" s="363">
        <f t="shared" ca="1" si="250"/>
        <v>23</v>
      </c>
      <c r="Q541" s="357">
        <f t="shared" ca="1" si="251"/>
        <v>0</v>
      </c>
      <c r="R541" s="359">
        <f t="shared" ca="1" si="252"/>
        <v>0</v>
      </c>
      <c r="S541" s="360">
        <f t="shared" ca="1" si="253"/>
        <v>9.7379999999999765</v>
      </c>
      <c r="T541" s="357">
        <f t="shared" ca="1" si="233"/>
        <v>95.529779999999775</v>
      </c>
      <c r="U541" s="364">
        <f t="shared" ca="1" si="234"/>
        <v>0</v>
      </c>
      <c r="V541" s="359">
        <f t="shared" ca="1" si="235"/>
        <v>1.0443644914774755</v>
      </c>
      <c r="W541" s="357">
        <f t="shared" ca="1" si="236"/>
        <v>74.409472947070952</v>
      </c>
      <c r="X541" s="343"/>
      <c r="Y541" s="367" t="str">
        <f t="shared" ca="1" si="254"/>
        <v/>
      </c>
      <c r="Z541" s="368" t="str">
        <f t="shared" ca="1" si="255"/>
        <v/>
      </c>
      <c r="AA541" s="369" t="str">
        <f t="shared" ca="1" si="256"/>
        <v/>
      </c>
      <c r="AB541" s="344"/>
      <c r="AC541" s="363" t="e">
        <f t="shared" ca="1" si="257"/>
        <v>#N/A</v>
      </c>
      <c r="AD541" s="376" t="e">
        <f t="shared" ca="1" si="258"/>
        <v>#N/A</v>
      </c>
      <c r="AE541" s="377">
        <f t="shared" ca="1" si="237"/>
        <v>1591.9479590069843</v>
      </c>
      <c r="AF541" s="344"/>
      <c r="AG541" s="359">
        <f t="shared" ca="1" si="259"/>
        <v>-17.202788588374233</v>
      </c>
      <c r="AH541" s="357">
        <f t="shared" ca="1" si="260"/>
        <v>-7.8034230426927209</v>
      </c>
    </row>
    <row r="542" spans="1:34" x14ac:dyDescent="0.25">
      <c r="A542" s="402">
        <f t="shared" ca="1" si="238"/>
        <v>0.1</v>
      </c>
      <c r="B542" s="357">
        <f t="shared" ca="1" si="239"/>
        <v>8.7999999999999243</v>
      </c>
      <c r="C542" s="342"/>
      <c r="D542" s="359">
        <f t="shared" ca="1" si="240"/>
        <v>-2.1992159170717347</v>
      </c>
      <c r="E542" s="360">
        <f t="shared" ca="1" si="241"/>
        <v>-17.127824189634776</v>
      </c>
      <c r="F542" s="357">
        <f t="shared" ca="1" si="242"/>
        <v>17.268436875436638</v>
      </c>
      <c r="G542" s="359">
        <f t="shared" ca="1" si="243"/>
        <v>50.84323620720911</v>
      </c>
      <c r="H542" s="360">
        <f t="shared" ca="1" si="244"/>
        <v>168.19832473489524</v>
      </c>
      <c r="I542" s="357">
        <f t="shared" ca="1" si="245"/>
        <v>175.7148574015508</v>
      </c>
      <c r="J542" s="359">
        <f t="shared" ca="1" si="246"/>
        <v>405.17923011905378</v>
      </c>
      <c r="K542" s="360">
        <f t="shared" ca="1" si="247"/>
        <v>1608.8534306014221</v>
      </c>
      <c r="L542" s="357">
        <f t="shared" ca="1" si="232"/>
        <v>1659.08998239331</v>
      </c>
      <c r="M542" s="359">
        <f t="shared" ca="1" si="248"/>
        <v>1.2772477606246722</v>
      </c>
      <c r="N542" s="357">
        <f t="shared" ca="1" si="249"/>
        <v>73.180906076329364</v>
      </c>
      <c r="O542" s="343"/>
      <c r="P542" s="363">
        <f t="shared" ca="1" si="250"/>
        <v>23</v>
      </c>
      <c r="Q542" s="357">
        <f t="shared" ca="1" si="251"/>
        <v>0</v>
      </c>
      <c r="R542" s="359">
        <f t="shared" ca="1" si="252"/>
        <v>0</v>
      </c>
      <c r="S542" s="360">
        <f t="shared" ca="1" si="253"/>
        <v>9.7379999999999765</v>
      </c>
      <c r="T542" s="357">
        <f t="shared" ca="1" si="233"/>
        <v>95.529779999999775</v>
      </c>
      <c r="U542" s="364">
        <f t="shared" ca="1" si="234"/>
        <v>0</v>
      </c>
      <c r="V542" s="359">
        <f t="shared" ca="1" si="235"/>
        <v>1.042589076735027</v>
      </c>
      <c r="W542" s="357">
        <f t="shared" ca="1" si="236"/>
        <v>72.863454432917734</v>
      </c>
      <c r="X542" s="343"/>
      <c r="Y542" s="367" t="str">
        <f t="shared" ca="1" si="254"/>
        <v/>
      </c>
      <c r="Z542" s="368" t="str">
        <f t="shared" ca="1" si="255"/>
        <v/>
      </c>
      <c r="AA542" s="369" t="str">
        <f t="shared" ca="1" si="256"/>
        <v/>
      </c>
      <c r="AB542" s="344"/>
      <c r="AC542" s="363" t="e">
        <f t="shared" ca="1" si="257"/>
        <v>#N/A</v>
      </c>
      <c r="AD542" s="376" t="e">
        <f t="shared" ca="1" si="258"/>
        <v>#N/A</v>
      </c>
      <c r="AE542" s="377">
        <f t="shared" ca="1" si="237"/>
        <v>1608.8534306014221</v>
      </c>
      <c r="AF542" s="344"/>
      <c r="AG542" s="359">
        <f t="shared" ca="1" si="259"/>
        <v>-17.036053063041081</v>
      </c>
      <c r="AH542" s="357">
        <f t="shared" ca="1" si="260"/>
        <v>-7.6411453016092761</v>
      </c>
    </row>
    <row r="543" spans="1:34" x14ac:dyDescent="0.25">
      <c r="A543" s="402">
        <f t="shared" ca="1" si="238"/>
        <v>0.1</v>
      </c>
      <c r="B543" s="357">
        <f t="shared" ca="1" si="239"/>
        <v>8.899999999999924</v>
      </c>
      <c r="C543" s="342"/>
      <c r="D543" s="359">
        <f t="shared" ca="1" si="240"/>
        <v>-2.1650338379081471</v>
      </c>
      <c r="E543" s="360">
        <f t="shared" ca="1" si="241"/>
        <v>-16.972310893162174</v>
      </c>
      <c r="F543" s="357">
        <f t="shared" ca="1" si="242"/>
        <v>17.109842447358734</v>
      </c>
      <c r="G543" s="359">
        <f t="shared" ca="1" si="243"/>
        <v>50.626732823418294</v>
      </c>
      <c r="H543" s="360">
        <f t="shared" ca="1" si="244"/>
        <v>166.50109364557903</v>
      </c>
      <c r="I543" s="357">
        <f t="shared" ca="1" si="245"/>
        <v>174.02781462038664</v>
      </c>
      <c r="J543" s="359">
        <f t="shared" ca="1" si="246"/>
        <v>410.25272857058513</v>
      </c>
      <c r="K543" s="360">
        <f t="shared" ca="1" si="247"/>
        <v>1625.5884015204458</v>
      </c>
      <c r="L543" s="357">
        <f t="shared" ca="1" si="232"/>
        <v>1676.5574706694097</v>
      </c>
      <c r="M543" s="359">
        <f t="shared" ca="1" si="248"/>
        <v>1.275616680728213</v>
      </c>
      <c r="N543" s="357">
        <f t="shared" ca="1" si="249"/>
        <v>73.087452082213616</v>
      </c>
      <c r="O543" s="343"/>
      <c r="P543" s="363">
        <f t="shared" ca="1" si="250"/>
        <v>23</v>
      </c>
      <c r="Q543" s="357">
        <f t="shared" ca="1" si="251"/>
        <v>0</v>
      </c>
      <c r="R543" s="359">
        <f t="shared" ca="1" si="252"/>
        <v>0</v>
      </c>
      <c r="S543" s="360">
        <f t="shared" ca="1" si="253"/>
        <v>9.7379999999999765</v>
      </c>
      <c r="T543" s="357">
        <f t="shared" ca="1" si="233"/>
        <v>95.529779999999775</v>
      </c>
      <c r="U543" s="364">
        <f t="shared" ca="1" si="234"/>
        <v>0</v>
      </c>
      <c r="V543" s="359">
        <f t="shared" ca="1" si="235"/>
        <v>1.0408343019492095</v>
      </c>
      <c r="W543" s="357">
        <f t="shared" ca="1" si="236"/>
        <v>71.35075079230586</v>
      </c>
      <c r="X543" s="343"/>
      <c r="Y543" s="367" t="str">
        <f t="shared" ca="1" si="254"/>
        <v/>
      </c>
      <c r="Z543" s="368" t="str">
        <f t="shared" ca="1" si="255"/>
        <v/>
      </c>
      <c r="AA543" s="369" t="str">
        <f t="shared" ca="1" si="256"/>
        <v/>
      </c>
      <c r="AB543" s="344"/>
      <c r="AC543" s="363" t="e">
        <f t="shared" ca="1" si="257"/>
        <v>#N/A</v>
      </c>
      <c r="AD543" s="376" t="e">
        <f t="shared" ca="1" si="258"/>
        <v>#N/A</v>
      </c>
      <c r="AE543" s="377">
        <f t="shared" ca="1" si="237"/>
        <v>1625.5884015204458</v>
      </c>
      <c r="AF543" s="344"/>
      <c r="AG543" s="359">
        <f t="shared" ca="1" si="259"/>
        <v>-16.872742747938453</v>
      </c>
      <c r="AH543" s="357">
        <f t="shared" ca="1" si="260"/>
        <v>-7.4823839015113895</v>
      </c>
    </row>
    <row r="544" spans="1:34" x14ac:dyDescent="0.25">
      <c r="A544" s="402">
        <f t="shared" ca="1" si="238"/>
        <v>0.1</v>
      </c>
      <c r="B544" s="357">
        <f t="shared" ca="1" si="239"/>
        <v>8.9999999999999236</v>
      </c>
      <c r="C544" s="342"/>
      <c r="D544" s="359">
        <f t="shared" ca="1" si="240"/>
        <v>-2.131522944491846</v>
      </c>
      <c r="E544" s="360">
        <f t="shared" ca="1" si="241"/>
        <v>-16.820148227941182</v>
      </c>
      <c r="F544" s="357">
        <f t="shared" ca="1" si="242"/>
        <v>16.954668279645226</v>
      </c>
      <c r="G544" s="359">
        <f t="shared" ca="1" si="243"/>
        <v>50.413580528969106</v>
      </c>
      <c r="H544" s="360">
        <f t="shared" ca="1" si="244"/>
        <v>164.81907882278492</v>
      </c>
      <c r="I544" s="357">
        <f t="shared" ca="1" si="245"/>
        <v>172.35677487624977</v>
      </c>
      <c r="J544" s="359">
        <f t="shared" ca="1" si="246"/>
        <v>415.30474423820448</v>
      </c>
      <c r="K544" s="360">
        <f t="shared" ca="1" si="247"/>
        <v>1642.154410143864</v>
      </c>
      <c r="L544" s="357">
        <f t="shared" ca="1" si="232"/>
        <v>1693.8562918210334</v>
      </c>
      <c r="M544" s="359">
        <f t="shared" ca="1" si="248"/>
        <v>1.2739609028286378</v>
      </c>
      <c r="N544" s="357">
        <f t="shared" ca="1" si="249"/>
        <v>72.992582996756923</v>
      </c>
      <c r="O544" s="343"/>
      <c r="P544" s="363">
        <f t="shared" ca="1" si="250"/>
        <v>23</v>
      </c>
      <c r="Q544" s="357">
        <f t="shared" ca="1" si="251"/>
        <v>0</v>
      </c>
      <c r="R544" s="359">
        <f t="shared" ca="1" si="252"/>
        <v>0</v>
      </c>
      <c r="S544" s="360">
        <f t="shared" ca="1" si="253"/>
        <v>9.7379999999999765</v>
      </c>
      <c r="T544" s="357">
        <f t="shared" ca="1" si="233"/>
        <v>95.529779999999775</v>
      </c>
      <c r="U544" s="364">
        <f t="shared" ca="1" si="234"/>
        <v>0</v>
      </c>
      <c r="V544" s="359">
        <f t="shared" ca="1" si="235"/>
        <v>1.0390999168286723</v>
      </c>
      <c r="W544" s="357">
        <f t="shared" ca="1" si="236"/>
        <v>69.870466992742308</v>
      </c>
      <c r="X544" s="343"/>
      <c r="Y544" s="367" t="str">
        <f t="shared" ca="1" si="254"/>
        <v/>
      </c>
      <c r="Z544" s="368" t="str">
        <f t="shared" ca="1" si="255"/>
        <v/>
      </c>
      <c r="AA544" s="369" t="str">
        <f t="shared" ca="1" si="256"/>
        <v/>
      </c>
      <c r="AB544" s="344"/>
      <c r="AC544" s="363">
        <f t="shared" ca="1" si="257"/>
        <v>8.9999999999999236</v>
      </c>
      <c r="AD544" s="376">
        <f t="shared" ca="1" si="258"/>
        <v>415.30474423820448</v>
      </c>
      <c r="AE544" s="377">
        <f t="shared" ca="1" si="237"/>
        <v>1642.154410143864</v>
      </c>
      <c r="AF544" s="344"/>
      <c r="AG544" s="359">
        <f t="shared" ca="1" si="259"/>
        <v>-16.712760107889171</v>
      </c>
      <c r="AH544" s="357">
        <f t="shared" ca="1" si="260"/>
        <v>-7.3270436221304198</v>
      </c>
    </row>
    <row r="545" spans="1:34" x14ac:dyDescent="0.25">
      <c r="A545" s="402">
        <f t="shared" ca="1" si="238"/>
        <v>0.1</v>
      </c>
      <c r="B545" s="357">
        <f t="shared" ca="1" si="239"/>
        <v>9.0999999999999233</v>
      </c>
      <c r="C545" s="342"/>
      <c r="D545" s="359">
        <f t="shared" ca="1" si="240"/>
        <v>-2.098664712338759</v>
      </c>
      <c r="E545" s="360">
        <f t="shared" ca="1" si="241"/>
        <v>-16.671246136778464</v>
      </c>
      <c r="F545" s="357">
        <f t="shared" ca="1" si="242"/>
        <v>16.802822421482254</v>
      </c>
      <c r="G545" s="359">
        <f t="shared" ca="1" si="243"/>
        <v>50.203714057735233</v>
      </c>
      <c r="H545" s="360">
        <f t="shared" ca="1" si="244"/>
        <v>163.15195420910706</v>
      </c>
      <c r="I545" s="357">
        <f t="shared" ca="1" si="245"/>
        <v>170.70141495442095</v>
      </c>
      <c r="J545" s="359">
        <f t="shared" ca="1" si="246"/>
        <v>420.33560896753971</v>
      </c>
      <c r="K545" s="360">
        <f t="shared" ca="1" si="247"/>
        <v>1658.5529617954585</v>
      </c>
      <c r="L545" s="357">
        <f t="shared" ca="1" si="232"/>
        <v>1710.9880044134147</v>
      </c>
      <c r="M545" s="359">
        <f t="shared" ca="1" si="248"/>
        <v>1.2722799664534994</v>
      </c>
      <c r="N545" s="357">
        <f t="shared" ca="1" si="249"/>
        <v>72.896272436831481</v>
      </c>
      <c r="O545" s="343"/>
      <c r="P545" s="363">
        <f t="shared" ca="1" si="250"/>
        <v>23</v>
      </c>
      <c r="Q545" s="357">
        <f t="shared" ca="1" si="251"/>
        <v>0</v>
      </c>
      <c r="R545" s="359">
        <f t="shared" ca="1" si="252"/>
        <v>0</v>
      </c>
      <c r="S545" s="360">
        <f t="shared" ca="1" si="253"/>
        <v>9.7379999999999765</v>
      </c>
      <c r="T545" s="357">
        <f t="shared" ca="1" si="233"/>
        <v>95.529779999999775</v>
      </c>
      <c r="U545" s="364">
        <f t="shared" ca="1" si="234"/>
        <v>0</v>
      </c>
      <c r="V545" s="359">
        <f t="shared" ca="1" si="235"/>
        <v>1.03738567675474</v>
      </c>
      <c r="W545" s="357">
        <f t="shared" ca="1" si="236"/>
        <v>68.421738890700496</v>
      </c>
      <c r="X545" s="343"/>
      <c r="Y545" s="367" t="str">
        <f t="shared" ca="1" si="254"/>
        <v/>
      </c>
      <c r="Z545" s="368" t="str">
        <f t="shared" ca="1" si="255"/>
        <v/>
      </c>
      <c r="AA545" s="369" t="str">
        <f t="shared" ca="1" si="256"/>
        <v/>
      </c>
      <c r="AB545" s="344"/>
      <c r="AC545" s="363" t="e">
        <f t="shared" ca="1" si="257"/>
        <v>#N/A</v>
      </c>
      <c r="AD545" s="376" t="e">
        <f t="shared" ca="1" si="258"/>
        <v>#N/A</v>
      </c>
      <c r="AE545" s="377">
        <f t="shared" ca="1" si="237"/>
        <v>1658.5529617954585</v>
      </c>
      <c r="AF545" s="344"/>
      <c r="AG545" s="359">
        <f t="shared" ca="1" si="259"/>
        <v>-16.556010842157754</v>
      </c>
      <c r="AH545" s="357">
        <f t="shared" ca="1" si="260"/>
        <v>-7.1750325521403244</v>
      </c>
    </row>
    <row r="546" spans="1:34" x14ac:dyDescent="0.25">
      <c r="A546" s="402">
        <f t="shared" ca="1" si="238"/>
        <v>0.1</v>
      </c>
      <c r="B546" s="357">
        <f t="shared" ca="1" si="239"/>
        <v>9.1999999999999229</v>
      </c>
      <c r="C546" s="342"/>
      <c r="D546" s="359">
        <f t="shared" ca="1" si="240"/>
        <v>-2.0664412538003418</v>
      </c>
      <c r="E546" s="360">
        <f t="shared" ca="1" si="241"/>
        <v>-16.525517669233025</v>
      </c>
      <c r="F546" s="357">
        <f t="shared" ca="1" si="242"/>
        <v>16.654216093576451</v>
      </c>
      <c r="G546" s="359">
        <f t="shared" ca="1" si="243"/>
        <v>49.997069932355203</v>
      </c>
      <c r="H546" s="360">
        <f t="shared" ca="1" si="244"/>
        <v>161.49940244218377</v>
      </c>
      <c r="I546" s="357">
        <f t="shared" ca="1" si="245"/>
        <v>169.0614207647719</v>
      </c>
      <c r="J546" s="359">
        <f t="shared" ca="1" si="246"/>
        <v>425.34564816704426</v>
      </c>
      <c r="K546" s="360">
        <f t="shared" ca="1" si="247"/>
        <v>1674.7855296280231</v>
      </c>
      <c r="L546" s="357">
        <f t="shared" ca="1" si="232"/>
        <v>1727.9541344219936</v>
      </c>
      <c r="M546" s="359">
        <f t="shared" ca="1" si="248"/>
        <v>1.2705733991128252</v>
      </c>
      <c r="N546" s="357">
        <f t="shared" ca="1" si="249"/>
        <v>72.798493330755974</v>
      </c>
      <c r="O546" s="343"/>
      <c r="P546" s="363">
        <f t="shared" ca="1" si="250"/>
        <v>23</v>
      </c>
      <c r="Q546" s="357">
        <f t="shared" ca="1" si="251"/>
        <v>0</v>
      </c>
      <c r="R546" s="359">
        <f t="shared" ca="1" si="252"/>
        <v>0</v>
      </c>
      <c r="S546" s="360">
        <f t="shared" ca="1" si="253"/>
        <v>9.7379999999999765</v>
      </c>
      <c r="T546" s="357">
        <f t="shared" ca="1" si="233"/>
        <v>95.529779999999775</v>
      </c>
      <c r="U546" s="364">
        <f t="shared" ca="1" si="234"/>
        <v>0</v>
      </c>
      <c r="V546" s="359">
        <f t="shared" ca="1" si="235"/>
        <v>1.0356913426211383</v>
      </c>
      <c r="W546" s="357">
        <f t="shared" ca="1" si="236"/>
        <v>67.00373196253112</v>
      </c>
      <c r="X546" s="343"/>
      <c r="Y546" s="367" t="str">
        <f t="shared" ca="1" si="254"/>
        <v/>
      </c>
      <c r="Z546" s="368" t="str">
        <f t="shared" ca="1" si="255"/>
        <v/>
      </c>
      <c r="AA546" s="369" t="str">
        <f t="shared" ca="1" si="256"/>
        <v/>
      </c>
      <c r="AB546" s="344"/>
      <c r="AC546" s="363" t="e">
        <f t="shared" ca="1" si="257"/>
        <v>#N/A</v>
      </c>
      <c r="AD546" s="376" t="e">
        <f t="shared" ca="1" si="258"/>
        <v>#N/A</v>
      </c>
      <c r="AE546" s="377">
        <f t="shared" ca="1" si="237"/>
        <v>1674.7855296280231</v>
      </c>
      <c r="AF546" s="344"/>
      <c r="AG546" s="359">
        <f t="shared" ca="1" si="259"/>
        <v>-16.40240374470828</v>
      </c>
      <c r="AH546" s="357">
        <f t="shared" ca="1" si="260"/>
        <v>-7.0262619522181824</v>
      </c>
    </row>
    <row r="547" spans="1:34" x14ac:dyDescent="0.25">
      <c r="A547" s="402">
        <f t="shared" ca="1" si="238"/>
        <v>0.1</v>
      </c>
      <c r="B547" s="357">
        <f t="shared" ca="1" si="239"/>
        <v>9.2999999999999226</v>
      </c>
      <c r="C547" s="342"/>
      <c r="D547" s="359">
        <f t="shared" ca="1" si="240"/>
        <v>-2.0348352919386961</v>
      </c>
      <c r="E547" s="360">
        <f t="shared" ca="1" si="241"/>
        <v>-16.38287885392058</v>
      </c>
      <c r="F547" s="357">
        <f t="shared" ca="1" si="242"/>
        <v>16.508763557806422</v>
      </c>
      <c r="G547" s="359">
        <f t="shared" ca="1" si="243"/>
        <v>49.793586403161335</v>
      </c>
      <c r="H547" s="360">
        <f t="shared" ca="1" si="244"/>
        <v>159.8611145567917</v>
      </c>
      <c r="I547" s="357">
        <f t="shared" ca="1" si="245"/>
        <v>167.4364870457714</v>
      </c>
      <c r="J547" s="359">
        <f t="shared" ca="1" si="246"/>
        <v>430.33518098382007</v>
      </c>
      <c r="K547" s="360">
        <f t="shared" ca="1" si="247"/>
        <v>1690.8535554779719</v>
      </c>
      <c r="L547" s="357">
        <f t="shared" ca="1" si="232"/>
        <v>1744.7561761073885</v>
      </c>
      <c r="M547" s="359">
        <f t="shared" ca="1" si="248"/>
        <v>1.268840715930609</v>
      </c>
      <c r="N547" s="357">
        <f t="shared" ca="1" si="249"/>
        <v>72.699217897181697</v>
      </c>
      <c r="O547" s="343"/>
      <c r="P547" s="363">
        <f t="shared" ca="1" si="250"/>
        <v>23</v>
      </c>
      <c r="Q547" s="357">
        <f t="shared" ca="1" si="251"/>
        <v>0</v>
      </c>
      <c r="R547" s="359">
        <f t="shared" ca="1" si="252"/>
        <v>0</v>
      </c>
      <c r="S547" s="360">
        <f t="shared" ca="1" si="253"/>
        <v>9.7379999999999765</v>
      </c>
      <c r="T547" s="357">
        <f t="shared" ca="1" si="233"/>
        <v>95.529779999999775</v>
      </c>
      <c r="U547" s="364">
        <f t="shared" ca="1" si="234"/>
        <v>0</v>
      </c>
      <c r="V547" s="359">
        <f t="shared" ca="1" si="235"/>
        <v>1.0340166806794548</v>
      </c>
      <c r="W547" s="357">
        <f t="shared" ca="1" si="236"/>
        <v>65.615640096255817</v>
      </c>
      <c r="X547" s="343"/>
      <c r="Y547" s="367" t="str">
        <f t="shared" ca="1" si="254"/>
        <v/>
      </c>
      <c r="Z547" s="368" t="str">
        <f t="shared" ca="1" si="255"/>
        <v/>
      </c>
      <c r="AA547" s="369" t="str">
        <f t="shared" ca="1" si="256"/>
        <v/>
      </c>
      <c r="AB547" s="344"/>
      <c r="AC547" s="363" t="e">
        <f t="shared" ca="1" si="257"/>
        <v>#N/A</v>
      </c>
      <c r="AD547" s="376" t="e">
        <f t="shared" ca="1" si="258"/>
        <v>#N/A</v>
      </c>
      <c r="AE547" s="377">
        <f t="shared" ca="1" si="237"/>
        <v>1690.8535554779719</v>
      </c>
      <c r="AF547" s="344"/>
      <c r="AG547" s="359">
        <f t="shared" ca="1" si="259"/>
        <v>-16.251850570956915</v>
      </c>
      <c r="AH547" s="357">
        <f t="shared" ca="1" si="260"/>
        <v>-6.8806461247208137</v>
      </c>
    </row>
    <row r="548" spans="1:34" x14ac:dyDescent="0.25">
      <c r="A548" s="402">
        <f t="shared" ca="1" si="238"/>
        <v>0.1</v>
      </c>
      <c r="B548" s="357">
        <f t="shared" ca="1" si="239"/>
        <v>9.3999999999999222</v>
      </c>
      <c r="C548" s="342"/>
      <c r="D548" s="359">
        <f t="shared" ca="1" si="240"/>
        <v>-2.0038301356590784</v>
      </c>
      <c r="E548" s="360">
        <f t="shared" ca="1" si="241"/>
        <v>-16.243248576941422</v>
      </c>
      <c r="F548" s="357">
        <f t="shared" ca="1" si="242"/>
        <v>16.366381993124964</v>
      </c>
      <c r="G548" s="359">
        <f t="shared" ca="1" si="243"/>
        <v>49.593203389595431</v>
      </c>
      <c r="H548" s="360">
        <f t="shared" ca="1" si="244"/>
        <v>158.23678969909756</v>
      </c>
      <c r="I548" s="357">
        <f t="shared" ca="1" si="245"/>
        <v>165.82631708121062</v>
      </c>
      <c r="J548" s="359">
        <f t="shared" ca="1" si="246"/>
        <v>435.3045204734579</v>
      </c>
      <c r="K548" s="360">
        <f t="shared" ca="1" si="247"/>
        <v>1706.7584506907663</v>
      </c>
      <c r="L548" s="357">
        <f t="shared" ca="1" si="232"/>
        <v>1761.3955928606645</v>
      </c>
      <c r="M548" s="359">
        <f t="shared" ca="1" si="248"/>
        <v>1.2670814192629141</v>
      </c>
      <c r="N548" s="357">
        <f t="shared" ca="1" si="249"/>
        <v>72.598417623211347</v>
      </c>
      <c r="O548" s="343"/>
      <c r="P548" s="363">
        <f t="shared" ca="1" si="250"/>
        <v>23</v>
      </c>
      <c r="Q548" s="357">
        <f t="shared" ca="1" si="251"/>
        <v>0</v>
      </c>
      <c r="R548" s="359">
        <f t="shared" ca="1" si="252"/>
        <v>0</v>
      </c>
      <c r="S548" s="360">
        <f t="shared" ca="1" si="253"/>
        <v>9.7379999999999765</v>
      </c>
      <c r="T548" s="357">
        <f t="shared" ca="1" si="233"/>
        <v>95.529779999999775</v>
      </c>
      <c r="U548" s="364">
        <f t="shared" ca="1" si="234"/>
        <v>0</v>
      </c>
      <c r="V548" s="359">
        <f t="shared" ca="1" si="235"/>
        <v>1.0323614623901014</v>
      </c>
      <c r="W548" s="357">
        <f t="shared" ca="1" si="236"/>
        <v>64.256684440920282</v>
      </c>
      <c r="X548" s="343"/>
      <c r="Y548" s="367" t="str">
        <f t="shared" ca="1" si="254"/>
        <v/>
      </c>
      <c r="Z548" s="368" t="str">
        <f t="shared" ca="1" si="255"/>
        <v/>
      </c>
      <c r="AA548" s="369" t="str">
        <f t="shared" ca="1" si="256"/>
        <v/>
      </c>
      <c r="AB548" s="344"/>
      <c r="AC548" s="363" t="e">
        <f t="shared" ca="1" si="257"/>
        <v>#N/A</v>
      </c>
      <c r="AD548" s="376" t="e">
        <f t="shared" ca="1" si="258"/>
        <v>#N/A</v>
      </c>
      <c r="AE548" s="377">
        <f t="shared" ca="1" si="237"/>
        <v>1706.7584506907663</v>
      </c>
      <c r="AF548" s="344"/>
      <c r="AG548" s="359">
        <f t="shared" ca="1" si="259"/>
        <v>-16.104265910649215</v>
      </c>
      <c r="AH548" s="357">
        <f t="shared" ca="1" si="260"/>
        <v>-6.7381022896134706</v>
      </c>
    </row>
    <row r="549" spans="1:34" x14ac:dyDescent="0.25">
      <c r="A549" s="402">
        <f t="shared" ca="1" si="238"/>
        <v>0.1</v>
      </c>
      <c r="B549" s="357">
        <f t="shared" ca="1" si="239"/>
        <v>9.4999999999999218</v>
      </c>
      <c r="C549" s="342"/>
      <c r="D549" s="359">
        <f t="shared" ca="1" si="240"/>
        <v>-1.9734096560314216</v>
      </c>
      <c r="E549" s="360">
        <f t="shared" ca="1" si="241"/>
        <v>-16.106548466097379</v>
      </c>
      <c r="F549" s="357">
        <f t="shared" ca="1" si="242"/>
        <v>16.226991377370666</v>
      </c>
      <c r="G549" s="359">
        <f t="shared" ca="1" si="243"/>
        <v>49.395862423992291</v>
      </c>
      <c r="H549" s="360">
        <f t="shared" ca="1" si="244"/>
        <v>156.62613485248781</v>
      </c>
      <c r="I549" s="357">
        <f t="shared" ca="1" si="245"/>
        <v>164.23062242906974</v>
      </c>
      <c r="J549" s="359">
        <f t="shared" ca="1" si="246"/>
        <v>440.2539737641373</v>
      </c>
      <c r="K549" s="360">
        <f t="shared" ca="1" si="247"/>
        <v>1722.5015969183455</v>
      </c>
      <c r="L549" s="357">
        <f t="shared" ca="1" si="232"/>
        <v>1777.873818020099</v>
      </c>
      <c r="M549" s="359">
        <f t="shared" ca="1" si="248"/>
        <v>1.2652949983020536</v>
      </c>
      <c r="N549" s="357">
        <f t="shared" ca="1" si="249"/>
        <v>72.496063241720336</v>
      </c>
      <c r="O549" s="343"/>
      <c r="P549" s="363">
        <f t="shared" ca="1" si="250"/>
        <v>23</v>
      </c>
      <c r="Q549" s="357">
        <f t="shared" ca="1" si="251"/>
        <v>0</v>
      </c>
      <c r="R549" s="359">
        <f t="shared" ca="1" si="252"/>
        <v>0</v>
      </c>
      <c r="S549" s="360">
        <f t="shared" ca="1" si="253"/>
        <v>9.7379999999999765</v>
      </c>
      <c r="T549" s="357">
        <f t="shared" ca="1" si="233"/>
        <v>95.529779999999775</v>
      </c>
      <c r="U549" s="364">
        <f t="shared" ca="1" si="234"/>
        <v>0</v>
      </c>
      <c r="V549" s="359">
        <f t="shared" ca="1" si="235"/>
        <v>1.0307254642785419</v>
      </c>
      <c r="W549" s="357">
        <f t="shared" ca="1" si="236"/>
        <v>62.926112310384987</v>
      </c>
      <c r="X549" s="343"/>
      <c r="Y549" s="367" t="str">
        <f t="shared" ca="1" si="254"/>
        <v/>
      </c>
      <c r="Z549" s="368" t="str">
        <f t="shared" ca="1" si="255"/>
        <v/>
      </c>
      <c r="AA549" s="369" t="str">
        <f t="shared" ca="1" si="256"/>
        <v/>
      </c>
      <c r="AB549" s="344"/>
      <c r="AC549" s="363" t="e">
        <f t="shared" ca="1" si="257"/>
        <v>#N/A</v>
      </c>
      <c r="AD549" s="376" t="e">
        <f t="shared" ca="1" si="258"/>
        <v>#N/A</v>
      </c>
      <c r="AE549" s="377">
        <f t="shared" ca="1" si="237"/>
        <v>1722.5015969183455</v>
      </c>
      <c r="AF549" s="344"/>
      <c r="AG549" s="359">
        <f t="shared" ca="1" si="259"/>
        <v>-15.959567066514811</v>
      </c>
      <c r="AH549" s="357">
        <f t="shared" ca="1" si="260"/>
        <v>-6.5985504663093488</v>
      </c>
    </row>
    <row r="550" spans="1:34" x14ac:dyDescent="0.25">
      <c r="A550" s="402">
        <f t="shared" ca="1" si="238"/>
        <v>0.1</v>
      </c>
      <c r="B550" s="357">
        <f t="shared" ca="1" si="239"/>
        <v>9.5999999999999215</v>
      </c>
      <c r="C550" s="342"/>
      <c r="D550" s="359">
        <f t="shared" ca="1" si="240"/>
        <v>-1.9435582637365731</v>
      </c>
      <c r="E550" s="360">
        <f t="shared" ca="1" si="241"/>
        <v>-15.972702780583788</v>
      </c>
      <c r="F550" s="357">
        <f t="shared" ca="1" si="242"/>
        <v>16.090514374668317</v>
      </c>
      <c r="G550" s="359">
        <f t="shared" ca="1" si="243"/>
        <v>49.201506597618632</v>
      </c>
      <c r="H550" s="360">
        <f t="shared" ca="1" si="244"/>
        <v>155.02886457442943</v>
      </c>
      <c r="I550" s="357">
        <f t="shared" ca="1" si="245"/>
        <v>162.64912266198147</v>
      </c>
      <c r="J550" s="359">
        <f t="shared" ca="1" si="246"/>
        <v>445.18384221521785</v>
      </c>
      <c r="K550" s="360">
        <f t="shared" ca="1" si="247"/>
        <v>1738.0843468896915</v>
      </c>
      <c r="L550" s="357">
        <f t="shared" ca="1" si="232"/>
        <v>1794.1922556605994</v>
      </c>
      <c r="M550" s="359">
        <f t="shared" ca="1" si="248"/>
        <v>1.2634809286662874</v>
      </c>
      <c r="N550" s="357">
        <f t="shared" ca="1" si="249"/>
        <v>72.392124707848097</v>
      </c>
      <c r="O550" s="343"/>
      <c r="P550" s="363">
        <f t="shared" ca="1" si="250"/>
        <v>23</v>
      </c>
      <c r="Q550" s="357">
        <f t="shared" ca="1" si="251"/>
        <v>0</v>
      </c>
      <c r="R550" s="359">
        <f t="shared" ca="1" si="252"/>
        <v>0</v>
      </c>
      <c r="S550" s="360">
        <f t="shared" ca="1" si="253"/>
        <v>9.7379999999999765</v>
      </c>
      <c r="T550" s="357">
        <f t="shared" ca="1" si="233"/>
        <v>95.529779999999775</v>
      </c>
      <c r="U550" s="364">
        <f t="shared" ca="1" si="234"/>
        <v>0</v>
      </c>
      <c r="V550" s="359">
        <f t="shared" ca="1" si="235"/>
        <v>1.0291084677965643</v>
      </c>
      <c r="W550" s="357">
        <f t="shared" ca="1" si="236"/>
        <v>61.623196138621864</v>
      </c>
      <c r="X550" s="343"/>
      <c r="Y550" s="367" t="str">
        <f t="shared" ca="1" si="254"/>
        <v/>
      </c>
      <c r="Z550" s="368" t="str">
        <f t="shared" ca="1" si="255"/>
        <v/>
      </c>
      <c r="AA550" s="369" t="str">
        <f t="shared" ca="1" si="256"/>
        <v/>
      </c>
      <c r="AB550" s="344"/>
      <c r="AC550" s="363" t="e">
        <f t="shared" ca="1" si="257"/>
        <v>#N/A</v>
      </c>
      <c r="AD550" s="376" t="e">
        <f t="shared" ca="1" si="258"/>
        <v>#N/A</v>
      </c>
      <c r="AE550" s="377">
        <f t="shared" ca="1" si="237"/>
        <v>1738.0843468896915</v>
      </c>
      <c r="AF550" s="344"/>
      <c r="AG550" s="359">
        <f t="shared" ca="1" si="259"/>
        <v>-15.817673938372362</v>
      </c>
      <c r="AH550" s="357">
        <f t="shared" ca="1" si="260"/>
        <v>-6.4619133610993158</v>
      </c>
    </row>
    <row r="551" spans="1:34" x14ac:dyDescent="0.25">
      <c r="A551" s="402">
        <f t="shared" ca="1" si="238"/>
        <v>0.1</v>
      </c>
      <c r="B551" s="357">
        <f t="shared" ca="1" si="239"/>
        <v>9.6999999999999211</v>
      </c>
      <c r="C551" s="342"/>
      <c r="D551" s="359">
        <f t="shared" ca="1" si="240"/>
        <v>-1.9142608875769189</v>
      </c>
      <c r="E551" s="360">
        <f t="shared" ca="1" si="241"/>
        <v>-15.841638305861405</v>
      </c>
      <c r="F551" s="357">
        <f t="shared" ca="1" si="242"/>
        <v>15.956876228116899</v>
      </c>
      <c r="G551" s="359">
        <f t="shared" ca="1" si="243"/>
        <v>49.010080508860938</v>
      </c>
      <c r="H551" s="360">
        <f t="shared" ca="1" si="244"/>
        <v>153.4447007438433</v>
      </c>
      <c r="I551" s="357">
        <f t="shared" ca="1" si="245"/>
        <v>161.0815451187772</v>
      </c>
      <c r="J551" s="359">
        <f t="shared" ca="1" si="246"/>
        <v>450.09442157054184</v>
      </c>
      <c r="K551" s="360">
        <f t="shared" ca="1" si="247"/>
        <v>1753.5080251556051</v>
      </c>
      <c r="L551" s="357">
        <f t="shared" ca="1" si="232"/>
        <v>1810.352281356872</v>
      </c>
      <c r="M551" s="359">
        <f t="shared" ca="1" si="248"/>
        <v>1.2616386719744466</v>
      </c>
      <c r="N551" s="357">
        <f t="shared" ca="1" si="249"/>
        <v>72.286571174625891</v>
      </c>
      <c r="O551" s="343"/>
      <c r="P551" s="363">
        <f t="shared" ca="1" si="250"/>
        <v>23</v>
      </c>
      <c r="Q551" s="357">
        <f t="shared" ca="1" si="251"/>
        <v>0</v>
      </c>
      <c r="R551" s="359">
        <f t="shared" ca="1" si="252"/>
        <v>0</v>
      </c>
      <c r="S551" s="360">
        <f t="shared" ca="1" si="253"/>
        <v>9.7379999999999765</v>
      </c>
      <c r="T551" s="357">
        <f t="shared" ca="1" si="233"/>
        <v>95.529779999999775</v>
      </c>
      <c r="U551" s="364">
        <f t="shared" ca="1" si="234"/>
        <v>0</v>
      </c>
      <c r="V551" s="359">
        <f t="shared" ca="1" si="235"/>
        <v>1.0275102591883911</v>
      </c>
      <c r="W551" s="357">
        <f t="shared" ca="1" si="236"/>
        <v>60.347232483762596</v>
      </c>
      <c r="X551" s="343"/>
      <c r="Y551" s="367" t="str">
        <f t="shared" ca="1" si="254"/>
        <v/>
      </c>
      <c r="Z551" s="368" t="str">
        <f t="shared" ca="1" si="255"/>
        <v/>
      </c>
      <c r="AA551" s="369" t="str">
        <f t="shared" ca="1" si="256"/>
        <v/>
      </c>
      <c r="AB551" s="344"/>
      <c r="AC551" s="363" t="e">
        <f t="shared" ca="1" si="257"/>
        <v>#N/A</v>
      </c>
      <c r="AD551" s="376" t="e">
        <f t="shared" ca="1" si="258"/>
        <v>#N/A</v>
      </c>
      <c r="AE551" s="377">
        <f t="shared" ca="1" si="237"/>
        <v>1753.5080251556051</v>
      </c>
      <c r="AF551" s="344"/>
      <c r="AG551" s="359">
        <f t="shared" ca="1" si="259"/>
        <v>-15.678508912376905</v>
      </c>
      <c r="AH551" s="357">
        <f t="shared" ca="1" si="260"/>
        <v>-6.3281162598708169</v>
      </c>
    </row>
    <row r="552" spans="1:34" x14ac:dyDescent="0.25">
      <c r="A552" s="402">
        <f t="shared" ca="1" si="238"/>
        <v>0.1</v>
      </c>
      <c r="B552" s="357">
        <f t="shared" ca="1" si="239"/>
        <v>9.7999999999999208</v>
      </c>
      <c r="C552" s="342"/>
      <c r="D552" s="359">
        <f t="shared" ca="1" si="240"/>
        <v>-1.8855029539947297</v>
      </c>
      <c r="E552" s="360">
        <f t="shared" ca="1" si="241"/>
        <v>-15.713284253431196</v>
      </c>
      <c r="F552" s="357">
        <f t="shared" ca="1" si="242"/>
        <v>15.826004657482304</v>
      </c>
      <c r="G552" s="359">
        <f t="shared" ca="1" si="243"/>
        <v>48.821530213461465</v>
      </c>
      <c r="H552" s="360">
        <f t="shared" ca="1" si="244"/>
        <v>151.87337231850017</v>
      </c>
      <c r="I552" s="357">
        <f t="shared" ca="1" si="245"/>
        <v>159.52762466663165</v>
      </c>
      <c r="J552" s="359">
        <f t="shared" ca="1" si="246"/>
        <v>454.98600210665796</v>
      </c>
      <c r="K552" s="360">
        <f t="shared" ca="1" si="247"/>
        <v>1768.7739288087223</v>
      </c>
      <c r="L552" s="357">
        <f t="shared" ca="1" si="232"/>
        <v>1826.3552429213883</v>
      </c>
      <c r="M552" s="359">
        <f t="shared" ca="1" si="248"/>
        <v>1.2597676754048805</v>
      </c>
      <c r="N552" s="357">
        <f t="shared" ca="1" si="249"/>
        <v>72.179370967706291</v>
      </c>
      <c r="O552" s="343"/>
      <c r="P552" s="363">
        <f t="shared" ca="1" si="250"/>
        <v>23</v>
      </c>
      <c r="Q552" s="357">
        <f t="shared" ca="1" si="251"/>
        <v>0</v>
      </c>
      <c r="R552" s="359">
        <f t="shared" ca="1" si="252"/>
        <v>0</v>
      </c>
      <c r="S552" s="360">
        <f t="shared" ca="1" si="253"/>
        <v>9.7379999999999765</v>
      </c>
      <c r="T552" s="357">
        <f t="shared" ca="1" si="233"/>
        <v>95.529779999999775</v>
      </c>
      <c r="U552" s="364">
        <f t="shared" ca="1" si="234"/>
        <v>0</v>
      </c>
      <c r="V552" s="359">
        <f t="shared" ca="1" si="235"/>
        <v>1.0259306293614254</v>
      </c>
      <c r="W552" s="357">
        <f t="shared" ca="1" si="236"/>
        <v>59.097541078309369</v>
      </c>
      <c r="X552" s="343"/>
      <c r="Y552" s="367" t="str">
        <f t="shared" ca="1" si="254"/>
        <v/>
      </c>
      <c r="Z552" s="368" t="str">
        <f t="shared" ca="1" si="255"/>
        <v/>
      </c>
      <c r="AA552" s="369" t="str">
        <f t="shared" ca="1" si="256"/>
        <v/>
      </c>
      <c r="AB552" s="344"/>
      <c r="AC552" s="363" t="e">
        <f t="shared" ca="1" si="257"/>
        <v>#N/A</v>
      </c>
      <c r="AD552" s="376" t="e">
        <f t="shared" ca="1" si="258"/>
        <v>#N/A</v>
      </c>
      <c r="AE552" s="377">
        <f t="shared" ca="1" si="237"/>
        <v>1768.7739288087223</v>
      </c>
      <c r="AF552" s="344"/>
      <c r="AG552" s="359">
        <f t="shared" ca="1" si="259"/>
        <v>-15.541996755119509</v>
      </c>
      <c r="AH552" s="357">
        <f t="shared" ca="1" si="260"/>
        <v>-6.1970869258331014</v>
      </c>
    </row>
    <row r="553" spans="1:34" x14ac:dyDescent="0.25">
      <c r="A553" s="402">
        <f t="shared" ca="1" si="238"/>
        <v>0.1</v>
      </c>
      <c r="B553" s="357">
        <f t="shared" ca="1" si="239"/>
        <v>9.8999999999999204</v>
      </c>
      <c r="C553" s="342"/>
      <c r="D553" s="359">
        <f t="shared" ca="1" si="240"/>
        <v>-1.8572703675449571</v>
      </c>
      <c r="E553" s="360">
        <f t="shared" ca="1" si="241"/>
        <v>-15.587572165251352</v>
      </c>
      <c r="F553" s="357">
        <f t="shared" ca="1" si="242"/>
        <v>15.697829761628814</v>
      </c>
      <c r="G553" s="359">
        <f t="shared" ca="1" si="243"/>
        <v>48.635803176706972</v>
      </c>
      <c r="H553" s="360">
        <f t="shared" ca="1" si="244"/>
        <v>150.31461510197505</v>
      </c>
      <c r="I553" s="357">
        <f t="shared" ca="1" si="245"/>
        <v>157.98710347334773</v>
      </c>
      <c r="J553" s="359">
        <f t="shared" ca="1" si="246"/>
        <v>459.85886877616639</v>
      </c>
      <c r="K553" s="360">
        <f t="shared" ca="1" si="247"/>
        <v>1783.8833281797461</v>
      </c>
      <c r="L553" s="357">
        <f t="shared" ca="1" si="232"/>
        <v>1842.202461118143</v>
      </c>
      <c r="M553" s="359">
        <f t="shared" ca="1" si="248"/>
        <v>1.2578673712380866</v>
      </c>
      <c r="N553" s="357">
        <f t="shared" ca="1" si="249"/>
        <v>72.070491559157873</v>
      </c>
      <c r="O553" s="343"/>
      <c r="P553" s="363">
        <f t="shared" ca="1" si="250"/>
        <v>23</v>
      </c>
      <c r="Q553" s="357">
        <f t="shared" ca="1" si="251"/>
        <v>0</v>
      </c>
      <c r="R553" s="359">
        <f t="shared" ca="1" si="252"/>
        <v>0</v>
      </c>
      <c r="S553" s="360">
        <f t="shared" ca="1" si="253"/>
        <v>9.7379999999999765</v>
      </c>
      <c r="T553" s="357">
        <f t="shared" ca="1" si="233"/>
        <v>95.529779999999775</v>
      </c>
      <c r="U553" s="364">
        <f t="shared" ca="1" si="234"/>
        <v>0</v>
      </c>
      <c r="V553" s="359">
        <f t="shared" ca="1" si="235"/>
        <v>1.0243693737614425</v>
      </c>
      <c r="W553" s="357">
        <f t="shared" ca="1" si="236"/>
        <v>57.873463923072315</v>
      </c>
      <c r="X553" s="343"/>
      <c r="Y553" s="367" t="str">
        <f t="shared" ca="1" si="254"/>
        <v/>
      </c>
      <c r="Z553" s="368" t="str">
        <f t="shared" ca="1" si="255"/>
        <v/>
      </c>
      <c r="AA553" s="369" t="str">
        <f t="shared" ca="1" si="256"/>
        <v/>
      </c>
      <c r="AB553" s="344"/>
      <c r="AC553" s="363" t="e">
        <f t="shared" ca="1" si="257"/>
        <v>#N/A</v>
      </c>
      <c r="AD553" s="376" t="e">
        <f t="shared" ca="1" si="258"/>
        <v>#N/A</v>
      </c>
      <c r="AE553" s="377">
        <f t="shared" ca="1" si="237"/>
        <v>1783.8833281797461</v>
      </c>
      <c r="AF553" s="344"/>
      <c r="AG553" s="359">
        <f t="shared" ca="1" si="259"/>
        <v>-15.408064512305828</v>
      </c>
      <c r="AH553" s="357">
        <f t="shared" ca="1" si="260"/>
        <v>-6.0687555019829036</v>
      </c>
    </row>
    <row r="554" spans="1:34" x14ac:dyDescent="0.25">
      <c r="A554" s="402">
        <f t="shared" ca="1" si="238"/>
        <v>0.1</v>
      </c>
      <c r="B554" s="357">
        <f t="shared" ca="1" si="239"/>
        <v>9.9999999999999201</v>
      </c>
      <c r="C554" s="342"/>
      <c r="D554" s="359">
        <f t="shared" ca="1" si="240"/>
        <v>-1.8295494922723701</v>
      </c>
      <c r="E554" s="360">
        <f t="shared" ca="1" si="241"/>
        <v>-15.464435822551486</v>
      </c>
      <c r="F554" s="357">
        <f t="shared" ca="1" si="242"/>
        <v>15.572283925439059</v>
      </c>
      <c r="G554" s="359">
        <f t="shared" ca="1" si="243"/>
        <v>48.452848227479734</v>
      </c>
      <c r="H554" s="360">
        <f t="shared" ca="1" si="244"/>
        <v>148.76817151971991</v>
      </c>
      <c r="I554" s="357">
        <f t="shared" ca="1" si="245"/>
        <v>156.45973078935037</v>
      </c>
      <c r="J554" s="359">
        <f t="shared" ca="1" si="246"/>
        <v>464.71330134637572</v>
      </c>
      <c r="K554" s="360">
        <f t="shared" ca="1" si="247"/>
        <v>1798.8374675108307</v>
      </c>
      <c r="L554" s="357">
        <f t="shared" ca="1" si="232"/>
        <v>1857.8952303531614</v>
      </c>
      <c r="M554" s="359">
        <f t="shared" ca="1" si="248"/>
        <v>1.2559371763823537</v>
      </c>
      <c r="N554" s="357">
        <f t="shared" ca="1" si="249"/>
        <v>71.959899540286514</v>
      </c>
      <c r="O554" s="343"/>
      <c r="P554" s="363">
        <f t="shared" ca="1" si="250"/>
        <v>23</v>
      </c>
      <c r="Q554" s="357">
        <f t="shared" ca="1" si="251"/>
        <v>0</v>
      </c>
      <c r="R554" s="359">
        <f t="shared" ca="1" si="252"/>
        <v>0</v>
      </c>
      <c r="S554" s="360">
        <f t="shared" ca="1" si="253"/>
        <v>9.7379999999999765</v>
      </c>
      <c r="T554" s="357">
        <f t="shared" ca="1" si="233"/>
        <v>95.529779999999775</v>
      </c>
      <c r="U554" s="364">
        <f t="shared" ca="1" si="234"/>
        <v>0</v>
      </c>
      <c r="V554" s="359">
        <f t="shared" ca="1" si="235"/>
        <v>1.0228262922520528</v>
      </c>
      <c r="W554" s="357">
        <f t="shared" ca="1" si="236"/>
        <v>56.674364422543107</v>
      </c>
      <c r="X554" s="343"/>
      <c r="Y554" s="367" t="str">
        <f t="shared" ca="1" si="254"/>
        <v/>
      </c>
      <c r="Z554" s="368" t="str">
        <f t="shared" ca="1" si="255"/>
        <v/>
      </c>
      <c r="AA554" s="369" t="str">
        <f t="shared" ca="1" si="256"/>
        <v/>
      </c>
      <c r="AB554" s="344"/>
      <c r="AC554" s="363">
        <f t="shared" ca="1" si="257"/>
        <v>9.9999999999999201</v>
      </c>
      <c r="AD554" s="376">
        <f t="shared" ca="1" si="258"/>
        <v>464.71330134637572</v>
      </c>
      <c r="AE554" s="377">
        <f t="shared" ca="1" si="237"/>
        <v>1798.8374675108307</v>
      </c>
      <c r="AF554" s="344"/>
      <c r="AG554" s="359">
        <f t="shared" ca="1" si="259"/>
        <v>-15.276641411755371</v>
      </c>
      <c r="AH554" s="357">
        <f t="shared" ca="1" si="260"/>
        <v>-5.943054418060429</v>
      </c>
    </row>
    <row r="555" spans="1:34" x14ac:dyDescent="0.25">
      <c r="A555" s="402">
        <f t="shared" ca="1" si="238"/>
        <v>0.1</v>
      </c>
      <c r="B555" s="357">
        <f t="shared" ca="1" si="239"/>
        <v>10.09999999999992</v>
      </c>
      <c r="C555" s="342"/>
      <c r="D555" s="359">
        <f t="shared" ca="1" si="240"/>
        <v>-1.802327133945987</v>
      </c>
      <c r="E555" s="360">
        <f t="shared" ca="1" si="241"/>
        <v>-15.343811158813452</v>
      </c>
      <c r="F555" s="357">
        <f t="shared" ca="1" si="242"/>
        <v>15.449301730987267</v>
      </c>
      <c r="G555" s="359">
        <f t="shared" ca="1" si="243"/>
        <v>48.272615514085132</v>
      </c>
      <c r="H555" s="360">
        <f t="shared" ca="1" si="244"/>
        <v>147.23379040383855</v>
      </c>
      <c r="I555" s="357">
        <f t="shared" ca="1" si="245"/>
        <v>154.94526273898197</v>
      </c>
      <c r="J555" s="359">
        <f t="shared" ca="1" si="246"/>
        <v>469.54957453345395</v>
      </c>
      <c r="K555" s="360">
        <f t="shared" ca="1" si="247"/>
        <v>1813.6375656070086</v>
      </c>
      <c r="L555" s="357">
        <f t="shared" ca="1" si="232"/>
        <v>1873.4348193426597</v>
      </c>
      <c r="M555" s="359">
        <f t="shared" ca="1" si="248"/>
        <v>1.2539764918817353</v>
      </c>
      <c r="N555" s="357">
        <f t="shared" ca="1" si="249"/>
        <v>71.847560593444371</v>
      </c>
      <c r="O555" s="343"/>
      <c r="P555" s="363">
        <f t="shared" ca="1" si="250"/>
        <v>23</v>
      </c>
      <c r="Q555" s="357">
        <f t="shared" ca="1" si="251"/>
        <v>0</v>
      </c>
      <c r="R555" s="359">
        <f t="shared" ca="1" si="252"/>
        <v>0</v>
      </c>
      <c r="S555" s="360">
        <f t="shared" ca="1" si="253"/>
        <v>9.7379999999999765</v>
      </c>
      <c r="T555" s="357">
        <f t="shared" ca="1" si="233"/>
        <v>95.529779999999775</v>
      </c>
      <c r="U555" s="364">
        <f t="shared" ca="1" si="234"/>
        <v>0</v>
      </c>
      <c r="V555" s="359">
        <f t="shared" ca="1" si="235"/>
        <v>1.021301188998254</v>
      </c>
      <c r="W555" s="357">
        <f t="shared" ca="1" si="236"/>
        <v>55.499626559547721</v>
      </c>
      <c r="X555" s="343"/>
      <c r="Y555" s="367" t="str">
        <f t="shared" ca="1" si="254"/>
        <v/>
      </c>
      <c r="Z555" s="368" t="str">
        <f t="shared" ca="1" si="255"/>
        <v/>
      </c>
      <c r="AA555" s="369" t="str">
        <f t="shared" ca="1" si="256"/>
        <v/>
      </c>
      <c r="AB555" s="344"/>
      <c r="AC555" s="363" t="e">
        <f t="shared" ca="1" si="257"/>
        <v>#N/A</v>
      </c>
      <c r="AD555" s="376" t="e">
        <f t="shared" ca="1" si="258"/>
        <v>#N/A</v>
      </c>
      <c r="AE555" s="377">
        <f t="shared" ca="1" si="237"/>
        <v>1813.6375656070086</v>
      </c>
      <c r="AF555" s="344"/>
      <c r="AG555" s="359">
        <f t="shared" ca="1" si="259"/>
        <v>-15.147658770477843</v>
      </c>
      <c r="AH555" s="357">
        <f t="shared" ca="1" si="260"/>
        <v>-5.8199183017604481</v>
      </c>
    </row>
    <row r="556" spans="1:34" x14ac:dyDescent="0.25">
      <c r="A556" s="402">
        <f t="shared" ca="1" si="238"/>
        <v>0.1</v>
      </c>
      <c r="B556" s="357">
        <f t="shared" ca="1" si="239"/>
        <v>10.199999999999919</v>
      </c>
      <c r="C556" s="342"/>
      <c r="D556" s="359">
        <f t="shared" ca="1" si="240"/>
        <v>-1.7755905231064075</v>
      </c>
      <c r="E556" s="360">
        <f t="shared" ca="1" si="241"/>
        <v>-15.225636176701695</v>
      </c>
      <c r="F556" s="357">
        <f t="shared" ca="1" si="242"/>
        <v>15.328819872744042</v>
      </c>
      <c r="G556" s="359">
        <f t="shared" ca="1" si="243"/>
        <v>48.09505646177449</v>
      </c>
      <c r="H556" s="360">
        <f t="shared" ca="1" si="244"/>
        <v>145.7112267861684</v>
      </c>
      <c r="I556" s="357">
        <f t="shared" ca="1" si="245"/>
        <v>153.44346212071557</v>
      </c>
      <c r="J556" s="359">
        <f t="shared" ca="1" si="246"/>
        <v>474.36795813224694</v>
      </c>
      <c r="K556" s="360">
        <f t="shared" ca="1" si="247"/>
        <v>1828.284816466509</v>
      </c>
      <c r="L556" s="357">
        <f t="shared" ca="1" si="232"/>
        <v>1888.8224717597295</v>
      </c>
      <c r="M556" s="359">
        <f t="shared" ca="1" si="248"/>
        <v>1.2519847024056179</v>
      </c>
      <c r="N556" s="357">
        <f t="shared" ca="1" si="249"/>
        <v>71.733439462784276</v>
      </c>
      <c r="O556" s="343"/>
      <c r="P556" s="363">
        <f t="shared" ca="1" si="250"/>
        <v>23</v>
      </c>
      <c r="Q556" s="357">
        <f t="shared" ca="1" si="251"/>
        <v>0</v>
      </c>
      <c r="R556" s="359">
        <f t="shared" ca="1" si="252"/>
        <v>0</v>
      </c>
      <c r="S556" s="360">
        <f t="shared" ca="1" si="253"/>
        <v>9.7379999999999765</v>
      </c>
      <c r="T556" s="357">
        <f t="shared" ca="1" si="233"/>
        <v>95.529779999999775</v>
      </c>
      <c r="U556" s="364">
        <f t="shared" ca="1" si="234"/>
        <v>0</v>
      </c>
      <c r="V556" s="359">
        <f t="shared" ca="1" si="235"/>
        <v>1.0197938723539142</v>
      </c>
      <c r="W556" s="357">
        <f t="shared" ca="1" si="236"/>
        <v>54.348654107148121</v>
      </c>
      <c r="X556" s="343"/>
      <c r="Y556" s="367" t="str">
        <f t="shared" ca="1" si="254"/>
        <v/>
      </c>
      <c r="Z556" s="368" t="str">
        <f t="shared" ca="1" si="255"/>
        <v/>
      </c>
      <c r="AA556" s="369" t="str">
        <f t="shared" ca="1" si="256"/>
        <v/>
      </c>
      <c r="AB556" s="344"/>
      <c r="AC556" s="363" t="e">
        <f t="shared" ca="1" si="257"/>
        <v>#N/A</v>
      </c>
      <c r="AD556" s="376" t="e">
        <f t="shared" ca="1" si="258"/>
        <v>#N/A</v>
      </c>
      <c r="AE556" s="377">
        <f t="shared" ca="1" si="237"/>
        <v>1828.284816466509</v>
      </c>
      <c r="AF556" s="344"/>
      <c r="AG556" s="359">
        <f t="shared" ca="1" si="259"/>
        <v>-15.021049905596231</v>
      </c>
      <c r="AH556" s="357">
        <f t="shared" ca="1" si="260"/>
        <v>-5.6992838939769825</v>
      </c>
    </row>
    <row r="557" spans="1:34" x14ac:dyDescent="0.25">
      <c r="A557" s="402">
        <f t="shared" ca="1" si="238"/>
        <v>0.1</v>
      </c>
      <c r="B557" s="357">
        <f t="shared" ca="1" si="239"/>
        <v>10.299999999999919</v>
      </c>
      <c r="C557" s="342"/>
      <c r="D557" s="359">
        <f t="shared" ca="1" si="240"/>
        <v>-1.7493272988843851</v>
      </c>
      <c r="E557" s="360">
        <f t="shared" ca="1" si="241"/>
        <v>-15.109850868738821</v>
      </c>
      <c r="F557" s="357">
        <f t="shared" ca="1" si="242"/>
        <v>15.210777076604254</v>
      </c>
      <c r="G557" s="359">
        <f t="shared" ca="1" si="243"/>
        <v>47.920123731886051</v>
      </c>
      <c r="H557" s="360">
        <f t="shared" ca="1" si="244"/>
        <v>144.20024169929451</v>
      </c>
      <c r="I557" s="357">
        <f t="shared" ca="1" si="245"/>
        <v>151.9540982159225</v>
      </c>
      <c r="J557" s="359">
        <f t="shared" ca="1" si="246"/>
        <v>479.16871714192996</v>
      </c>
      <c r="K557" s="360">
        <f t="shared" ca="1" si="247"/>
        <v>1842.7803898907821</v>
      </c>
      <c r="L557" s="357">
        <f t="shared" ca="1" si="232"/>
        <v>1904.0594068603705</v>
      </c>
      <c r="M557" s="359">
        <f t="shared" ca="1" si="248"/>
        <v>1.2499611757191353</v>
      </c>
      <c r="N557" s="357">
        <f t="shared" ca="1" si="249"/>
        <v>71.617499923916725</v>
      </c>
      <c r="O557" s="343"/>
      <c r="P557" s="363">
        <f t="shared" ca="1" si="250"/>
        <v>23</v>
      </c>
      <c r="Q557" s="357">
        <f t="shared" ca="1" si="251"/>
        <v>0</v>
      </c>
      <c r="R557" s="359">
        <f t="shared" ca="1" si="252"/>
        <v>0</v>
      </c>
      <c r="S557" s="360">
        <f t="shared" ca="1" si="253"/>
        <v>9.7379999999999765</v>
      </c>
      <c r="T557" s="357">
        <f t="shared" ca="1" si="233"/>
        <v>95.529779999999775</v>
      </c>
      <c r="U557" s="364">
        <f t="shared" ca="1" si="234"/>
        <v>0</v>
      </c>
      <c r="V557" s="359">
        <f t="shared" ca="1" si="235"/>
        <v>1.0183041547530303</v>
      </c>
      <c r="W557" s="357">
        <f t="shared" ca="1" si="236"/>
        <v>53.22086987587938</v>
      </c>
      <c r="X557" s="343"/>
      <c r="Y557" s="367" t="str">
        <f t="shared" ca="1" si="254"/>
        <v/>
      </c>
      <c r="Z557" s="368" t="str">
        <f t="shared" ca="1" si="255"/>
        <v/>
      </c>
      <c r="AA557" s="369" t="str">
        <f t="shared" ca="1" si="256"/>
        <v/>
      </c>
      <c r="AB557" s="344"/>
      <c r="AC557" s="363" t="e">
        <f t="shared" ca="1" si="257"/>
        <v>#N/A</v>
      </c>
      <c r="AD557" s="376" t="e">
        <f t="shared" ca="1" si="258"/>
        <v>#N/A</v>
      </c>
      <c r="AE557" s="377">
        <f t="shared" ca="1" si="237"/>
        <v>1842.7803898907821</v>
      </c>
      <c r="AF557" s="344"/>
      <c r="AG557" s="359">
        <f t="shared" ca="1" si="259"/>
        <v>-14.896750048898689</v>
      </c>
      <c r="AH557" s="357">
        <f t="shared" ca="1" si="260"/>
        <v>-5.5810899678731003</v>
      </c>
    </row>
    <row r="558" spans="1:34" x14ac:dyDescent="0.25">
      <c r="A558" s="402">
        <f t="shared" ca="1" si="238"/>
        <v>0.1</v>
      </c>
      <c r="B558" s="357">
        <f t="shared" ca="1" si="239"/>
        <v>10.399999999999919</v>
      </c>
      <c r="C558" s="342"/>
      <c r="D558" s="359">
        <f t="shared" ca="1" si="240"/>
        <v>-1.7235254935513196</v>
      </c>
      <c r="E558" s="360">
        <f t="shared" ca="1" si="241"/>
        <v>-14.996397141533725</v>
      </c>
      <c r="F558" s="357">
        <f t="shared" ca="1" si="242"/>
        <v>15.095114022541274</v>
      </c>
      <c r="G558" s="359">
        <f t="shared" ca="1" si="243"/>
        <v>47.747771182530919</v>
      </c>
      <c r="H558" s="360">
        <f t="shared" ca="1" si="244"/>
        <v>142.70060198514113</v>
      </c>
      <c r="I558" s="357">
        <f t="shared" ca="1" si="245"/>
        <v>150.47694660585387</v>
      </c>
      <c r="J558" s="359">
        <f t="shared" ca="1" si="246"/>
        <v>483.9521118876508</v>
      </c>
      <c r="K558" s="360">
        <f t="shared" ca="1" si="247"/>
        <v>1857.1254320750038</v>
      </c>
      <c r="L558" s="357">
        <f t="shared" ca="1" si="232"/>
        <v>1919.1468200896686</v>
      </c>
      <c r="M558" s="359">
        <f t="shared" ca="1" si="248"/>
        <v>1.2479052621336397</v>
      </c>
      <c r="N558" s="357">
        <f t="shared" ca="1" si="249"/>
        <v>71.499704752424222</v>
      </c>
      <c r="O558" s="343"/>
      <c r="P558" s="363">
        <f t="shared" ca="1" si="250"/>
        <v>23</v>
      </c>
      <c r="Q558" s="357">
        <f t="shared" ca="1" si="251"/>
        <v>0</v>
      </c>
      <c r="R558" s="359">
        <f t="shared" ca="1" si="252"/>
        <v>0</v>
      </c>
      <c r="S558" s="360">
        <f t="shared" ca="1" si="253"/>
        <v>9.7379999999999765</v>
      </c>
      <c r="T558" s="357">
        <f t="shared" ca="1" si="233"/>
        <v>95.529779999999775</v>
      </c>
      <c r="U558" s="364">
        <f t="shared" ca="1" si="234"/>
        <v>0</v>
      </c>
      <c r="V558" s="359">
        <f t="shared" ca="1" si="235"/>
        <v>1.0168318526046078</v>
      </c>
      <c r="W558" s="357">
        <f t="shared" ca="1" si="236"/>
        <v>52.115714994520104</v>
      </c>
      <c r="X558" s="343"/>
      <c r="Y558" s="367" t="str">
        <f t="shared" ca="1" si="254"/>
        <v/>
      </c>
      <c r="Z558" s="368" t="str">
        <f t="shared" ca="1" si="255"/>
        <v/>
      </c>
      <c r="AA558" s="369" t="str">
        <f t="shared" ca="1" si="256"/>
        <v/>
      </c>
      <c r="AB558" s="344"/>
      <c r="AC558" s="363" t="e">
        <f t="shared" ca="1" si="257"/>
        <v>#N/A</v>
      </c>
      <c r="AD558" s="376" t="e">
        <f t="shared" ca="1" si="258"/>
        <v>#N/A</v>
      </c>
      <c r="AE558" s="377">
        <f t="shared" ca="1" si="237"/>
        <v>1857.1254320750038</v>
      </c>
      <c r="AF558" s="344"/>
      <c r="AG558" s="359">
        <f t="shared" ca="1" si="259"/>
        <v>-14.77469626481296</v>
      </c>
      <c r="AH558" s="357">
        <f t="shared" ca="1" si="260"/>
        <v>-5.4652772515793293</v>
      </c>
    </row>
    <row r="559" spans="1:34" x14ac:dyDescent="0.25">
      <c r="A559" s="402">
        <f t="shared" ca="1" si="238"/>
        <v>0.1</v>
      </c>
      <c r="B559" s="357">
        <f t="shared" ca="1" si="239"/>
        <v>10.499999999999918</v>
      </c>
      <c r="C559" s="342"/>
      <c r="D559" s="359">
        <f t="shared" ca="1" si="240"/>
        <v>-1.6981735177646788</v>
      </c>
      <c r="E559" s="360">
        <f t="shared" ca="1" si="241"/>
        <v>-14.885218743380925</v>
      </c>
      <c r="F559" s="357">
        <f t="shared" ca="1" si="242"/>
        <v>14.981773270702506</v>
      </c>
      <c r="G559" s="359">
        <f t="shared" ca="1" si="243"/>
        <v>47.577953830754453</v>
      </c>
      <c r="H559" s="360">
        <f t="shared" ca="1" si="244"/>
        <v>141.21208011080304</v>
      </c>
      <c r="I559" s="357">
        <f t="shared" ca="1" si="245"/>
        <v>149.01178899651282</v>
      </c>
      <c r="J559" s="359">
        <f t="shared" ca="1" si="246"/>
        <v>488.71839813831508</v>
      </c>
      <c r="K559" s="360">
        <f t="shared" ca="1" si="247"/>
        <v>1871.3210661798009</v>
      </c>
      <c r="L559" s="357">
        <f t="shared" ca="1" si="232"/>
        <v>1934.0858836688685</v>
      </c>
      <c r="M559" s="359">
        <f t="shared" ca="1" si="248"/>
        <v>1.2458162939364046</v>
      </c>
      <c r="N559" s="357">
        <f t="shared" ca="1" si="249"/>
        <v>71.380015691185591</v>
      </c>
      <c r="O559" s="343"/>
      <c r="P559" s="363">
        <f t="shared" ca="1" si="250"/>
        <v>23</v>
      </c>
      <c r="Q559" s="357">
        <f t="shared" ca="1" si="251"/>
        <v>0</v>
      </c>
      <c r="R559" s="359">
        <f t="shared" ca="1" si="252"/>
        <v>0</v>
      </c>
      <c r="S559" s="360">
        <f t="shared" ca="1" si="253"/>
        <v>9.7379999999999765</v>
      </c>
      <c r="T559" s="357">
        <f t="shared" ca="1" si="233"/>
        <v>95.529779999999775</v>
      </c>
      <c r="U559" s="364">
        <f t="shared" ca="1" si="234"/>
        <v>0</v>
      </c>
      <c r="V559" s="359">
        <f t="shared" ca="1" si="235"/>
        <v>1.0153767861910268</v>
      </c>
      <c r="W559" s="357">
        <f t="shared" ca="1" si="236"/>
        <v>51.032648222696288</v>
      </c>
      <c r="X559" s="343"/>
      <c r="Y559" s="367" t="str">
        <f t="shared" ca="1" si="254"/>
        <v/>
      </c>
      <c r="Z559" s="368" t="str">
        <f t="shared" ca="1" si="255"/>
        <v/>
      </c>
      <c r="AA559" s="369" t="str">
        <f t="shared" ca="1" si="256"/>
        <v/>
      </c>
      <c r="AB559" s="344"/>
      <c r="AC559" s="363" t="e">
        <f t="shared" ca="1" si="257"/>
        <v>#N/A</v>
      </c>
      <c r="AD559" s="376" t="e">
        <f t="shared" ca="1" si="258"/>
        <v>#N/A</v>
      </c>
      <c r="AE559" s="377">
        <f t="shared" ca="1" si="237"/>
        <v>1871.3210661798009</v>
      </c>
      <c r="AF559" s="344"/>
      <c r="AG559" s="359">
        <f t="shared" ca="1" si="259"/>
        <v>-14.654827371607754</v>
      </c>
      <c r="AH559" s="357">
        <f t="shared" ca="1" si="260"/>
        <v>-5.3517883543356159</v>
      </c>
    </row>
    <row r="560" spans="1:34" x14ac:dyDescent="0.25">
      <c r="A560" s="402">
        <f t="shared" ca="1" si="238"/>
        <v>0.1</v>
      </c>
      <c r="B560" s="357">
        <f t="shared" ca="1" si="239"/>
        <v>10.599999999999918</v>
      </c>
      <c r="C560" s="342"/>
      <c r="D560" s="359">
        <f t="shared" ca="1" si="240"/>
        <v>-1.6732601464734909</v>
      </c>
      <c r="E560" s="360">
        <f t="shared" ca="1" si="241"/>
        <v>-14.776261195059927</v>
      </c>
      <c r="F560" s="357">
        <f t="shared" ca="1" si="242"/>
        <v>14.870699190771438</v>
      </c>
      <c r="G560" s="359">
        <f t="shared" ca="1" si="243"/>
        <v>47.410627816107102</v>
      </c>
      <c r="H560" s="360">
        <f t="shared" ca="1" si="244"/>
        <v>139.73445399129704</v>
      </c>
      <c r="I560" s="357">
        <f t="shared" ca="1" si="245"/>
        <v>147.55841305111457</v>
      </c>
      <c r="J560" s="359">
        <f t="shared" ca="1" si="246"/>
        <v>493.46782722065814</v>
      </c>
      <c r="K560" s="360">
        <f t="shared" ca="1" si="247"/>
        <v>1885.3683928849059</v>
      </c>
      <c r="L560" s="357">
        <f t="shared" ca="1" si="232"/>
        <v>1948.8777471640674</v>
      </c>
      <c r="M560" s="359">
        <f t="shared" ca="1" si="248"/>
        <v>1.2436935847987047</v>
      </c>
      <c r="N560" s="357">
        <f t="shared" ca="1" si="249"/>
        <v>71.258393416461544</v>
      </c>
      <c r="O560" s="343"/>
      <c r="P560" s="363">
        <f t="shared" ca="1" si="250"/>
        <v>23</v>
      </c>
      <c r="Q560" s="357">
        <f t="shared" ca="1" si="251"/>
        <v>0</v>
      </c>
      <c r="R560" s="359">
        <f t="shared" ca="1" si="252"/>
        <v>0</v>
      </c>
      <c r="S560" s="360">
        <f t="shared" ca="1" si="253"/>
        <v>9.7379999999999765</v>
      </c>
      <c r="T560" s="357">
        <f t="shared" ca="1" si="233"/>
        <v>95.529779999999775</v>
      </c>
      <c r="U560" s="364">
        <f t="shared" ca="1" si="234"/>
        <v>0</v>
      </c>
      <c r="V560" s="359">
        <f t="shared" ca="1" si="235"/>
        <v>1.013938779569745</v>
      </c>
      <c r="W560" s="357">
        <f t="shared" ca="1" si="236"/>
        <v>49.971145293715367</v>
      </c>
      <c r="X560" s="343"/>
      <c r="Y560" s="367" t="str">
        <f t="shared" ca="1" si="254"/>
        <v/>
      </c>
      <c r="Z560" s="368" t="str">
        <f t="shared" ca="1" si="255"/>
        <v/>
      </c>
      <c r="AA560" s="369" t="str">
        <f t="shared" ca="1" si="256"/>
        <v/>
      </c>
      <c r="AB560" s="344"/>
      <c r="AC560" s="363" t="e">
        <f t="shared" ca="1" si="257"/>
        <v>#N/A</v>
      </c>
      <c r="AD560" s="376" t="e">
        <f t="shared" ca="1" si="258"/>
        <v>#N/A</v>
      </c>
      <c r="AE560" s="377">
        <f t="shared" ca="1" si="237"/>
        <v>1885.3683928849059</v>
      </c>
      <c r="AF560" s="344"/>
      <c r="AG560" s="359">
        <f t="shared" ca="1" si="259"/>
        <v>-14.537083865635648</v>
      </c>
      <c r="AH560" s="357">
        <f t="shared" ca="1" si="260"/>
        <v>-5.2405676959022811</v>
      </c>
    </row>
    <row r="561" spans="1:34" x14ac:dyDescent="0.25">
      <c r="A561" s="402">
        <f t="shared" ca="1" si="238"/>
        <v>0.1</v>
      </c>
      <c r="B561" s="357">
        <f t="shared" ca="1" si="239"/>
        <v>10.699999999999918</v>
      </c>
      <c r="C561" s="342"/>
      <c r="D561" s="359">
        <f t="shared" ca="1" si="240"/>
        <v>-1.6487745054510079</v>
      </c>
      <c r="E561" s="360">
        <f t="shared" ca="1" si="241"/>
        <v>-14.669471723673221</v>
      </c>
      <c r="F561" s="357">
        <f t="shared" ca="1" si="242"/>
        <v>14.761837894431485</v>
      </c>
      <c r="G561" s="359">
        <f t="shared" ca="1" si="243"/>
        <v>47.245750365562003</v>
      </c>
      <c r="H561" s="360">
        <f t="shared" ca="1" si="244"/>
        <v>138.26750681892972</v>
      </c>
      <c r="I561" s="357">
        <f t="shared" ca="1" si="245"/>
        <v>146.11661222984804</v>
      </c>
      <c r="J561" s="359">
        <f t="shared" ca="1" si="246"/>
        <v>498.20064612974159</v>
      </c>
      <c r="K561" s="360">
        <f t="shared" ca="1" si="247"/>
        <v>1899.2684909254172</v>
      </c>
      <c r="L561" s="357">
        <f t="shared" ca="1" si="232"/>
        <v>1963.5235380372203</v>
      </c>
      <c r="M561" s="359">
        <f t="shared" ca="1" si="248"/>
        <v>1.2415364291613749</v>
      </c>
      <c r="N561" s="357">
        <f t="shared" ca="1" si="249"/>
        <v>71.134797502689679</v>
      </c>
      <c r="O561" s="343"/>
      <c r="P561" s="363">
        <f t="shared" ca="1" si="250"/>
        <v>23</v>
      </c>
      <c r="Q561" s="357">
        <f t="shared" ca="1" si="251"/>
        <v>0</v>
      </c>
      <c r="R561" s="359">
        <f t="shared" ca="1" si="252"/>
        <v>0</v>
      </c>
      <c r="S561" s="360">
        <f t="shared" ca="1" si="253"/>
        <v>9.7379999999999765</v>
      </c>
      <c r="T561" s="357">
        <f t="shared" ca="1" si="233"/>
        <v>95.529779999999775</v>
      </c>
      <c r="U561" s="364">
        <f t="shared" ca="1" si="234"/>
        <v>0</v>
      </c>
      <c r="V561" s="359">
        <f t="shared" ca="1" si="235"/>
        <v>1.0125176604782276</v>
      </c>
      <c r="W561" s="357">
        <f t="shared" ca="1" si="236"/>
        <v>48.930698286118847</v>
      </c>
      <c r="X561" s="343"/>
      <c r="Y561" s="367" t="str">
        <f t="shared" ca="1" si="254"/>
        <v/>
      </c>
      <c r="Z561" s="368" t="str">
        <f t="shared" ca="1" si="255"/>
        <v/>
      </c>
      <c r="AA561" s="369" t="str">
        <f t="shared" ca="1" si="256"/>
        <v/>
      </c>
      <c r="AB561" s="344"/>
      <c r="AC561" s="363" t="e">
        <f t="shared" ca="1" si="257"/>
        <v>#N/A</v>
      </c>
      <c r="AD561" s="376" t="e">
        <f t="shared" ca="1" si="258"/>
        <v>#N/A</v>
      </c>
      <c r="AE561" s="377">
        <f t="shared" ca="1" si="237"/>
        <v>1899.2684909254172</v>
      </c>
      <c r="AF561" s="344"/>
      <c r="AG561" s="359">
        <f t="shared" ca="1" si="259"/>
        <v>-14.421407848441202</v>
      </c>
      <c r="AH561" s="357">
        <f t="shared" ca="1" si="260"/>
        <v>-5.1315614390753224</v>
      </c>
    </row>
    <row r="562" spans="1:34" x14ac:dyDescent="0.25">
      <c r="A562" s="402">
        <f t="shared" ca="1" si="238"/>
        <v>0.1</v>
      </c>
      <c r="B562" s="357">
        <f t="shared" ca="1" si="239"/>
        <v>10.799999999999917</v>
      </c>
      <c r="C562" s="342"/>
      <c r="D562" s="359">
        <f t="shared" ca="1" si="240"/>
        <v>-1.6247060584236033</v>
      </c>
      <c r="E562" s="360">
        <f t="shared" ca="1" si="241"/>
        <v>-14.564799199370697</v>
      </c>
      <c r="F562" s="357">
        <f t="shared" ca="1" si="242"/>
        <v>14.655137170776248</v>
      </c>
      <c r="G562" s="359">
        <f t="shared" ca="1" si="243"/>
        <v>47.083279759719645</v>
      </c>
      <c r="H562" s="360">
        <f t="shared" ca="1" si="244"/>
        <v>136.81102689899265</v>
      </c>
      <c r="I562" s="357">
        <f t="shared" ca="1" si="245"/>
        <v>144.68618563666996</v>
      </c>
      <c r="J562" s="359">
        <f t="shared" ca="1" si="246"/>
        <v>502.91709763600568</v>
      </c>
      <c r="K562" s="360">
        <f t="shared" ca="1" si="247"/>
        <v>1913.0224176113134</v>
      </c>
      <c r="L562" s="357">
        <f t="shared" ca="1" si="232"/>
        <v>1978.0243621801167</v>
      </c>
      <c r="M562" s="359">
        <f t="shared" ca="1" si="248"/>
        <v>1.2393441015969173</v>
      </c>
      <c r="N562" s="357">
        <f t="shared" ca="1" si="249"/>
        <v>71.009186385936076</v>
      </c>
      <c r="O562" s="343"/>
      <c r="P562" s="363">
        <f t="shared" ca="1" si="250"/>
        <v>23</v>
      </c>
      <c r="Q562" s="357">
        <f t="shared" ca="1" si="251"/>
        <v>0</v>
      </c>
      <c r="R562" s="359">
        <f t="shared" ca="1" si="252"/>
        <v>0</v>
      </c>
      <c r="S562" s="360">
        <f t="shared" ca="1" si="253"/>
        <v>9.7379999999999765</v>
      </c>
      <c r="T562" s="357">
        <f t="shared" ca="1" si="233"/>
        <v>95.529779999999775</v>
      </c>
      <c r="U562" s="364">
        <f t="shared" ca="1" si="234"/>
        <v>0</v>
      </c>
      <c r="V562" s="359">
        <f t="shared" ca="1" si="235"/>
        <v>1.0111132602419606</v>
      </c>
      <c r="W562" s="357">
        <f t="shared" ca="1" si="236"/>
        <v>47.910815022525028</v>
      </c>
      <c r="X562" s="343"/>
      <c r="Y562" s="367" t="str">
        <f t="shared" ca="1" si="254"/>
        <v/>
      </c>
      <c r="Z562" s="368" t="str">
        <f t="shared" ca="1" si="255"/>
        <v/>
      </c>
      <c r="AA562" s="369" t="str">
        <f t="shared" ca="1" si="256"/>
        <v/>
      </c>
      <c r="AB562" s="344"/>
      <c r="AC562" s="363" t="e">
        <f t="shared" ca="1" si="257"/>
        <v>#N/A</v>
      </c>
      <c r="AD562" s="376" t="e">
        <f t="shared" ca="1" si="258"/>
        <v>#N/A</v>
      </c>
      <c r="AE562" s="377">
        <f t="shared" ca="1" si="237"/>
        <v>1913.0224176113134</v>
      </c>
      <c r="AF562" s="344"/>
      <c r="AG562" s="359">
        <f t="shared" ca="1" si="259"/>
        <v>-14.307742956566916</v>
      </c>
      <c r="AH562" s="357">
        <f t="shared" ca="1" si="260"/>
        <v>-5.0247174251508486</v>
      </c>
    </row>
    <row r="563" spans="1:34" x14ac:dyDescent="0.25">
      <c r="A563" s="402">
        <f t="shared" ca="1" si="238"/>
        <v>0.1</v>
      </c>
      <c r="B563" s="357">
        <f t="shared" ca="1" si="239"/>
        <v>10.899999999999917</v>
      </c>
      <c r="C563" s="342"/>
      <c r="D563" s="359">
        <f t="shared" ca="1" si="240"/>
        <v>-1.601044594766611</v>
      </c>
      <c r="E563" s="360">
        <f t="shared" ca="1" si="241"/>
        <v>-14.462194074816633</v>
      </c>
      <c r="F563" s="357">
        <f t="shared" ca="1" si="242"/>
        <v>14.550546424519347</v>
      </c>
      <c r="G563" s="359">
        <f t="shared" ca="1" si="243"/>
        <v>46.923175300242981</v>
      </c>
      <c r="H563" s="360">
        <f t="shared" ca="1" si="244"/>
        <v>135.36480749151099</v>
      </c>
      <c r="I563" s="357">
        <f t="shared" ca="1" si="245"/>
        <v>143.26693787287829</v>
      </c>
      <c r="J563" s="359">
        <f t="shared" ca="1" si="246"/>
        <v>507.61742038900383</v>
      </c>
      <c r="K563" s="360">
        <f t="shared" ca="1" si="247"/>
        <v>1926.6312093308386</v>
      </c>
      <c r="L563" s="357">
        <f t="shared" ca="1" si="232"/>
        <v>1992.3813044319595</v>
      </c>
      <c r="M563" s="359">
        <f t="shared" ca="1" si="248"/>
        <v>1.2371158561471798</v>
      </c>
      <c r="N563" s="357">
        <f t="shared" ca="1" si="249"/>
        <v>70.881517325946888</v>
      </c>
      <c r="O563" s="343"/>
      <c r="P563" s="363">
        <f t="shared" ca="1" si="250"/>
        <v>23</v>
      </c>
      <c r="Q563" s="357">
        <f t="shared" ca="1" si="251"/>
        <v>0</v>
      </c>
      <c r="R563" s="359">
        <f t="shared" ca="1" si="252"/>
        <v>0</v>
      </c>
      <c r="S563" s="360">
        <f t="shared" ca="1" si="253"/>
        <v>9.7379999999999765</v>
      </c>
      <c r="T563" s="357">
        <f t="shared" ca="1" si="233"/>
        <v>95.529779999999775</v>
      </c>
      <c r="U563" s="364">
        <f t="shared" ca="1" si="234"/>
        <v>0</v>
      </c>
      <c r="V563" s="359">
        <f t="shared" ca="1" si="235"/>
        <v>1.0097254136854432</v>
      </c>
      <c r="W563" s="357">
        <f t="shared" ca="1" si="236"/>
        <v>46.911018494414833</v>
      </c>
      <c r="X563" s="343"/>
      <c r="Y563" s="367" t="str">
        <f t="shared" ca="1" si="254"/>
        <v/>
      </c>
      <c r="Z563" s="368" t="str">
        <f t="shared" ca="1" si="255"/>
        <v/>
      </c>
      <c r="AA563" s="369" t="str">
        <f t="shared" ca="1" si="256"/>
        <v/>
      </c>
      <c r="AB563" s="344"/>
      <c r="AC563" s="363" t="e">
        <f t="shared" ca="1" si="257"/>
        <v>#N/A</v>
      </c>
      <c r="AD563" s="376" t="e">
        <f t="shared" ca="1" si="258"/>
        <v>#N/A</v>
      </c>
      <c r="AE563" s="377">
        <f t="shared" ca="1" si="237"/>
        <v>1926.6312093308386</v>
      </c>
      <c r="AF563" s="344"/>
      <c r="AG563" s="359">
        <f t="shared" ca="1" si="259"/>
        <v>-14.196034293897414</v>
      </c>
      <c r="AH563" s="357">
        <f t="shared" ca="1" si="260"/>
        <v>-4.9199851121919433</v>
      </c>
    </row>
    <row r="564" spans="1:34" x14ac:dyDescent="0.25">
      <c r="A564" s="402">
        <f t="shared" ca="1" si="238"/>
        <v>0.1</v>
      </c>
      <c r="B564" s="357">
        <f t="shared" ca="1" si="239"/>
        <v>10.999999999999917</v>
      </c>
      <c r="C564" s="342"/>
      <c r="D564" s="359">
        <f t="shared" ca="1" si="240"/>
        <v>-1.5777802177395928</v>
      </c>
      <c r="E564" s="360">
        <f t="shared" ca="1" si="241"/>
        <v>-14.361608327263571</v>
      </c>
      <c r="F564" s="357">
        <f t="shared" ca="1" si="242"/>
        <v>14.448016616865331</v>
      </c>
      <c r="G564" s="359">
        <f t="shared" ca="1" si="243"/>
        <v>46.765397278469024</v>
      </c>
      <c r="H564" s="360">
        <f t="shared" ca="1" si="244"/>
        <v>133.92864665878463</v>
      </c>
      <c r="I564" s="357">
        <f t="shared" ca="1" si="245"/>
        <v>141.85867889722724</v>
      </c>
      <c r="J564" s="359">
        <f t="shared" ca="1" si="246"/>
        <v>512.30184901793939</v>
      </c>
      <c r="K564" s="360">
        <f t="shared" ca="1" si="247"/>
        <v>1940.0958820383535</v>
      </c>
      <c r="L564" s="357">
        <f t="shared" ca="1" si="232"/>
        <v>2006.5954290811528</v>
      </c>
      <c r="M564" s="359">
        <f t="shared" ca="1" si="248"/>
        <v>1.2348509256355935</v>
      </c>
      <c r="N564" s="357">
        <f t="shared" ca="1" si="249"/>
        <v>70.75174636674258</v>
      </c>
      <c r="O564" s="343"/>
      <c r="P564" s="363">
        <f t="shared" ca="1" si="250"/>
        <v>23</v>
      </c>
      <c r="Q564" s="357">
        <f t="shared" ca="1" si="251"/>
        <v>0</v>
      </c>
      <c r="R564" s="359">
        <f t="shared" ca="1" si="252"/>
        <v>0</v>
      </c>
      <c r="S564" s="360">
        <f t="shared" ca="1" si="253"/>
        <v>9.7379999999999765</v>
      </c>
      <c r="T564" s="357">
        <f t="shared" ca="1" si="233"/>
        <v>95.529779999999775</v>
      </c>
      <c r="U564" s="364">
        <f t="shared" ca="1" si="234"/>
        <v>0</v>
      </c>
      <c r="V564" s="359">
        <f t="shared" ca="1" si="235"/>
        <v>1.0083539590460366</v>
      </c>
      <c r="W564" s="357">
        <f t="shared" ca="1" si="236"/>
        <v>45.930846311586791</v>
      </c>
      <c r="X564" s="343"/>
      <c r="Y564" s="367" t="str">
        <f t="shared" ca="1" si="254"/>
        <v/>
      </c>
      <c r="Z564" s="368" t="str">
        <f t="shared" ca="1" si="255"/>
        <v/>
      </c>
      <c r="AA564" s="369" t="str">
        <f t="shared" ca="1" si="256"/>
        <v/>
      </c>
      <c r="AB564" s="344"/>
      <c r="AC564" s="363">
        <f t="shared" ca="1" si="257"/>
        <v>10.999999999999917</v>
      </c>
      <c r="AD564" s="376">
        <f t="shared" ca="1" si="258"/>
        <v>512.30184901793939</v>
      </c>
      <c r="AE564" s="377">
        <f t="shared" ca="1" si="237"/>
        <v>1940.0958820383535</v>
      </c>
      <c r="AF564" s="344"/>
      <c r="AG564" s="359">
        <f t="shared" ca="1" si="259"/>
        <v>-14.08622836638995</v>
      </c>
      <c r="AH564" s="357">
        <f t="shared" ca="1" si="260"/>
        <v>-4.8173155159596375</v>
      </c>
    </row>
    <row r="565" spans="1:34" x14ac:dyDescent="0.25">
      <c r="A565" s="402">
        <f t="shared" ca="1" si="238"/>
        <v>0.1</v>
      </c>
      <c r="B565" s="357">
        <f t="shared" ca="1" si="239"/>
        <v>11.099999999999916</v>
      </c>
      <c r="C565" s="342"/>
      <c r="D565" s="359">
        <f t="shared" ca="1" si="240"/>
        <v>-1.5549033332349529</v>
      </c>
      <c r="E565" s="360">
        <f t="shared" ca="1" si="241"/>
        <v>-14.26299540310476</v>
      </c>
      <c r="F565" s="357">
        <f t="shared" ca="1" si="242"/>
        <v>14.347500208910704</v>
      </c>
      <c r="G565" s="359">
        <f t="shared" ca="1" si="243"/>
        <v>46.609906945145532</v>
      </c>
      <c r="H565" s="360">
        <f t="shared" ca="1" si="244"/>
        <v>132.50234711847415</v>
      </c>
      <c r="I565" s="357">
        <f t="shared" ca="1" si="245"/>
        <v>140.46122389236021</v>
      </c>
      <c r="J565" s="359">
        <f t="shared" ca="1" si="246"/>
        <v>516.97061422912009</v>
      </c>
      <c r="K565" s="360">
        <f t="shared" ca="1" si="247"/>
        <v>1953.4174317272164</v>
      </c>
      <c r="L565" s="357">
        <f t="shared" ca="1" si="232"/>
        <v>2020.6677803518785</v>
      </c>
      <c r="M565" s="359">
        <f t="shared" ca="1" si="248"/>
        <v>1.2325485209529079</v>
      </c>
      <c r="N565" s="357">
        <f t="shared" ca="1" si="249"/>
        <v>70.619828295693537</v>
      </c>
      <c r="O565" s="343"/>
      <c r="P565" s="363">
        <f t="shared" ca="1" si="250"/>
        <v>23</v>
      </c>
      <c r="Q565" s="357">
        <f t="shared" ca="1" si="251"/>
        <v>0</v>
      </c>
      <c r="R565" s="359">
        <f t="shared" ca="1" si="252"/>
        <v>0</v>
      </c>
      <c r="S565" s="360">
        <f t="shared" ca="1" si="253"/>
        <v>9.7379999999999765</v>
      </c>
      <c r="T565" s="357">
        <f t="shared" ca="1" si="233"/>
        <v>95.529779999999775</v>
      </c>
      <c r="U565" s="364">
        <f t="shared" ca="1" si="234"/>
        <v>0</v>
      </c>
      <c r="V565" s="359">
        <f t="shared" ca="1" si="235"/>
        <v>1.0069987378905709</v>
      </c>
      <c r="W565" s="357">
        <f t="shared" ca="1" si="236"/>
        <v>44.96985017507884</v>
      </c>
      <c r="X565" s="343"/>
      <c r="Y565" s="367" t="str">
        <f t="shared" ca="1" si="254"/>
        <v/>
      </c>
      <c r="Z565" s="368" t="str">
        <f t="shared" ca="1" si="255"/>
        <v/>
      </c>
      <c r="AA565" s="369" t="str">
        <f t="shared" ca="1" si="256"/>
        <v/>
      </c>
      <c r="AB565" s="344"/>
      <c r="AC565" s="363" t="e">
        <f t="shared" ca="1" si="257"/>
        <v>#N/A</v>
      </c>
      <c r="AD565" s="376" t="e">
        <f t="shared" ca="1" si="258"/>
        <v>#N/A</v>
      </c>
      <c r="AE565" s="377">
        <f t="shared" ca="1" si="237"/>
        <v>1953.4174317272164</v>
      </c>
      <c r="AF565" s="344"/>
      <c r="AG565" s="359">
        <f t="shared" ca="1" si="259"/>
        <v>-13.978273019046094</v>
      </c>
      <c r="AH565" s="357">
        <f t="shared" ca="1" si="260"/>
        <v>-4.7166611533771725</v>
      </c>
    </row>
    <row r="566" spans="1:34" x14ac:dyDescent="0.25">
      <c r="A566" s="402">
        <f t="shared" ca="1" si="238"/>
        <v>0.1</v>
      </c>
      <c r="B566" s="357">
        <f t="shared" ca="1" si="239"/>
        <v>11.199999999999916</v>
      </c>
      <c r="C566" s="342"/>
      <c r="D566" s="359">
        <f t="shared" ca="1" si="240"/>
        <v>-1.5324046390153796</v>
      </c>
      <c r="E566" s="360">
        <f t="shared" ca="1" si="241"/>
        <v>-14.166310164784047</v>
      </c>
      <c r="F566" s="357">
        <f t="shared" ca="1" si="242"/>
        <v>14.248951107451372</v>
      </c>
      <c r="G566" s="359">
        <f t="shared" ca="1" si="243"/>
        <v>46.456666481243992</v>
      </c>
      <c r="H566" s="360">
        <f t="shared" ca="1" si="244"/>
        <v>131.08571610199576</v>
      </c>
      <c r="I566" s="357">
        <f t="shared" ca="1" si="245"/>
        <v>139.07439313735139</v>
      </c>
      <c r="J566" s="359">
        <f t="shared" ca="1" si="246"/>
        <v>521.6239429004396</v>
      </c>
      <c r="K566" s="360">
        <f t="shared" ca="1" si="247"/>
        <v>1966.5968348882398</v>
      </c>
      <c r="L566" s="357">
        <f t="shared" ca="1" si="232"/>
        <v>2034.5993828760106</v>
      </c>
      <c r="M566" s="359">
        <f t="shared" ca="1" si="248"/>
        <v>1.2302078303153212</v>
      </c>
      <c r="N566" s="357">
        <f t="shared" ca="1" si="249"/>
        <v>70.485716601014033</v>
      </c>
      <c r="O566" s="343"/>
      <c r="P566" s="363">
        <f t="shared" ca="1" si="250"/>
        <v>23</v>
      </c>
      <c r="Q566" s="357">
        <f t="shared" ca="1" si="251"/>
        <v>0</v>
      </c>
      <c r="R566" s="359">
        <f t="shared" ca="1" si="252"/>
        <v>0</v>
      </c>
      <c r="S566" s="360">
        <f t="shared" ca="1" si="253"/>
        <v>9.7379999999999765</v>
      </c>
      <c r="T566" s="357">
        <f t="shared" ca="1" si="233"/>
        <v>95.529779999999775</v>
      </c>
      <c r="U566" s="364">
        <f t="shared" ca="1" si="234"/>
        <v>0</v>
      </c>
      <c r="V566" s="359">
        <f t="shared" ca="1" si="235"/>
        <v>1.0056595950345943</v>
      </c>
      <c r="W566" s="357">
        <f t="shared" ca="1" si="236"/>
        <v>44.027595372418951</v>
      </c>
      <c r="X566" s="343"/>
      <c r="Y566" s="367" t="str">
        <f t="shared" ca="1" si="254"/>
        <v/>
      </c>
      <c r="Z566" s="368" t="str">
        <f t="shared" ca="1" si="255"/>
        <v/>
      </c>
      <c r="AA566" s="369" t="str">
        <f t="shared" ca="1" si="256"/>
        <v/>
      </c>
      <c r="AB566" s="344"/>
      <c r="AC566" s="363" t="e">
        <f t="shared" ca="1" si="257"/>
        <v>#N/A</v>
      </c>
      <c r="AD566" s="376" t="e">
        <f t="shared" ca="1" si="258"/>
        <v>#N/A</v>
      </c>
      <c r="AE566" s="377">
        <f t="shared" ca="1" si="237"/>
        <v>1966.5968348882398</v>
      </c>
      <c r="AF566" s="344"/>
      <c r="AG566" s="359">
        <f t="shared" ca="1" si="259"/>
        <v>-13.872117374985942</v>
      </c>
      <c r="AH566" s="357">
        <f t="shared" ca="1" si="260"/>
        <v>-4.6179759884040816</v>
      </c>
    </row>
    <row r="567" spans="1:34" x14ac:dyDescent="0.25">
      <c r="A567" s="402">
        <f t="shared" ca="1" si="238"/>
        <v>0.1</v>
      </c>
      <c r="B567" s="357">
        <f t="shared" ca="1" si="239"/>
        <v>11.299999999999915</v>
      </c>
      <c r="C567" s="342"/>
      <c r="D567" s="359">
        <f t="shared" ca="1" si="240"/>
        <v>-1.5102751144168853</v>
      </c>
      <c r="E567" s="360">
        <f t="shared" ca="1" si="241"/>
        <v>-14.07150883994851</v>
      </c>
      <c r="F567" s="357">
        <f t="shared" ca="1" si="242"/>
        <v>14.152324613079506</v>
      </c>
      <c r="G567" s="359">
        <f t="shared" ca="1" si="243"/>
        <v>46.305638969802303</v>
      </c>
      <c r="H567" s="360">
        <f t="shared" ca="1" si="244"/>
        <v>129.6785652180009</v>
      </c>
      <c r="I567" s="357">
        <f t="shared" ca="1" si="245"/>
        <v>137.69801188615975</v>
      </c>
      <c r="J567" s="359">
        <f t="shared" ca="1" si="246"/>
        <v>526.26205817299194</v>
      </c>
      <c r="K567" s="360">
        <f t="shared" ca="1" si="247"/>
        <v>1979.6350489542397</v>
      </c>
      <c r="L567" s="357">
        <f t="shared" ca="1" si="232"/>
        <v>2048.3912421509053</v>
      </c>
      <c r="M567" s="359">
        <f t="shared" ca="1" si="248"/>
        <v>1.2278280184938575</v>
      </c>
      <c r="N567" s="357">
        <f t="shared" ca="1" si="249"/>
        <v>70.349363427608822</v>
      </c>
      <c r="O567" s="343"/>
      <c r="P567" s="363">
        <f t="shared" ca="1" si="250"/>
        <v>23</v>
      </c>
      <c r="Q567" s="357">
        <f t="shared" ca="1" si="251"/>
        <v>0</v>
      </c>
      <c r="R567" s="359">
        <f t="shared" ca="1" si="252"/>
        <v>0</v>
      </c>
      <c r="S567" s="360">
        <f t="shared" ca="1" si="253"/>
        <v>9.7379999999999765</v>
      </c>
      <c r="T567" s="357">
        <f t="shared" ca="1" si="233"/>
        <v>95.529779999999775</v>
      </c>
      <c r="U567" s="364">
        <f t="shared" ca="1" si="234"/>
        <v>0</v>
      </c>
      <c r="V567" s="359">
        <f t="shared" ca="1" si="235"/>
        <v>1.0043363784641801</v>
      </c>
      <c r="W567" s="357">
        <f t="shared" ca="1" si="236"/>
        <v>43.103660294129902</v>
      </c>
      <c r="X567" s="343"/>
      <c r="Y567" s="367" t="str">
        <f t="shared" ca="1" si="254"/>
        <v/>
      </c>
      <c r="Z567" s="368" t="str">
        <f t="shared" ca="1" si="255"/>
        <v/>
      </c>
      <c r="AA567" s="369" t="str">
        <f t="shared" ca="1" si="256"/>
        <v/>
      </c>
      <c r="AB567" s="344"/>
      <c r="AC567" s="363" t="e">
        <f t="shared" ca="1" si="257"/>
        <v>#N/A</v>
      </c>
      <c r="AD567" s="376" t="e">
        <f t="shared" ca="1" si="258"/>
        <v>#N/A</v>
      </c>
      <c r="AE567" s="377">
        <f t="shared" ca="1" si="237"/>
        <v>1979.6350489542397</v>
      </c>
      <c r="AF567" s="344"/>
      <c r="AG567" s="359">
        <f t="shared" ca="1" si="259"/>
        <v>-13.767711776492082</v>
      </c>
      <c r="AH567" s="357">
        <f t="shared" ca="1" si="260"/>
        <v>-4.5212153802032304</v>
      </c>
    </row>
    <row r="568" spans="1:34" x14ac:dyDescent="0.25">
      <c r="A568" s="402">
        <f t="shared" ca="1" si="238"/>
        <v>0.1</v>
      </c>
      <c r="B568" s="357">
        <f t="shared" ca="1" si="239"/>
        <v>11.399999999999915</v>
      </c>
      <c r="C568" s="342"/>
      <c r="D568" s="359">
        <f t="shared" ca="1" si="240"/>
        <v>-1.4885060104955434</v>
      </c>
      <c r="E568" s="360">
        <f t="shared" ca="1" si="241"/>
        <v>-13.978548972735553</v>
      </c>
      <c r="F568" s="357">
        <f t="shared" ca="1" si="242"/>
        <v>14.057577370459233</v>
      </c>
      <c r="G568" s="359">
        <f t="shared" ca="1" si="243"/>
        <v>46.15678836875275</v>
      </c>
      <c r="H568" s="360">
        <f t="shared" ca="1" si="244"/>
        <v>128.28071032072734</v>
      </c>
      <c r="I568" s="357">
        <f t="shared" ca="1" si="245"/>
        <v>136.33191025181225</v>
      </c>
      <c r="J568" s="359">
        <f t="shared" ca="1" si="246"/>
        <v>530.8851795399197</v>
      </c>
      <c r="K568" s="360">
        <f t="shared" ca="1" si="247"/>
        <v>1992.5330127311761</v>
      </c>
      <c r="L568" s="357">
        <f t="shared" ca="1" si="232"/>
        <v>2062.0443449835675</v>
      </c>
      <c r="M568" s="359">
        <f t="shared" ca="1" si="248"/>
        <v>1.2254082260137873</v>
      </c>
      <c r="N568" s="357">
        <f t="shared" ca="1" si="249"/>
        <v>70.21071953120331</v>
      </c>
      <c r="O568" s="343"/>
      <c r="P568" s="363">
        <f t="shared" ca="1" si="250"/>
        <v>23</v>
      </c>
      <c r="Q568" s="357">
        <f t="shared" ca="1" si="251"/>
        <v>0</v>
      </c>
      <c r="R568" s="359">
        <f t="shared" ca="1" si="252"/>
        <v>0</v>
      </c>
      <c r="S568" s="360">
        <f t="shared" ca="1" si="253"/>
        <v>9.7379999999999765</v>
      </c>
      <c r="T568" s="357">
        <f t="shared" ca="1" si="233"/>
        <v>95.529779999999775</v>
      </c>
      <c r="U568" s="364">
        <f t="shared" ca="1" si="234"/>
        <v>0</v>
      </c>
      <c r="V568" s="359">
        <f t="shared" ca="1" si="235"/>
        <v>1.0030289392601832</v>
      </c>
      <c r="W568" s="357">
        <f t="shared" ca="1" si="236"/>
        <v>42.197635970470508</v>
      </c>
      <c r="X568" s="343"/>
      <c r="Y568" s="367" t="str">
        <f t="shared" ca="1" si="254"/>
        <v/>
      </c>
      <c r="Z568" s="368" t="str">
        <f t="shared" ca="1" si="255"/>
        <v/>
      </c>
      <c r="AA568" s="369" t="str">
        <f t="shared" ca="1" si="256"/>
        <v/>
      </c>
      <c r="AB568" s="344"/>
      <c r="AC568" s="363" t="e">
        <f t="shared" ca="1" si="257"/>
        <v>#N/A</v>
      </c>
      <c r="AD568" s="376" t="e">
        <f t="shared" ca="1" si="258"/>
        <v>#N/A</v>
      </c>
      <c r="AE568" s="377">
        <f t="shared" ca="1" si="237"/>
        <v>1992.5330127311761</v>
      </c>
      <c r="AF568" s="344"/>
      <c r="AG568" s="359">
        <f t="shared" ca="1" si="259"/>
        <v>-13.665007727896045</v>
      </c>
      <c r="AH568" s="357">
        <f t="shared" ca="1" si="260"/>
        <v>-4.4263360334904505</v>
      </c>
    </row>
    <row r="569" spans="1:34" x14ac:dyDescent="0.25">
      <c r="A569" s="402">
        <f t="shared" ca="1" si="238"/>
        <v>0.1</v>
      </c>
      <c r="B569" s="357">
        <f t="shared" ca="1" si="239"/>
        <v>11.499999999999915</v>
      </c>
      <c r="C569" s="342"/>
      <c r="D569" s="359">
        <f t="shared" ca="1" si="240"/>
        <v>-1.4670888405972444</v>
      </c>
      <c r="E569" s="360">
        <f t="shared" ca="1" si="241"/>
        <v>-13.8873893770918</v>
      </c>
      <c r="F569" s="357">
        <f t="shared" ca="1" si="242"/>
        <v>13.964667320676391</v>
      </c>
      <c r="G569" s="359">
        <f t="shared" ca="1" si="243"/>
        <v>46.010079484693023</v>
      </c>
      <c r="H569" s="360">
        <f t="shared" ca="1" si="244"/>
        <v>126.89197138301816</v>
      </c>
      <c r="I569" s="357">
        <f t="shared" ca="1" si="245"/>
        <v>134.97592309614507</v>
      </c>
      <c r="J569" s="359">
        <f t="shared" ca="1" si="246"/>
        <v>535.49352293259199</v>
      </c>
      <c r="K569" s="360">
        <f t="shared" ca="1" si="247"/>
        <v>2005.2916468163633</v>
      </c>
      <c r="L569" s="357">
        <f t="shared" ca="1" si="232"/>
        <v>2075.5596599216897</v>
      </c>
      <c r="M569" s="359">
        <f t="shared" ca="1" si="248"/>
        <v>1.2229475683228497</v>
      </c>
      <c r="N569" s="357">
        <f t="shared" ca="1" si="249"/>
        <v>70.06973423068618</v>
      </c>
      <c r="O569" s="343"/>
      <c r="P569" s="363">
        <f t="shared" ca="1" si="250"/>
        <v>23</v>
      </c>
      <c r="Q569" s="357">
        <f t="shared" ca="1" si="251"/>
        <v>0</v>
      </c>
      <c r="R569" s="359">
        <f t="shared" ca="1" si="252"/>
        <v>0</v>
      </c>
      <c r="S569" s="360">
        <f t="shared" ca="1" si="253"/>
        <v>9.7379999999999765</v>
      </c>
      <c r="T569" s="357">
        <f t="shared" ca="1" si="233"/>
        <v>95.529779999999775</v>
      </c>
      <c r="U569" s="364">
        <f t="shared" ca="1" si="234"/>
        <v>0</v>
      </c>
      <c r="V569" s="359">
        <f t="shared" ca="1" si="235"/>
        <v>1.0017371315248675</v>
      </c>
      <c r="W569" s="357">
        <f t="shared" ca="1" si="236"/>
        <v>41.309125627451088</v>
      </c>
      <c r="X569" s="343"/>
      <c r="Y569" s="367" t="str">
        <f t="shared" ca="1" si="254"/>
        <v/>
      </c>
      <c r="Z569" s="368" t="str">
        <f t="shared" ca="1" si="255"/>
        <v/>
      </c>
      <c r="AA569" s="369" t="str">
        <f t="shared" ca="1" si="256"/>
        <v/>
      </c>
      <c r="AB569" s="344"/>
      <c r="AC569" s="363" t="e">
        <f t="shared" ca="1" si="257"/>
        <v>#N/A</v>
      </c>
      <c r="AD569" s="376" t="e">
        <f t="shared" ca="1" si="258"/>
        <v>#N/A</v>
      </c>
      <c r="AE569" s="377">
        <f t="shared" ca="1" si="237"/>
        <v>2005.2916468163633</v>
      </c>
      <c r="AF569" s="344"/>
      <c r="AG569" s="359">
        <f t="shared" ca="1" si="259"/>
        <v>-13.563957840184989</v>
      </c>
      <c r="AH569" s="357">
        <f t="shared" ca="1" si="260"/>
        <v>-4.3332959509622722</v>
      </c>
    </row>
    <row r="570" spans="1:34" x14ac:dyDescent="0.25">
      <c r="A570" s="402">
        <f t="shared" ca="1" si="238"/>
        <v>0.1</v>
      </c>
      <c r="B570" s="357">
        <f t="shared" ca="1" si="239"/>
        <v>11.599999999999914</v>
      </c>
      <c r="C570" s="342"/>
      <c r="D570" s="359">
        <f t="shared" ca="1" si="240"/>
        <v>-1.4460153713308974</v>
      </c>
      <c r="E570" s="360">
        <f t="shared" ca="1" si="241"/>
        <v>-13.797990092026872</v>
      </c>
      <c r="F570" s="357">
        <f t="shared" ca="1" si="242"/>
        <v>13.873553655563413</v>
      </c>
      <c r="G570" s="359">
        <f t="shared" ca="1" si="243"/>
        <v>45.865477947559931</v>
      </c>
      <c r="H570" s="360">
        <f t="shared" ca="1" si="244"/>
        <v>125.51217237381547</v>
      </c>
      <c r="I570" s="357">
        <f t="shared" ca="1" si="245"/>
        <v>133.62988992494334</v>
      </c>
      <c r="J570" s="359">
        <f t="shared" ca="1" si="246"/>
        <v>540.08730080420469</v>
      </c>
      <c r="K570" s="360">
        <f t="shared" ca="1" si="247"/>
        <v>2017.911854004205</v>
      </c>
      <c r="L570" s="357">
        <f t="shared" ca="1" si="232"/>
        <v>2088.938137672023</v>
      </c>
      <c r="M570" s="359">
        <f t="shared" ca="1" si="248"/>
        <v>1.2204451349269692</v>
      </c>
      <c r="N570" s="357">
        <f t="shared" ca="1" si="249"/>
        <v>69.926355358589632</v>
      </c>
      <c r="O570" s="343"/>
      <c r="P570" s="363">
        <f t="shared" ca="1" si="250"/>
        <v>23</v>
      </c>
      <c r="Q570" s="357">
        <f t="shared" ca="1" si="251"/>
        <v>0</v>
      </c>
      <c r="R570" s="359">
        <f t="shared" ca="1" si="252"/>
        <v>0</v>
      </c>
      <c r="S570" s="360">
        <f t="shared" ca="1" si="253"/>
        <v>9.7379999999999765</v>
      </c>
      <c r="T570" s="357">
        <f t="shared" ca="1" si="233"/>
        <v>95.529779999999775</v>
      </c>
      <c r="U570" s="364">
        <f t="shared" ca="1" si="234"/>
        <v>0</v>
      </c>
      <c r="V570" s="359">
        <f t="shared" ca="1" si="235"/>
        <v>1.0004608123108096</v>
      </c>
      <c r="W570" s="357">
        <f t="shared" ca="1" si="236"/>
        <v>40.43774426121157</v>
      </c>
      <c r="X570" s="343"/>
      <c r="Y570" s="367" t="str">
        <f t="shared" ca="1" si="254"/>
        <v/>
      </c>
      <c r="Z570" s="368" t="str">
        <f t="shared" ca="1" si="255"/>
        <v/>
      </c>
      <c r="AA570" s="369" t="str">
        <f t="shared" ca="1" si="256"/>
        <v/>
      </c>
      <c r="AB570" s="344"/>
      <c r="AC570" s="363" t="e">
        <f t="shared" ca="1" si="257"/>
        <v>#N/A</v>
      </c>
      <c r="AD570" s="376" t="e">
        <f t="shared" ca="1" si="258"/>
        <v>#N/A</v>
      </c>
      <c r="AE570" s="377">
        <f t="shared" ca="1" si="237"/>
        <v>2017.911854004205</v>
      </c>
      <c r="AF570" s="344"/>
      <c r="AG570" s="359">
        <f t="shared" ca="1" si="259"/>
        <v>-13.464515777211004</v>
      </c>
      <c r="AH570" s="357">
        <f t="shared" ca="1" si="260"/>
        <v>-4.242054387702936</v>
      </c>
    </row>
    <row r="571" spans="1:34" x14ac:dyDescent="0.25">
      <c r="A571" s="402">
        <f t="shared" ca="1" si="238"/>
        <v>0.1</v>
      </c>
      <c r="B571" s="357">
        <f t="shared" ca="1" si="239"/>
        <v>11.699999999999914</v>
      </c>
      <c r="C571" s="342"/>
      <c r="D571" s="359">
        <f t="shared" ca="1" si="240"/>
        <v>-1.425277613926607</v>
      </c>
      <c r="E571" s="360">
        <f t="shared" ca="1" si="241"/>
        <v>-13.710312338709944</v>
      </c>
      <c r="F571" s="357">
        <f t="shared" ca="1" si="242"/>
        <v>13.784196773905343</v>
      </c>
      <c r="G571" s="359">
        <f t="shared" ca="1" si="243"/>
        <v>45.722950186167267</v>
      </c>
      <c r="H571" s="360">
        <f t="shared" ca="1" si="244"/>
        <v>124.14114113994448</v>
      </c>
      <c r="I571" s="357">
        <f t="shared" ca="1" si="245"/>
        <v>132.29365478833196</v>
      </c>
      <c r="J571" s="359">
        <f t="shared" ca="1" si="246"/>
        <v>544.66672221089107</v>
      </c>
      <c r="K571" s="360">
        <f t="shared" ca="1" si="247"/>
        <v>2030.3945196798929</v>
      </c>
      <c r="L571" s="357">
        <f t="shared" ca="1" si="232"/>
        <v>2102.1807115065294</v>
      </c>
      <c r="M571" s="359">
        <f t="shared" ca="1" si="248"/>
        <v>1.2178999884921193</v>
      </c>
      <c r="N571" s="357">
        <f t="shared" ca="1" si="249"/>
        <v>69.780529209629961</v>
      </c>
      <c r="O571" s="343"/>
      <c r="P571" s="363">
        <f t="shared" ca="1" si="250"/>
        <v>23</v>
      </c>
      <c r="Q571" s="357">
        <f t="shared" ca="1" si="251"/>
        <v>0</v>
      </c>
      <c r="R571" s="359">
        <f t="shared" ca="1" si="252"/>
        <v>0</v>
      </c>
      <c r="S571" s="360">
        <f t="shared" ca="1" si="253"/>
        <v>9.7379999999999765</v>
      </c>
      <c r="T571" s="357">
        <f t="shared" ca="1" si="233"/>
        <v>95.529779999999775</v>
      </c>
      <c r="U571" s="364">
        <f t="shared" ca="1" si="234"/>
        <v>0</v>
      </c>
      <c r="V571" s="359">
        <f t="shared" ca="1" si="235"/>
        <v>0.99919984155199715</v>
      </c>
      <c r="W571" s="357">
        <f t="shared" ca="1" si="236"/>
        <v>39.583118229899782</v>
      </c>
      <c r="X571" s="343"/>
      <c r="Y571" s="367" t="str">
        <f t="shared" ca="1" si="254"/>
        <v/>
      </c>
      <c r="Z571" s="368" t="str">
        <f t="shared" ca="1" si="255"/>
        <v/>
      </c>
      <c r="AA571" s="369" t="str">
        <f t="shared" ca="1" si="256"/>
        <v/>
      </c>
      <c r="AB571" s="344"/>
      <c r="AC571" s="363" t="e">
        <f t="shared" ca="1" si="257"/>
        <v>#N/A</v>
      </c>
      <c r="AD571" s="376" t="e">
        <f t="shared" ca="1" si="258"/>
        <v>#N/A</v>
      </c>
      <c r="AE571" s="377">
        <f t="shared" ca="1" si="237"/>
        <v>2030.3945196798929</v>
      </c>
      <c r="AF571" s="344"/>
      <c r="AG571" s="359">
        <f t="shared" ca="1" si="259"/>
        <v>-13.366636203389589</v>
      </c>
      <c r="AH571" s="357">
        <f t="shared" ca="1" si="260"/>
        <v>-4.1525718074770657</v>
      </c>
    </row>
    <row r="572" spans="1:34" x14ac:dyDescent="0.25">
      <c r="A572" s="402">
        <f t="shared" ca="1" si="238"/>
        <v>0.1</v>
      </c>
      <c r="B572" s="357">
        <f t="shared" ca="1" si="239"/>
        <v>11.799999999999914</v>
      </c>
      <c r="C572" s="342"/>
      <c r="D572" s="359">
        <f t="shared" ca="1" si="240"/>
        <v>-1.4048678159613639</v>
      </c>
      <c r="E572" s="360">
        <f t="shared" ca="1" si="241"/>
        <v>-13.624318479322179</v>
      </c>
      <c r="F572" s="357">
        <f t="shared" ca="1" si="242"/>
        <v>13.696558239438252</v>
      </c>
      <c r="G572" s="359">
        <f t="shared" ca="1" si="243"/>
        <v>45.582463404571129</v>
      </c>
      <c r="H572" s="360">
        <f t="shared" ca="1" si="244"/>
        <v>122.77870929201227</v>
      </c>
      <c r="I572" s="357">
        <f t="shared" ca="1" si="245"/>
        <v>130.96706618628031</v>
      </c>
      <c r="J572" s="359">
        <f t="shared" ca="1" si="246"/>
        <v>549.23199289042793</v>
      </c>
      <c r="K572" s="360">
        <f t="shared" ca="1" si="247"/>
        <v>2042.7405122014907</v>
      </c>
      <c r="L572" s="357">
        <f t="shared" ca="1" si="232"/>
        <v>2115.2882976567521</v>
      </c>
      <c r="M572" s="359">
        <f t="shared" ca="1" si="248"/>
        <v>1.2153111639109222</v>
      </c>
      <c r="N572" s="357">
        <f t="shared" ca="1" si="249"/>
        <v>69.632200487227649</v>
      </c>
      <c r="O572" s="343"/>
      <c r="P572" s="363">
        <f t="shared" ca="1" si="250"/>
        <v>23</v>
      </c>
      <c r="Q572" s="357">
        <f t="shared" ca="1" si="251"/>
        <v>0</v>
      </c>
      <c r="R572" s="359">
        <f t="shared" ca="1" si="252"/>
        <v>0</v>
      </c>
      <c r="S572" s="360">
        <f t="shared" ca="1" si="253"/>
        <v>9.7379999999999765</v>
      </c>
      <c r="T572" s="357">
        <f t="shared" ca="1" si="233"/>
        <v>95.529779999999775</v>
      </c>
      <c r="U572" s="364">
        <f t="shared" ca="1" si="234"/>
        <v>0</v>
      </c>
      <c r="V572" s="359">
        <f t="shared" ca="1" si="235"/>
        <v>0.99795408199704794</v>
      </c>
      <c r="W572" s="357">
        <f t="shared" ca="1" si="236"/>
        <v>38.744884862232709</v>
      </c>
      <c r="X572" s="343"/>
      <c r="Y572" s="367" t="str">
        <f t="shared" ca="1" si="254"/>
        <v/>
      </c>
      <c r="Z572" s="368" t="str">
        <f t="shared" ca="1" si="255"/>
        <v/>
      </c>
      <c r="AA572" s="369" t="str">
        <f t="shared" ca="1" si="256"/>
        <v/>
      </c>
      <c r="AB572" s="344"/>
      <c r="AC572" s="363" t="e">
        <f t="shared" ca="1" si="257"/>
        <v>#N/A</v>
      </c>
      <c r="AD572" s="376" t="e">
        <f t="shared" ca="1" si="258"/>
        <v>#N/A</v>
      </c>
      <c r="AE572" s="377">
        <f t="shared" ca="1" si="237"/>
        <v>2042.7405122014907</v>
      </c>
      <c r="AF572" s="344"/>
      <c r="AG572" s="359">
        <f t="shared" ca="1" si="259"/>
        <v>-13.270274732777867</v>
      </c>
      <c r="AH572" s="357">
        <f t="shared" ca="1" si="260"/>
        <v>-4.064809840819458</v>
      </c>
    </row>
    <row r="573" spans="1:34" x14ac:dyDescent="0.25">
      <c r="A573" s="402">
        <f t="shared" ca="1" si="238"/>
        <v>0.1</v>
      </c>
      <c r="B573" s="357">
        <f t="shared" ca="1" si="239"/>
        <v>11.899999999999913</v>
      </c>
      <c r="C573" s="342"/>
      <c r="D573" s="359">
        <f t="shared" ca="1" si="240"/>
        <v>-1.384778453435741</v>
      </c>
      <c r="E573" s="360">
        <f t="shared" ca="1" si="241"/>
        <v>-13.539971977582479</v>
      </c>
      <c r="F573" s="357">
        <f t="shared" ca="1" si="242"/>
        <v>13.610600740555821</v>
      </c>
      <c r="G573" s="359">
        <f t="shared" ca="1" si="243"/>
        <v>45.443985559227556</v>
      </c>
      <c r="H573" s="360">
        <f t="shared" ca="1" si="244"/>
        <v>121.42471209425402</v>
      </c>
      <c r="I573" s="357">
        <f t="shared" ca="1" si="245"/>
        <v>129.64997697909462</v>
      </c>
      <c r="J573" s="359">
        <f t="shared" ca="1" si="246"/>
        <v>553.78331533861785</v>
      </c>
      <c r="K573" s="360">
        <f t="shared" ca="1" si="247"/>
        <v>2054.9506832708039</v>
      </c>
      <c r="L573" s="357">
        <f t="shared" ca="1" si="232"/>
        <v>2128.2617956968015</v>
      </c>
      <c r="M573" s="359">
        <f t="shared" ca="1" si="248"/>
        <v>1.2126776673325181</v>
      </c>
      <c r="N573" s="357">
        <f t="shared" ca="1" si="249"/>
        <v>69.481312247922958</v>
      </c>
      <c r="O573" s="343"/>
      <c r="P573" s="363">
        <f t="shared" ca="1" si="250"/>
        <v>23</v>
      </c>
      <c r="Q573" s="357">
        <f t="shared" ca="1" si="251"/>
        <v>0</v>
      </c>
      <c r="R573" s="359">
        <f t="shared" ca="1" si="252"/>
        <v>0</v>
      </c>
      <c r="S573" s="360">
        <f t="shared" ca="1" si="253"/>
        <v>9.7379999999999765</v>
      </c>
      <c r="T573" s="357">
        <f t="shared" ca="1" si="233"/>
        <v>95.529779999999775</v>
      </c>
      <c r="U573" s="364">
        <f t="shared" ca="1" si="234"/>
        <v>0</v>
      </c>
      <c r="V573" s="359">
        <f t="shared" ca="1" si="235"/>
        <v>0.99672339914446739</v>
      </c>
      <c r="W573" s="357">
        <f t="shared" ca="1" si="236"/>
        <v>37.922692081965877</v>
      </c>
      <c r="X573" s="343"/>
      <c r="Y573" s="367" t="str">
        <f t="shared" ca="1" si="254"/>
        <v/>
      </c>
      <c r="Z573" s="368" t="str">
        <f t="shared" ca="1" si="255"/>
        <v/>
      </c>
      <c r="AA573" s="369" t="str">
        <f t="shared" ca="1" si="256"/>
        <v/>
      </c>
      <c r="AB573" s="344"/>
      <c r="AC573" s="363" t="e">
        <f t="shared" ca="1" si="257"/>
        <v>#N/A</v>
      </c>
      <c r="AD573" s="376" t="e">
        <f t="shared" ca="1" si="258"/>
        <v>#N/A</v>
      </c>
      <c r="AE573" s="377">
        <f t="shared" ca="1" si="237"/>
        <v>2054.9506832708039</v>
      </c>
      <c r="AF573" s="344"/>
      <c r="AG573" s="359">
        <f t="shared" ca="1" si="259"/>
        <v>-13.175387879426495</v>
      </c>
      <c r="AH573" s="357">
        <f t="shared" ca="1" si="260"/>
        <v>-3.9787312448380368</v>
      </c>
    </row>
    <row r="574" spans="1:34" x14ac:dyDescent="0.25">
      <c r="A574" s="402">
        <f t="shared" ca="1" si="238"/>
        <v>0.1</v>
      </c>
      <c r="B574" s="357">
        <f t="shared" ca="1" si="239"/>
        <v>11.999999999999913</v>
      </c>
      <c r="C574" s="342"/>
      <c r="D574" s="359">
        <f t="shared" ca="1" si="240"/>
        <v>-1.3650022231859884</v>
      </c>
      <c r="E574" s="360">
        <f t="shared" ca="1" si="241"/>
        <v>-13.457237360868323</v>
      </c>
      <c r="F574" s="357">
        <f t="shared" ca="1" si="242"/>
        <v>13.52628805164421</v>
      </c>
      <c r="G574" s="359">
        <f t="shared" ca="1" si="243"/>
        <v>45.307485336908961</v>
      </c>
      <c r="H574" s="360">
        <f t="shared" ca="1" si="244"/>
        <v>120.07898835816718</v>
      </c>
      <c r="I574" s="357">
        <f t="shared" ca="1" si="245"/>
        <v>128.34224430278235</v>
      </c>
      <c r="J574" s="359">
        <f t="shared" ca="1" si="246"/>
        <v>558.32088888342469</v>
      </c>
      <c r="K574" s="360">
        <f t="shared" ca="1" si="247"/>
        <v>2067.025868293425</v>
      </c>
      <c r="L574" s="357">
        <f t="shared" ca="1" si="232"/>
        <v>2141.102088915371</v>
      </c>
      <c r="M574" s="359">
        <f t="shared" ca="1" si="248"/>
        <v>1.2099984751541835</v>
      </c>
      <c r="N574" s="357">
        <f t="shared" ca="1" si="249"/>
        <v>69.327805843599918</v>
      </c>
      <c r="O574" s="343"/>
      <c r="P574" s="363">
        <f t="shared" ca="1" si="250"/>
        <v>23</v>
      </c>
      <c r="Q574" s="357">
        <f t="shared" ca="1" si="251"/>
        <v>0</v>
      </c>
      <c r="R574" s="359">
        <f t="shared" ca="1" si="252"/>
        <v>0</v>
      </c>
      <c r="S574" s="360">
        <f t="shared" ca="1" si="253"/>
        <v>9.7379999999999765</v>
      </c>
      <c r="T574" s="357">
        <f t="shared" ca="1" si="233"/>
        <v>95.529779999999775</v>
      </c>
      <c r="U574" s="364">
        <f t="shared" ca="1" si="234"/>
        <v>0</v>
      </c>
      <c r="V574" s="359">
        <f t="shared" ca="1" si="235"/>
        <v>0.99550766117987344</v>
      </c>
      <c r="W574" s="357">
        <f t="shared" ca="1" si="236"/>
        <v>37.116198047537154</v>
      </c>
      <c r="X574" s="343"/>
      <c r="Y574" s="367" t="str">
        <f t="shared" ca="1" si="254"/>
        <v/>
      </c>
      <c r="Z574" s="368" t="str">
        <f t="shared" ca="1" si="255"/>
        <v/>
      </c>
      <c r="AA574" s="369" t="str">
        <f t="shared" ca="1" si="256"/>
        <v/>
      </c>
      <c r="AB574" s="344"/>
      <c r="AC574" s="363">
        <f t="shared" ca="1" si="257"/>
        <v>11.999999999999913</v>
      </c>
      <c r="AD574" s="376">
        <f t="shared" ca="1" si="258"/>
        <v>558.32088888342469</v>
      </c>
      <c r="AE574" s="377">
        <f t="shared" ca="1" si="237"/>
        <v>2067.025868293425</v>
      </c>
      <c r="AF574" s="344"/>
      <c r="AG574" s="359">
        <f t="shared" ca="1" si="259"/>
        <v>-13.081933008902389</v>
      </c>
      <c r="AH574" s="357">
        <f t="shared" ca="1" si="260"/>
        <v>-3.8942998646504385</v>
      </c>
    </row>
    <row r="575" spans="1:34" x14ac:dyDescent="0.25">
      <c r="A575" s="402">
        <f t="shared" ca="1" si="238"/>
        <v>0.1</v>
      </c>
      <c r="B575" s="357">
        <f t="shared" ca="1" si="239"/>
        <v>12.099999999999913</v>
      </c>
      <c r="C575" s="342"/>
      <c r="D575" s="359">
        <f t="shared" ca="1" si="240"/>
        <v>-1.3455320356167719</v>
      </c>
      <c r="E575" s="360">
        <f t="shared" ca="1" si="241"/>
        <v>-13.376080183857546</v>
      </c>
      <c r="F575" s="357">
        <f t="shared" ca="1" si="242"/>
        <v>13.443584995969546</v>
      </c>
      <c r="G575" s="359">
        <f t="shared" ca="1" si="243"/>
        <v>45.172932133347281</v>
      </c>
      <c r="H575" s="360">
        <f t="shared" ca="1" si="244"/>
        <v>118.74138033978143</v>
      </c>
      <c r="I575" s="357">
        <f t="shared" ca="1" si="245"/>
        <v>127.04372948918271</v>
      </c>
      <c r="J575" s="359">
        <f t="shared" ca="1" si="246"/>
        <v>562.84490975693745</v>
      </c>
      <c r="K575" s="360">
        <f t="shared" ca="1" si="247"/>
        <v>2078.9668867283226</v>
      </c>
      <c r="L575" s="357">
        <f t="shared" ca="1" si="232"/>
        <v>2153.8100446771414</v>
      </c>
      <c r="M575" s="359">
        <f t="shared" ca="1" si="248"/>
        <v>1.2072725329731142</v>
      </c>
      <c r="N575" s="357">
        <f t="shared" ca="1" si="249"/>
        <v>69.171620861427954</v>
      </c>
      <c r="O575" s="343"/>
      <c r="P575" s="363">
        <f t="shared" ca="1" si="250"/>
        <v>23</v>
      </c>
      <c r="Q575" s="357">
        <f t="shared" ca="1" si="251"/>
        <v>0</v>
      </c>
      <c r="R575" s="359">
        <f t="shared" ca="1" si="252"/>
        <v>0</v>
      </c>
      <c r="S575" s="360">
        <f t="shared" ca="1" si="253"/>
        <v>9.7379999999999765</v>
      </c>
      <c r="T575" s="357">
        <f t="shared" ca="1" si="233"/>
        <v>95.529779999999775</v>
      </c>
      <c r="U575" s="364">
        <f t="shared" ca="1" si="234"/>
        <v>0</v>
      </c>
      <c r="V575" s="359">
        <f t="shared" ca="1" si="235"/>
        <v>0.99430673891512222</v>
      </c>
      <c r="W575" s="357">
        <f t="shared" ca="1" si="236"/>
        <v>36.325070806189089</v>
      </c>
      <c r="X575" s="343"/>
      <c r="Y575" s="367" t="str">
        <f t="shared" ca="1" si="254"/>
        <v/>
      </c>
      <c r="Z575" s="368" t="str">
        <f t="shared" ca="1" si="255"/>
        <v/>
      </c>
      <c r="AA575" s="369" t="str">
        <f t="shared" ca="1" si="256"/>
        <v/>
      </c>
      <c r="AB575" s="344"/>
      <c r="AC575" s="363" t="e">
        <f t="shared" ca="1" si="257"/>
        <v>#N/A</v>
      </c>
      <c r="AD575" s="376" t="e">
        <f t="shared" ca="1" si="258"/>
        <v>#N/A</v>
      </c>
      <c r="AE575" s="377">
        <f t="shared" ca="1" si="237"/>
        <v>2078.9668867283226</v>
      </c>
      <c r="AF575" s="344"/>
      <c r="AG575" s="359">
        <f t="shared" ca="1" si="259"/>
        <v>-12.989868290882354</v>
      </c>
      <c r="AH575" s="357">
        <f t="shared" ca="1" si="260"/>
        <v>-3.8114805963788503</v>
      </c>
    </row>
    <row r="576" spans="1:34" x14ac:dyDescent="0.25">
      <c r="A576" s="402">
        <f t="shared" ca="1" si="238"/>
        <v>0.1</v>
      </c>
      <c r="B576" s="357">
        <f t="shared" ca="1" si="239"/>
        <v>12.199999999999912</v>
      </c>
      <c r="C576" s="342"/>
      <c r="D576" s="359">
        <f t="shared" ca="1" si="240"/>
        <v>-1.3263610077406167</v>
      </c>
      <c r="E576" s="360">
        <f t="shared" ca="1" si="241"/>
        <v>-13.296466993620726</v>
      </c>
      <c r="F576" s="357">
        <f t="shared" ca="1" si="242"/>
        <v>13.362457410046256</v>
      </c>
      <c r="G576" s="359">
        <f t="shared" ca="1" si="243"/>
        <v>45.040296032573217</v>
      </c>
      <c r="H576" s="360">
        <f t="shared" ca="1" si="244"/>
        <v>117.41173364041936</v>
      </c>
      <c r="I576" s="357">
        <f t="shared" ca="1" si="245"/>
        <v>125.75429799076696</v>
      </c>
      <c r="J576" s="359">
        <f t="shared" ca="1" si="246"/>
        <v>567.35557116523353</v>
      </c>
      <c r="K576" s="360">
        <f t="shared" ca="1" si="247"/>
        <v>2090.7745424273326</v>
      </c>
      <c r="L576" s="357">
        <f t="shared" ca="1" si="232"/>
        <v>2166.3865147739566</v>
      </c>
      <c r="M576" s="359">
        <f t="shared" ca="1" si="248"/>
        <v>1.2044987544967285</v>
      </c>
      <c r="N576" s="357">
        <f t="shared" ca="1" si="249"/>
        <v>69.012695061426825</v>
      </c>
      <c r="O576" s="343"/>
      <c r="P576" s="363">
        <f t="shared" ca="1" si="250"/>
        <v>23</v>
      </c>
      <c r="Q576" s="357">
        <f t="shared" ca="1" si="251"/>
        <v>0</v>
      </c>
      <c r="R576" s="359">
        <f t="shared" ca="1" si="252"/>
        <v>0</v>
      </c>
      <c r="S576" s="360">
        <f t="shared" ca="1" si="253"/>
        <v>9.7379999999999765</v>
      </c>
      <c r="T576" s="357">
        <f t="shared" ca="1" si="233"/>
        <v>95.529779999999775</v>
      </c>
      <c r="U576" s="364">
        <f t="shared" ca="1" si="234"/>
        <v>0</v>
      </c>
      <c r="V576" s="359">
        <f t="shared" ca="1" si="235"/>
        <v>0.99312050572926125</v>
      </c>
      <c r="W576" s="357">
        <f t="shared" ca="1" si="236"/>
        <v>35.548987961909134</v>
      </c>
      <c r="X576" s="343"/>
      <c r="Y576" s="367" t="str">
        <f t="shared" ca="1" si="254"/>
        <v/>
      </c>
      <c r="Z576" s="368" t="str">
        <f t="shared" ca="1" si="255"/>
        <v/>
      </c>
      <c r="AA576" s="369" t="str">
        <f t="shared" ca="1" si="256"/>
        <v/>
      </c>
      <c r="AB576" s="344"/>
      <c r="AC576" s="363" t="e">
        <f t="shared" ca="1" si="257"/>
        <v>#N/A</v>
      </c>
      <c r="AD576" s="376" t="e">
        <f t="shared" ca="1" si="258"/>
        <v>#N/A</v>
      </c>
      <c r="AE576" s="377">
        <f t="shared" ca="1" si="237"/>
        <v>2090.7745424273326</v>
      </c>
      <c r="AF576" s="344"/>
      <c r="AG576" s="359">
        <f t="shared" ca="1" si="259"/>
        <v>-12.899152652720161</v>
      </c>
      <c r="AH576" s="357">
        <f t="shared" ca="1" si="260"/>
        <v>-3.7302393516316674</v>
      </c>
    </row>
    <row r="577" spans="1:34" x14ac:dyDescent="0.25">
      <c r="A577" s="402">
        <f t="shared" ca="1" si="238"/>
        <v>0.1</v>
      </c>
      <c r="B577" s="357">
        <f t="shared" ca="1" si="239"/>
        <v>12.299999999999912</v>
      </c>
      <c r="C577" s="342"/>
      <c r="D577" s="359">
        <f t="shared" ca="1" si="240"/>
        <v>-1.307482456510854</v>
      </c>
      <c r="E577" s="360">
        <f t="shared" ca="1" si="241"/>
        <v>-13.218365296097348</v>
      </c>
      <c r="F577" s="357">
        <f t="shared" ca="1" si="242"/>
        <v>13.282872109417992</v>
      </c>
      <c r="G577" s="359">
        <f t="shared" ca="1" si="243"/>
        <v>44.909547786922133</v>
      </c>
      <c r="H577" s="360">
        <f t="shared" ca="1" si="244"/>
        <v>116.08989711080962</v>
      </c>
      <c r="I577" s="357">
        <f t="shared" ca="1" si="245"/>
        <v>124.4738193100228</v>
      </c>
      <c r="J577" s="359">
        <f t="shared" ca="1" si="246"/>
        <v>571.85306335620828</v>
      </c>
      <c r="K577" s="360">
        <f t="shared" ca="1" si="247"/>
        <v>2102.4496239648938</v>
      </c>
      <c r="L577" s="357">
        <f t="shared" ca="1" si="232"/>
        <v>2178.8323357661102</v>
      </c>
      <c r="M577" s="359">
        <f t="shared" ca="1" si="248"/>
        <v>1.2016760204097847</v>
      </c>
      <c r="N577" s="357">
        <f t="shared" ca="1" si="249"/>
        <v>68.850964311557235</v>
      </c>
      <c r="O577" s="343"/>
      <c r="P577" s="363">
        <f t="shared" ca="1" si="250"/>
        <v>23</v>
      </c>
      <c r="Q577" s="357">
        <f t="shared" ca="1" si="251"/>
        <v>0</v>
      </c>
      <c r="R577" s="359">
        <f t="shared" ca="1" si="252"/>
        <v>0</v>
      </c>
      <c r="S577" s="360">
        <f t="shared" ca="1" si="253"/>
        <v>9.7379999999999765</v>
      </c>
      <c r="T577" s="357">
        <f t="shared" ca="1" si="233"/>
        <v>95.529779999999775</v>
      </c>
      <c r="U577" s="364">
        <f t="shared" ca="1" si="234"/>
        <v>0</v>
      </c>
      <c r="V577" s="359">
        <f t="shared" ca="1" si="235"/>
        <v>0.99194883751125296</v>
      </c>
      <c r="W577" s="357">
        <f t="shared" ca="1" si="236"/>
        <v>34.787636356562061</v>
      </c>
      <c r="X577" s="343"/>
      <c r="Y577" s="367" t="str">
        <f t="shared" ca="1" si="254"/>
        <v/>
      </c>
      <c r="Z577" s="368" t="str">
        <f t="shared" ca="1" si="255"/>
        <v/>
      </c>
      <c r="AA577" s="369" t="str">
        <f t="shared" ca="1" si="256"/>
        <v/>
      </c>
      <c r="AB577" s="344"/>
      <c r="AC577" s="363" t="e">
        <f t="shared" ca="1" si="257"/>
        <v>#N/A</v>
      </c>
      <c r="AD577" s="376" t="e">
        <f t="shared" ca="1" si="258"/>
        <v>#N/A</v>
      </c>
      <c r="AE577" s="377">
        <f t="shared" ca="1" si="237"/>
        <v>2102.4496239648938</v>
      </c>
      <c r="AF577" s="344"/>
      <c r="AG577" s="359">
        <f t="shared" ca="1" si="259"/>
        <v>-12.809745733891837</v>
      </c>
      <c r="AH577" s="357">
        <f t="shared" ca="1" si="260"/>
        <v>-3.6505430234041096</v>
      </c>
    </row>
    <row r="578" spans="1:34" x14ac:dyDescent="0.25">
      <c r="A578" s="402">
        <f t="shared" ca="1" si="238"/>
        <v>0.1</v>
      </c>
      <c r="B578" s="357">
        <f t="shared" ca="1" si="239"/>
        <v>12.399999999999912</v>
      </c>
      <c r="C578" s="342"/>
      <c r="D578" s="359">
        <f t="shared" ca="1" si="240"/>
        <v>-1.2888898924356209</v>
      </c>
      <c r="E578" s="360">
        <f t="shared" ca="1" si="241"/>
        <v>-13.141743523892394</v>
      </c>
      <c r="F578" s="357">
        <f t="shared" ca="1" si="242"/>
        <v>13.204796855786553</v>
      </c>
      <c r="G578" s="359">
        <f t="shared" ca="1" si="243"/>
        <v>44.780658797678569</v>
      </c>
      <c r="H578" s="360">
        <f t="shared" ca="1" si="244"/>
        <v>114.77572275842037</v>
      </c>
      <c r="I578" s="357">
        <f t="shared" ca="1" si="245"/>
        <v>123.2021669333453</v>
      </c>
      <c r="J578" s="359">
        <f t="shared" ca="1" si="246"/>
        <v>576.33757368543831</v>
      </c>
      <c r="K578" s="360">
        <f t="shared" ca="1" si="247"/>
        <v>2113.9929049583552</v>
      </c>
      <c r="L578" s="357">
        <f t="shared" ca="1" si="232"/>
        <v>2191.14832931408</v>
      </c>
      <c r="M578" s="359">
        <f t="shared" ca="1" si="248"/>
        <v>1.1988031771965422</v>
      </c>
      <c r="N578" s="357">
        <f t="shared" ca="1" si="249"/>
        <v>68.686362520235633</v>
      </c>
      <c r="O578" s="343"/>
      <c r="P578" s="363">
        <f t="shared" ca="1" si="250"/>
        <v>23</v>
      </c>
      <c r="Q578" s="357">
        <f t="shared" ca="1" si="251"/>
        <v>0</v>
      </c>
      <c r="R578" s="359">
        <f t="shared" ca="1" si="252"/>
        <v>0</v>
      </c>
      <c r="S578" s="360">
        <f t="shared" ca="1" si="253"/>
        <v>9.7379999999999765</v>
      </c>
      <c r="T578" s="357">
        <f t="shared" ca="1" si="233"/>
        <v>95.529779999999775</v>
      </c>
      <c r="U578" s="364">
        <f t="shared" ca="1" si="234"/>
        <v>0</v>
      </c>
      <c r="V578" s="359">
        <f t="shared" ca="1" si="235"/>
        <v>0.99079161260440307</v>
      </c>
      <c r="W578" s="357">
        <f t="shared" ca="1" si="236"/>
        <v>34.04071176361969</v>
      </c>
      <c r="X578" s="343"/>
      <c r="Y578" s="367" t="str">
        <f t="shared" ca="1" si="254"/>
        <v/>
      </c>
      <c r="Z578" s="368" t="str">
        <f t="shared" ca="1" si="255"/>
        <v/>
      </c>
      <c r="AA578" s="369" t="str">
        <f t="shared" ca="1" si="256"/>
        <v/>
      </c>
      <c r="AB578" s="344"/>
      <c r="AC578" s="363" t="e">
        <f t="shared" ca="1" si="257"/>
        <v>#N/A</v>
      </c>
      <c r="AD578" s="376" t="e">
        <f t="shared" ca="1" si="258"/>
        <v>#N/A</v>
      </c>
      <c r="AE578" s="377">
        <f t="shared" ca="1" si="237"/>
        <v>2113.9929049583552</v>
      </c>
      <c r="AF578" s="344"/>
      <c r="AG578" s="359">
        <f t="shared" ca="1" si="259"/>
        <v>-12.721607841226007</v>
      </c>
      <c r="AH578" s="357">
        <f t="shared" ca="1" si="260"/>
        <v>-3.5723594533335534</v>
      </c>
    </row>
    <row r="579" spans="1:34" x14ac:dyDescent="0.25">
      <c r="A579" s="402">
        <f t="shared" ca="1" si="238"/>
        <v>0.1</v>
      </c>
      <c r="B579" s="357">
        <f t="shared" ca="1" si="239"/>
        <v>12.499999999999911</v>
      </c>
      <c r="C579" s="342"/>
      <c r="D579" s="359">
        <f t="shared" ca="1" si="240"/>
        <v>-1.270577013461115</v>
      </c>
      <c r="E579" s="360">
        <f t="shared" ca="1" si="241"/>
        <v>-13.066571005333103</v>
      </c>
      <c r="F579" s="357">
        <f t="shared" ca="1" si="242"/>
        <v>13.128200325427224</v>
      </c>
      <c r="G579" s="359">
        <f t="shared" ca="1" si="243"/>
        <v>44.653601096332459</v>
      </c>
      <c r="H579" s="360">
        <f t="shared" ca="1" si="244"/>
        <v>113.46906565788706</v>
      </c>
      <c r="I579" s="357">
        <f t="shared" ca="1" si="245"/>
        <v>121.93921826936676</v>
      </c>
      <c r="J579" s="359">
        <f t="shared" ca="1" si="246"/>
        <v>580.80928668013883</v>
      </c>
      <c r="K579" s="360">
        <f t="shared" ca="1" si="247"/>
        <v>2125.4051443791705</v>
      </c>
      <c r="L579" s="357">
        <f t="shared" ca="1" si="232"/>
        <v>2203.3353025010365</v>
      </c>
      <c r="M579" s="359">
        <f t="shared" ca="1" si="248"/>
        <v>1.1958790359161318</v>
      </c>
      <c r="N579" s="357">
        <f t="shared" ca="1" si="249"/>
        <v>68.518821566168143</v>
      </c>
      <c r="O579" s="343"/>
      <c r="P579" s="363">
        <f t="shared" ca="1" si="250"/>
        <v>23</v>
      </c>
      <c r="Q579" s="357">
        <f t="shared" ca="1" si="251"/>
        <v>0</v>
      </c>
      <c r="R579" s="359">
        <f t="shared" ca="1" si="252"/>
        <v>0</v>
      </c>
      <c r="S579" s="360">
        <f t="shared" ca="1" si="253"/>
        <v>9.7379999999999765</v>
      </c>
      <c r="T579" s="357">
        <f t="shared" ca="1" si="233"/>
        <v>95.529779999999775</v>
      </c>
      <c r="U579" s="364">
        <f t="shared" ca="1" si="234"/>
        <v>0</v>
      </c>
      <c r="V579" s="359">
        <f t="shared" ca="1" si="235"/>
        <v>0.98964871175243396</v>
      </c>
      <c r="W579" s="357">
        <f t="shared" ca="1" si="236"/>
        <v>33.307918593923866</v>
      </c>
      <c r="X579" s="343"/>
      <c r="Y579" s="367" t="str">
        <f t="shared" ca="1" si="254"/>
        <v/>
      </c>
      <c r="Z579" s="368" t="str">
        <f t="shared" ca="1" si="255"/>
        <v/>
      </c>
      <c r="AA579" s="369" t="str">
        <f t="shared" ca="1" si="256"/>
        <v/>
      </c>
      <c r="AB579" s="344"/>
      <c r="AC579" s="363" t="e">
        <f t="shared" ca="1" si="257"/>
        <v>#N/A</v>
      </c>
      <c r="AD579" s="376" t="e">
        <f t="shared" ca="1" si="258"/>
        <v>#N/A</v>
      </c>
      <c r="AE579" s="377">
        <f t="shared" ca="1" si="237"/>
        <v>2125.4051443791705</v>
      </c>
      <c r="AF579" s="344"/>
      <c r="AG579" s="359">
        <f t="shared" ca="1" si="259"/>
        <v>-12.634699904827681</v>
      </c>
      <c r="AH579" s="357">
        <f t="shared" ca="1" si="260"/>
        <v>-3.4956574002484877</v>
      </c>
    </row>
    <row r="580" spans="1:34" x14ac:dyDescent="0.25">
      <c r="A580" s="402">
        <f t="shared" ca="1" si="238"/>
        <v>0.1</v>
      </c>
      <c r="B580" s="357">
        <f t="shared" ca="1" si="239"/>
        <v>12.599999999999911</v>
      </c>
      <c r="C580" s="342"/>
      <c r="D580" s="359">
        <f t="shared" ca="1" si="240"/>
        <v>-1.2525376991129744</v>
      </c>
      <c r="E580" s="360">
        <f t="shared" ca="1" si="241"/>
        <v>-12.99281793472872</v>
      </c>
      <c r="F580" s="357">
        <f t="shared" ca="1" si="242"/>
        <v>13.053052078832271</v>
      </c>
      <c r="G580" s="359">
        <f t="shared" ca="1" si="243"/>
        <v>44.528347326421162</v>
      </c>
      <c r="H580" s="360">
        <f t="shared" ca="1" si="244"/>
        <v>112.16978386441419</v>
      </c>
      <c r="I580" s="357">
        <f t="shared" ca="1" si="245"/>
        <v>120.68485459166693</v>
      </c>
      <c r="J580" s="359">
        <f t="shared" ca="1" si="246"/>
        <v>585.26838410127652</v>
      </c>
      <c r="K580" s="360">
        <f t="shared" ca="1" si="247"/>
        <v>2136.6870868552855</v>
      </c>
      <c r="L580" s="357">
        <f t="shared" ref="L580:L643" ca="1" si="261">SQRT(pos_x^2+pos_z^2)</f>
        <v>2215.3940481464342</v>
      </c>
      <c r="M580" s="359">
        <f t="shared" ca="1" si="248"/>
        <v>1.1929023709292346</v>
      </c>
      <c r="N580" s="357">
        <f t="shared" ca="1" si="249"/>
        <v>68.348271225394569</v>
      </c>
      <c r="O580" s="343"/>
      <c r="P580" s="363">
        <f t="shared" ca="1" si="250"/>
        <v>23</v>
      </c>
      <c r="Q580" s="357">
        <f t="shared" ca="1" si="251"/>
        <v>0</v>
      </c>
      <c r="R580" s="359">
        <f t="shared" ca="1" si="252"/>
        <v>0</v>
      </c>
      <c r="S580" s="360">
        <f t="shared" ca="1" si="253"/>
        <v>9.7379999999999765</v>
      </c>
      <c r="T580" s="357">
        <f t="shared" ref="T580:T643" ca="1" si="262">m*g</f>
        <v>95.529779999999775</v>
      </c>
      <c r="U580" s="364">
        <f t="shared" ref="U580:U643" ca="1" si="263">IF(pos_xz&lt;L_rampe,Poids*COS(Beta),0)</f>
        <v>0</v>
      </c>
      <c r="V580" s="359">
        <f t="shared" ref="V580:V643" ca="1" si="264">Rho_moyen*(20000-Alt_rampe-pos_z)/(20000+Alt_rampe+pos_z)</f>
        <v>0.98852001804714884</v>
      </c>
      <c r="W580" s="357">
        <f t="shared" ref="W580:W643" ca="1" si="265">1/2*Rho*Sref*Cx*vit_xz^2</f>
        <v>32.588969612946471</v>
      </c>
      <c r="X580" s="343"/>
      <c r="Y580" s="367" t="str">
        <f t="shared" ca="1" si="254"/>
        <v/>
      </c>
      <c r="Z580" s="368" t="str">
        <f t="shared" ca="1" si="255"/>
        <v/>
      </c>
      <c r="AA580" s="369" t="str">
        <f t="shared" ca="1" si="256"/>
        <v/>
      </c>
      <c r="AB580" s="344"/>
      <c r="AC580" s="363" t="e">
        <f t="shared" ca="1" si="257"/>
        <v>#N/A</v>
      </c>
      <c r="AD580" s="376" t="e">
        <f t="shared" ca="1" si="258"/>
        <v>#N/A</v>
      </c>
      <c r="AE580" s="377">
        <f t="shared" ref="AE580:AE643" ca="1" si="266">IF(t&lt;T_para, pos_z, NA())</f>
        <v>2136.6870868552855</v>
      </c>
      <c r="AF580" s="344"/>
      <c r="AG580" s="359">
        <f t="shared" ca="1" si="259"/>
        <v>-12.548983434605391</v>
      </c>
      <c r="AH580" s="357">
        <f t="shared" ca="1" si="260"/>
        <v>-3.4204065099531675</v>
      </c>
    </row>
    <row r="581" spans="1:34" x14ac:dyDescent="0.25">
      <c r="A581" s="402">
        <f t="shared" ref="A581:A644" ca="1" si="267">IF(B580+0.01&lt;=T_ini+ROUNDUP(Temps_fin_propu,0), 0.01, IF(K580&gt;0, 0.1, 0.0001))</f>
        <v>0.1</v>
      </c>
      <c r="B581" s="357">
        <f t="shared" ref="B581:B644" ca="1" si="268">B580+pas</f>
        <v>12.69999999999991</v>
      </c>
      <c r="C581" s="342"/>
      <c r="D581" s="359">
        <f t="shared" ref="D581:D644" ca="1" si="269">IF(AND(L580&lt;L_rampe,Poussee&lt;Poids*SIN(M580)),0,(-W580+Poussee)/m*COS(M580)-U580/m*SIN(M580))</f>
        <v>-1.2347660048852493</v>
      </c>
      <c r="E581" s="360">
        <f t="shared" ref="E581:E644" ca="1" si="270">IF(AND(L580&lt;L_rampe,Poussee&lt;Poids*SIN(M580)),0,(-W580+Poussee)/m*SIN(M580)+U580/m*COS(M580)-Poids/m)</f>
        <v>-12.920455343778789</v>
      </c>
      <c r="F581" s="357">
        <f t="shared" ref="F581:F644" ca="1" si="271">SQRT(acc_x^2+acc_z^2)</f>
        <v>12.979322531526911</v>
      </c>
      <c r="G581" s="359">
        <f t="shared" ref="G581:G644" ca="1" si="272">G580+acc_x*pas</f>
        <v>44.404870725932639</v>
      </c>
      <c r="H581" s="360">
        <f t="shared" ref="H581:H644" ca="1" si="273">H580+acc_z*pas</f>
        <v>110.87773833003631</v>
      </c>
      <c r="I581" s="357">
        <f t="shared" ref="I581:I644" ca="1" si="274">SQRT(vit_x^2+vit_z^2)</f>
        <v>119.43896098581398</v>
      </c>
      <c r="J581" s="359">
        <f t="shared" ref="J581:J644" ca="1" si="275">J580+0.5*(vit_x+G580)*pas*(K580&gt;=0)</f>
        <v>589.71504500389426</v>
      </c>
      <c r="K581" s="360">
        <f t="shared" ref="K581:K644" ca="1" si="276">K580+0.5*(vit_z+H580)*pas</f>
        <v>2147.8394629650079</v>
      </c>
      <c r="L581" s="357">
        <f t="shared" ca="1" si="261"/>
        <v>2227.3253451109831</v>
      </c>
      <c r="M581" s="359">
        <f t="shared" ref="M581:M644" ca="1" si="277">IF(AND(L580&gt;L_rampe,G581&gt;0),ATAN2(G581,H581),$M$4)</f>
        <v>1.1898719185741042</v>
      </c>
      <c r="N581" s="357">
        <f t="shared" ref="N581:N644" ca="1" si="278">DEGREES(Beta)</f>
        <v>68.174639095430123</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9.7379999999999765</v>
      </c>
      <c r="T581" s="357">
        <f t="shared" ca="1" si="262"/>
        <v>95.529779999999775</v>
      </c>
      <c r="U581" s="364">
        <f t="shared" ca="1" si="263"/>
        <v>0</v>
      </c>
      <c r="V581" s="359">
        <f t="shared" ca="1" si="264"/>
        <v>0.98740541687763372</v>
      </c>
      <c r="W581" s="357">
        <f t="shared" ca="1" si="265"/>
        <v>31.883585669037974</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f t="shared" ca="1" si="266"/>
        <v>2147.8394629650079</v>
      </c>
      <c r="AF581" s="344"/>
      <c r="AG581" s="359">
        <f t="shared" ref="AG581:AG644" ca="1" si="288">IF(AND(L580&lt;L_rampe,Poussee&lt;Poids*SIN(M580)),0,(-W580+Poussee)/m-Poids*SIN(M580)/m)</f>
        <v>-12.464420477312624</v>
      </c>
      <c r="AH581" s="357">
        <f t="shared" ref="AH581:AH644" ca="1" si="289">IF(AND(L580&lt;L_rampe,Poussee&lt;Poids*SIN(M580)), g*SIN(M580), (-W580+Poussee)/m)</f>
        <v>-3.3465772861929093</v>
      </c>
    </row>
    <row r="582" spans="1:34" x14ac:dyDescent="0.25">
      <c r="A582" s="402">
        <f t="shared" ca="1" si="267"/>
        <v>0.1</v>
      </c>
      <c r="B582" s="357">
        <f t="shared" ca="1" si="268"/>
        <v>12.79999999999991</v>
      </c>
      <c r="C582" s="342"/>
      <c r="D582" s="359">
        <f t="shared" ca="1" si="269"/>
        <v>-1.2172561568670348</v>
      </c>
      <c r="E582" s="360">
        <f t="shared" ca="1" si="270"/>
        <v>-12.849455074078341</v>
      </c>
      <c r="F582" s="357">
        <f t="shared" ca="1" si="271"/>
        <v>12.906982926005144</v>
      </c>
      <c r="G582" s="359">
        <f t="shared" ca="1" si="272"/>
        <v>44.283145110245933</v>
      </c>
      <c r="H582" s="360">
        <f t="shared" ca="1" si="273"/>
        <v>109.59279282262847</v>
      </c>
      <c r="I582" s="357">
        <f t="shared" ca="1" si="274"/>
        <v>118.20142630069515</v>
      </c>
      <c r="J582" s="359">
        <f t="shared" ca="1" si="275"/>
        <v>594.14944579570317</v>
      </c>
      <c r="K582" s="360">
        <f t="shared" ca="1" si="276"/>
        <v>2158.8629895226413</v>
      </c>
      <c r="L582" s="357">
        <f t="shared" ca="1" si="261"/>
        <v>2239.1299585932875</v>
      </c>
      <c r="M582" s="359">
        <f t="shared" ca="1" si="277"/>
        <v>1.1867863757898995</v>
      </c>
      <c r="N582" s="357">
        <f t="shared" ca="1" si="278"/>
        <v>67.997850516388141</v>
      </c>
      <c r="O582" s="343"/>
      <c r="P582" s="363">
        <f t="shared" ca="1" si="279"/>
        <v>23</v>
      </c>
      <c r="Q582" s="357">
        <f t="shared" ca="1" si="280"/>
        <v>0</v>
      </c>
      <c r="R582" s="359">
        <f t="shared" ca="1" si="281"/>
        <v>0</v>
      </c>
      <c r="S582" s="360">
        <f t="shared" ca="1" si="282"/>
        <v>9.7379999999999765</v>
      </c>
      <c r="T582" s="357">
        <f t="shared" ca="1" si="262"/>
        <v>95.529779999999775</v>
      </c>
      <c r="U582" s="364">
        <f t="shared" ca="1" si="263"/>
        <v>0</v>
      </c>
      <c r="V582" s="359">
        <f t="shared" ca="1" si="264"/>
        <v>0.98630479588093656</v>
      </c>
      <c r="W582" s="357">
        <f t="shared" ca="1" si="265"/>
        <v>31.191495432179845</v>
      </c>
      <c r="X582" s="343"/>
      <c r="Y582" s="367" t="str">
        <f t="shared" ca="1" si="283"/>
        <v/>
      </c>
      <c r="Z582" s="368" t="str">
        <f t="shared" ca="1" si="284"/>
        <v/>
      </c>
      <c r="AA582" s="369" t="str">
        <f t="shared" ca="1" si="285"/>
        <v/>
      </c>
      <c r="AB582" s="344"/>
      <c r="AC582" s="363" t="e">
        <f t="shared" ca="1" si="286"/>
        <v>#N/A</v>
      </c>
      <c r="AD582" s="376" t="e">
        <f t="shared" ca="1" si="287"/>
        <v>#N/A</v>
      </c>
      <c r="AE582" s="377">
        <f t="shared" ca="1" si="266"/>
        <v>2158.8629895226413</v>
      </c>
      <c r="AF582" s="344"/>
      <c r="AG582" s="359">
        <f t="shared" ca="1" si="288"/>
        <v>-12.380973574015592</v>
      </c>
      <c r="AH582" s="357">
        <f t="shared" ca="1" si="289"/>
        <v>-3.2741410627477974</v>
      </c>
    </row>
    <row r="583" spans="1:34" x14ac:dyDescent="0.25">
      <c r="A583" s="402">
        <f t="shared" ca="1" si="267"/>
        <v>0.1</v>
      </c>
      <c r="B583" s="357">
        <f t="shared" ca="1" si="268"/>
        <v>12.89999999999991</v>
      </c>
      <c r="C583" s="342"/>
      <c r="D583" s="359">
        <f t="shared" ca="1" si="269"/>
        <v>-1.2000025465973507</v>
      </c>
      <c r="E583" s="360">
        <f t="shared" ca="1" si="270"/>
        <v>-12.779789750670663</v>
      </c>
      <c r="F583" s="357">
        <f t="shared" ca="1" si="271"/>
        <v>12.836005304735076</v>
      </c>
      <c r="G583" s="359">
        <f t="shared" ca="1" si="272"/>
        <v>44.163144855586197</v>
      </c>
      <c r="H583" s="360">
        <f t="shared" ca="1" si="273"/>
        <v>108.3148138475614</v>
      </c>
      <c r="I583" s="357">
        <f t="shared" ca="1" si="274"/>
        <v>116.97214310410564</v>
      </c>
      <c r="J583" s="359">
        <f t="shared" ca="1" si="275"/>
        <v>598.57176029399477</v>
      </c>
      <c r="K583" s="360">
        <f t="shared" ca="1" si="276"/>
        <v>2169.7583698561507</v>
      </c>
      <c r="L583" s="357">
        <f t="shared" ca="1" si="261"/>
        <v>2250.8086404184323</v>
      </c>
      <c r="M583" s="359">
        <f t="shared" ca="1" si="277"/>
        <v>1.1836443986852312</v>
      </c>
      <c r="N583" s="357">
        <f t="shared" ca="1" si="278"/>
        <v>67.817828488963912</v>
      </c>
      <c r="O583" s="343"/>
      <c r="P583" s="363">
        <f t="shared" ca="1" si="279"/>
        <v>23</v>
      </c>
      <c r="Q583" s="357">
        <f t="shared" ca="1" si="280"/>
        <v>0</v>
      </c>
      <c r="R583" s="359">
        <f t="shared" ca="1" si="281"/>
        <v>0</v>
      </c>
      <c r="S583" s="360">
        <f t="shared" ca="1" si="282"/>
        <v>9.7379999999999765</v>
      </c>
      <c r="T583" s="357">
        <f t="shared" ca="1" si="262"/>
        <v>95.529779999999775</v>
      </c>
      <c r="U583" s="364">
        <f t="shared" ca="1" si="263"/>
        <v>0</v>
      </c>
      <c r="V583" s="359">
        <f t="shared" ca="1" si="264"/>
        <v>0.98521804489418718</v>
      </c>
      <c r="W583" s="357">
        <f t="shared" ca="1" si="265"/>
        <v>30.512435142782081</v>
      </c>
      <c r="X583" s="343"/>
      <c r="Y583" s="367" t="str">
        <f t="shared" ca="1" si="283"/>
        <v/>
      </c>
      <c r="Z583" s="368" t="str">
        <f t="shared" ca="1" si="284"/>
        <v/>
      </c>
      <c r="AA583" s="369" t="str">
        <f t="shared" ca="1" si="285"/>
        <v/>
      </c>
      <c r="AB583" s="344"/>
      <c r="AC583" s="363" t="e">
        <f t="shared" ca="1" si="286"/>
        <v>#N/A</v>
      </c>
      <c r="AD583" s="376" t="e">
        <f t="shared" ca="1" si="287"/>
        <v>#N/A</v>
      </c>
      <c r="AE583" s="377">
        <f t="shared" ca="1" si="266"/>
        <v>2169.7583698561507</v>
      </c>
      <c r="AF583" s="344"/>
      <c r="AG583" s="359">
        <f t="shared" ca="1" si="288"/>
        <v>-12.298605717899754</v>
      </c>
      <c r="AH583" s="357">
        <f t="shared" ca="1" si="289"/>
        <v>-3.2030699766050441</v>
      </c>
    </row>
    <row r="584" spans="1:34" x14ac:dyDescent="0.25">
      <c r="A584" s="402">
        <f t="shared" ca="1" si="267"/>
        <v>0.1</v>
      </c>
      <c r="B584" s="357">
        <f t="shared" ca="1" si="268"/>
        <v>12.999999999999909</v>
      </c>
      <c r="C584" s="342"/>
      <c r="D584" s="359">
        <f t="shared" ca="1" si="269"/>
        <v>-1.1829997261394281</v>
      </c>
      <c r="E584" s="360">
        <f t="shared" ca="1" si="270"/>
        <v>-12.711432756600898</v>
      </c>
      <c r="F584" s="357">
        <f t="shared" ca="1" si="271"/>
        <v>12.76636248418602</v>
      </c>
      <c r="G584" s="359">
        <f t="shared" ca="1" si="272"/>
        <v>44.044844882972257</v>
      </c>
      <c r="H584" s="360">
        <f t="shared" ca="1" si="273"/>
        <v>107.0436705719013</v>
      </c>
      <c r="I584" s="357">
        <f t="shared" ca="1" si="274"/>
        <v>115.75100764257223</v>
      </c>
      <c r="J584" s="359">
        <f t="shared" ca="1" si="275"/>
        <v>602.98215978092264</v>
      </c>
      <c r="K584" s="360">
        <f t="shared" ca="1" si="276"/>
        <v>2180.526294077124</v>
      </c>
      <c r="L584" s="357">
        <f t="shared" ca="1" si="261"/>
        <v>2262.3621293187753</v>
      </c>
      <c r="M584" s="359">
        <f t="shared" ca="1" si="277"/>
        <v>1.1804446010497589</v>
      </c>
      <c r="N584" s="357">
        <f t="shared" ca="1" si="278"/>
        <v>67.634493589155412</v>
      </c>
      <c r="O584" s="343"/>
      <c r="P584" s="363">
        <f t="shared" ca="1" si="279"/>
        <v>23</v>
      </c>
      <c r="Q584" s="357">
        <f t="shared" ca="1" si="280"/>
        <v>0</v>
      </c>
      <c r="R584" s="359">
        <f t="shared" ca="1" si="281"/>
        <v>0</v>
      </c>
      <c r="S584" s="360">
        <f t="shared" ca="1" si="282"/>
        <v>9.7379999999999765</v>
      </c>
      <c r="T584" s="357">
        <f t="shared" ca="1" si="262"/>
        <v>95.529779999999775</v>
      </c>
      <c r="U584" s="364">
        <f t="shared" ca="1" si="263"/>
        <v>0</v>
      </c>
      <c r="V584" s="359">
        <f t="shared" ca="1" si="264"/>
        <v>0.98414505590809598</v>
      </c>
      <c r="W584" s="357">
        <f t="shared" ca="1" si="265"/>
        <v>29.84614837008775</v>
      </c>
      <c r="X584" s="343"/>
      <c r="Y584" s="367" t="str">
        <f t="shared" ca="1" si="283"/>
        <v/>
      </c>
      <c r="Z584" s="368" t="str">
        <f t="shared" ca="1" si="284"/>
        <v/>
      </c>
      <c r="AA584" s="369" t="str">
        <f t="shared" ca="1" si="285"/>
        <v/>
      </c>
      <c r="AB584" s="344"/>
      <c r="AC584" s="363">
        <f t="shared" ca="1" si="286"/>
        <v>12.999999999999909</v>
      </c>
      <c r="AD584" s="376">
        <f t="shared" ca="1" si="287"/>
        <v>602.98215978092264</v>
      </c>
      <c r="AE584" s="377">
        <f t="shared" ca="1" si="266"/>
        <v>2180.526294077124</v>
      </c>
      <c r="AF584" s="344"/>
      <c r="AG584" s="359">
        <f t="shared" ca="1" si="288"/>
        <v>-12.217280312328269</v>
      </c>
      <c r="AH584" s="357">
        <f t="shared" ca="1" si="289"/>
        <v>-3.1333369421628832</v>
      </c>
    </row>
    <row r="585" spans="1:34" x14ac:dyDescent="0.25">
      <c r="A585" s="402">
        <f t="shared" ca="1" si="267"/>
        <v>0.1</v>
      </c>
      <c r="B585" s="357">
        <f t="shared" ca="1" si="268"/>
        <v>13.099999999999909</v>
      </c>
      <c r="C585" s="342"/>
      <c r="D585" s="359">
        <f t="shared" ca="1" si="269"/>
        <v>-1.1662424033660133</v>
      </c>
      <c r="E585" s="360">
        <f t="shared" ca="1" si="270"/>
        <v>-12.644358208425812</v>
      </c>
      <c r="F585" s="357">
        <f t="shared" ca="1" si="271"/>
        <v>12.698028029831804</v>
      </c>
      <c r="G585" s="359">
        <f t="shared" ca="1" si="272"/>
        <v>43.928220642635658</v>
      </c>
      <c r="H585" s="360">
        <f t="shared" ca="1" si="273"/>
        <v>105.77923475105872</v>
      </c>
      <c r="I585" s="357">
        <f t="shared" ca="1" si="274"/>
        <v>114.53791980539751</v>
      </c>
      <c r="J585" s="359">
        <f t="shared" ca="1" si="275"/>
        <v>607.380813057203</v>
      </c>
      <c r="K585" s="360">
        <f t="shared" ca="1" si="276"/>
        <v>2191.1674393432722</v>
      </c>
      <c r="L585" s="357">
        <f t="shared" ca="1" si="261"/>
        <v>2273.7911512072037</v>
      </c>
      <c r="M585" s="359">
        <f t="shared" ca="1" si="277"/>
        <v>1.1771855528066111</v>
      </c>
      <c r="N585" s="357">
        <f t="shared" ca="1" si="278"/>
        <v>67.447763879593509</v>
      </c>
      <c r="O585" s="343"/>
      <c r="P585" s="363">
        <f t="shared" ca="1" si="279"/>
        <v>23</v>
      </c>
      <c r="Q585" s="357">
        <f t="shared" ca="1" si="280"/>
        <v>0</v>
      </c>
      <c r="R585" s="359">
        <f t="shared" ca="1" si="281"/>
        <v>0</v>
      </c>
      <c r="S585" s="360">
        <f t="shared" ca="1" si="282"/>
        <v>9.7379999999999765</v>
      </c>
      <c r="T585" s="357">
        <f t="shared" ca="1" si="262"/>
        <v>95.529779999999775</v>
      </c>
      <c r="U585" s="364">
        <f t="shared" ca="1" si="263"/>
        <v>0</v>
      </c>
      <c r="V585" s="359">
        <f t="shared" ca="1" si="264"/>
        <v>0.98308572302179487</v>
      </c>
      <c r="W585" s="357">
        <f t="shared" ca="1" si="265"/>
        <v>29.192385779769335</v>
      </c>
      <c r="X585" s="343"/>
      <c r="Y585" s="367" t="str">
        <f t="shared" ca="1" si="283"/>
        <v/>
      </c>
      <c r="Z585" s="368" t="str">
        <f t="shared" ca="1" si="284"/>
        <v/>
      </c>
      <c r="AA585" s="369" t="str">
        <f t="shared" ca="1" si="285"/>
        <v/>
      </c>
      <c r="AB585" s="344"/>
      <c r="AC585" s="363" t="e">
        <f t="shared" ca="1" si="286"/>
        <v>#N/A</v>
      </c>
      <c r="AD585" s="376" t="e">
        <f t="shared" ca="1" si="287"/>
        <v>#N/A</v>
      </c>
      <c r="AE585" s="377">
        <f t="shared" ca="1" si="266"/>
        <v>2191.1674393432722</v>
      </c>
      <c r="AF585" s="344"/>
      <c r="AG585" s="359">
        <f t="shared" ca="1" si="288"/>
        <v>-12.136961129065387</v>
      </c>
      <c r="AH585" s="357">
        <f t="shared" ca="1" si="289"/>
        <v>-3.0649156264210129</v>
      </c>
    </row>
    <row r="586" spans="1:34" x14ac:dyDescent="0.25">
      <c r="A586" s="402">
        <f t="shared" ca="1" si="267"/>
        <v>0.1</v>
      </c>
      <c r="B586" s="357">
        <f t="shared" ca="1" si="268"/>
        <v>13.199999999999909</v>
      </c>
      <c r="C586" s="342"/>
      <c r="D586" s="359">
        <f t="shared" ca="1" si="269"/>
        <v>-1.1497254374478183</v>
      </c>
      <c r="E586" s="360">
        <f t="shared" ca="1" si="270"/>
        <v>-12.578540932637228</v>
      </c>
      <c r="F586" s="357">
        <f t="shared" ca="1" si="271"/>
        <v>12.630976232086924</v>
      </c>
      <c r="G586" s="359">
        <f t="shared" ca="1" si="272"/>
        <v>43.813248098890874</v>
      </c>
      <c r="H586" s="360">
        <f t="shared" ca="1" si="273"/>
        <v>104.52138065779501</v>
      </c>
      <c r="I586" s="357">
        <f t="shared" ca="1" si="274"/>
        <v>113.3327830929191</v>
      </c>
      <c r="J586" s="359">
        <f t="shared" ca="1" si="275"/>
        <v>611.76788649427931</v>
      </c>
      <c r="K586" s="360">
        <f t="shared" ca="1" si="276"/>
        <v>2201.6824701137148</v>
      </c>
      <c r="L586" s="357">
        <f t="shared" ca="1" si="261"/>
        <v>2285.0964194431067</v>
      </c>
      <c r="M586" s="359">
        <f t="shared" ca="1" si="277"/>
        <v>1.1738657784033431</v>
      </c>
      <c r="N586" s="357">
        <f t="shared" ca="1" si="278"/>
        <v>67.257554817350695</v>
      </c>
      <c r="O586" s="343"/>
      <c r="P586" s="363">
        <f t="shared" ca="1" si="279"/>
        <v>23</v>
      </c>
      <c r="Q586" s="357">
        <f t="shared" ca="1" si="280"/>
        <v>0</v>
      </c>
      <c r="R586" s="359">
        <f t="shared" ca="1" si="281"/>
        <v>0</v>
      </c>
      <c r="S586" s="360">
        <f t="shared" ca="1" si="282"/>
        <v>9.7379999999999765</v>
      </c>
      <c r="T586" s="357">
        <f t="shared" ca="1" si="262"/>
        <v>95.529779999999775</v>
      </c>
      <c r="U586" s="364">
        <f t="shared" ca="1" si="263"/>
        <v>0</v>
      </c>
      <c r="V586" s="359">
        <f t="shared" ca="1" si="264"/>
        <v>0.98203994239897019</v>
      </c>
      <c r="W586" s="357">
        <f t="shared" ca="1" si="265"/>
        <v>28.55090491032097</v>
      </c>
      <c r="X586" s="343"/>
      <c r="Y586" s="367" t="str">
        <f t="shared" ca="1" si="283"/>
        <v/>
      </c>
      <c r="Z586" s="368" t="str">
        <f t="shared" ca="1" si="284"/>
        <v/>
      </c>
      <c r="AA586" s="369" t="str">
        <f t="shared" ca="1" si="285"/>
        <v/>
      </c>
      <c r="AB586" s="344"/>
      <c r="AC586" s="363" t="e">
        <f t="shared" ca="1" si="286"/>
        <v>#N/A</v>
      </c>
      <c r="AD586" s="376" t="e">
        <f t="shared" ca="1" si="287"/>
        <v>#N/A</v>
      </c>
      <c r="AE586" s="377">
        <f t="shared" ca="1" si="266"/>
        <v>2201.6824701137148</v>
      </c>
      <c r="AF586" s="344"/>
      <c r="AG586" s="359">
        <f t="shared" ca="1" si="288"/>
        <v>-12.05761226657804</v>
      </c>
      <c r="AH586" s="357">
        <f t="shared" ca="1" si="289"/>
        <v>-2.9977804251149522</v>
      </c>
    </row>
    <row r="587" spans="1:34" x14ac:dyDescent="0.25">
      <c r="A587" s="402">
        <f t="shared" ca="1" si="267"/>
        <v>0.1</v>
      </c>
      <c r="B587" s="357">
        <f t="shared" ca="1" si="268"/>
        <v>13.299999999999908</v>
      </c>
      <c r="C587" s="342"/>
      <c r="D587" s="359">
        <f t="shared" ca="1" si="269"/>
        <v>-1.1334438345376547</v>
      </c>
      <c r="E587" s="360">
        <f t="shared" ca="1" si="270"/>
        <v>-12.513956442958634</v>
      </c>
      <c r="F587" s="357">
        <f t="shared" ca="1" si="271"/>
        <v>12.565182083134225</v>
      </c>
      <c r="G587" s="359">
        <f t="shared" ca="1" si="272"/>
        <v>43.699903715437109</v>
      </c>
      <c r="H587" s="360">
        <f t="shared" ca="1" si="273"/>
        <v>103.26998501349914</v>
      </c>
      <c r="I587" s="357">
        <f t="shared" ca="1" si="274"/>
        <v>112.13550458898739</v>
      </c>
      <c r="J587" s="359">
        <f t="shared" ca="1" si="275"/>
        <v>616.14354408499571</v>
      </c>
      <c r="K587" s="360">
        <f t="shared" ca="1" si="276"/>
        <v>2212.0720383972794</v>
      </c>
      <c r="L587" s="357">
        <f t="shared" ca="1" si="261"/>
        <v>2296.2786350912893</v>
      </c>
      <c r="M587" s="359">
        <f t="shared" ca="1" si="277"/>
        <v>1.1704837551390765</v>
      </c>
      <c r="N587" s="357">
        <f t="shared" ca="1" si="278"/>
        <v>67.063779158093169</v>
      </c>
      <c r="O587" s="343"/>
      <c r="P587" s="363">
        <f t="shared" ca="1" si="279"/>
        <v>23</v>
      </c>
      <c r="Q587" s="357">
        <f t="shared" ca="1" si="280"/>
        <v>0</v>
      </c>
      <c r="R587" s="359">
        <f t="shared" ca="1" si="281"/>
        <v>0</v>
      </c>
      <c r="S587" s="360">
        <f t="shared" ca="1" si="282"/>
        <v>9.7379999999999765</v>
      </c>
      <c r="T587" s="357">
        <f t="shared" ca="1" si="262"/>
        <v>95.529779999999775</v>
      </c>
      <c r="U587" s="364">
        <f t="shared" ca="1" si="263"/>
        <v>0</v>
      </c>
      <c r="V587" s="359">
        <f t="shared" ca="1" si="264"/>
        <v>0.9810076122252489</v>
      </c>
      <c r="W587" s="357">
        <f t="shared" ca="1" si="265"/>
        <v>27.921469957870475</v>
      </c>
      <c r="X587" s="343"/>
      <c r="Y587" s="367" t="str">
        <f t="shared" ca="1" si="283"/>
        <v/>
      </c>
      <c r="Z587" s="368" t="str">
        <f t="shared" ca="1" si="284"/>
        <v/>
      </c>
      <c r="AA587" s="369" t="str">
        <f t="shared" ca="1" si="285"/>
        <v/>
      </c>
      <c r="AB587" s="344"/>
      <c r="AC587" s="363" t="e">
        <f t="shared" ca="1" si="286"/>
        <v>#N/A</v>
      </c>
      <c r="AD587" s="376" t="e">
        <f t="shared" ca="1" si="287"/>
        <v>#N/A</v>
      </c>
      <c r="AE587" s="377">
        <f t="shared" ca="1" si="266"/>
        <v>2212.0720383972794</v>
      </c>
      <c r="AF587" s="344"/>
      <c r="AG587" s="359">
        <f t="shared" ca="1" si="288"/>
        <v>-11.979198108328513</v>
      </c>
      <c r="AH587" s="357">
        <f t="shared" ca="1" si="289"/>
        <v>-2.9319064397536496</v>
      </c>
    </row>
    <row r="588" spans="1:34" x14ac:dyDescent="0.25">
      <c r="A588" s="402">
        <f t="shared" ca="1" si="267"/>
        <v>0.1</v>
      </c>
      <c r="B588" s="357">
        <f t="shared" ca="1" si="268"/>
        <v>13.399999999999908</v>
      </c>
      <c r="C588" s="342"/>
      <c r="D588" s="359">
        <f t="shared" ca="1" si="269"/>
        <v>-1.1173927436432876</v>
      </c>
      <c r="E588" s="360">
        <f t="shared" ca="1" si="270"/>
        <v>-12.450580918476305</v>
      </c>
      <c r="F588" s="357">
        <f t="shared" ca="1" si="271"/>
        <v>12.500621254604626</v>
      </c>
      <c r="G588" s="359">
        <f t="shared" ca="1" si="272"/>
        <v>43.588164441072777</v>
      </c>
      <c r="H588" s="360">
        <f t="shared" ca="1" si="273"/>
        <v>102.02492692165151</v>
      </c>
      <c r="I588" s="357">
        <f t="shared" ca="1" si="274"/>
        <v>110.94599493767377</v>
      </c>
      <c r="J588" s="359">
        <f t="shared" ca="1" si="275"/>
        <v>620.50794749282124</v>
      </c>
      <c r="K588" s="360">
        <f t="shared" ca="1" si="276"/>
        <v>2222.336783994037</v>
      </c>
      <c r="L588" s="357">
        <f t="shared" ca="1" si="261"/>
        <v>2307.3384871740673</v>
      </c>
      <c r="M588" s="359">
        <f t="shared" ca="1" si="277"/>
        <v>1.1670379114254255</v>
      </c>
      <c r="N588" s="357">
        <f t="shared" ca="1" si="278"/>
        <v>66.866346856439279</v>
      </c>
      <c r="O588" s="343"/>
      <c r="P588" s="363">
        <f t="shared" ca="1" si="279"/>
        <v>23</v>
      </c>
      <c r="Q588" s="357">
        <f t="shared" ca="1" si="280"/>
        <v>0</v>
      </c>
      <c r="R588" s="359">
        <f t="shared" ca="1" si="281"/>
        <v>0</v>
      </c>
      <c r="S588" s="360">
        <f t="shared" ca="1" si="282"/>
        <v>9.7379999999999765</v>
      </c>
      <c r="T588" s="357">
        <f t="shared" ca="1" si="262"/>
        <v>95.529779999999775</v>
      </c>
      <c r="U588" s="364">
        <f t="shared" ca="1" si="263"/>
        <v>0</v>
      </c>
      <c r="V588" s="359">
        <f t="shared" ca="1" si="264"/>
        <v>0.97998863266679359</v>
      </c>
      <c r="W588" s="357">
        <f t="shared" ca="1" si="265"/>
        <v>27.303851569052568</v>
      </c>
      <c r="X588" s="343"/>
      <c r="Y588" s="367" t="str">
        <f t="shared" ca="1" si="283"/>
        <v/>
      </c>
      <c r="Z588" s="368" t="str">
        <f t="shared" ca="1" si="284"/>
        <v/>
      </c>
      <c r="AA588" s="369" t="str">
        <f t="shared" ca="1" si="285"/>
        <v/>
      </c>
      <c r="AB588" s="344"/>
      <c r="AC588" s="363" t="e">
        <f t="shared" ca="1" si="286"/>
        <v>#N/A</v>
      </c>
      <c r="AD588" s="376" t="e">
        <f t="shared" ca="1" si="287"/>
        <v>#N/A</v>
      </c>
      <c r="AE588" s="377">
        <f t="shared" ca="1" si="266"/>
        <v>2222.336783994037</v>
      </c>
      <c r="AF588" s="344"/>
      <c r="AG588" s="359">
        <f t="shared" ca="1" si="288"/>
        <v>-11.90168328097054</v>
      </c>
      <c r="AH588" s="357">
        <f t="shared" ca="1" si="289"/>
        <v>-2.8672694555217233</v>
      </c>
    </row>
    <row r="589" spans="1:34" x14ac:dyDescent="0.25">
      <c r="A589" s="402">
        <f t="shared" ca="1" si="267"/>
        <v>0.1</v>
      </c>
      <c r="B589" s="357">
        <f t="shared" ca="1" si="268"/>
        <v>13.499999999999908</v>
      </c>
      <c r="C589" s="342"/>
      <c r="D589" s="359">
        <f t="shared" ca="1" si="269"/>
        <v>-1.1015674526823807</v>
      </c>
      <c r="E589" s="360">
        <f t="shared" ca="1" si="270"/>
        <v>-12.388391182568084</v>
      </c>
      <c r="F589" s="357">
        <f t="shared" ca="1" si="271"/>
        <v>12.437270076071348</v>
      </c>
      <c r="G589" s="359">
        <f t="shared" ca="1" si="272"/>
        <v>43.478007695804543</v>
      </c>
      <c r="H589" s="360">
        <f t="shared" ca="1" si="273"/>
        <v>100.78608780339471</v>
      </c>
      <c r="I589" s="357">
        <f t="shared" ca="1" si="274"/>
        <v>109.76416832423058</v>
      </c>
      <c r="J589" s="359">
        <f t="shared" ca="1" si="275"/>
        <v>624.86125609966507</v>
      </c>
      <c r="K589" s="360">
        <f t="shared" ca="1" si="276"/>
        <v>2232.4773347302894</v>
      </c>
      <c r="L589" s="357">
        <f t="shared" ca="1" si="261"/>
        <v>2318.2766529167538</v>
      </c>
      <c r="M589" s="359">
        <f t="shared" ca="1" si="277"/>
        <v>1.1635266249787426</v>
      </c>
      <c r="N589" s="357">
        <f t="shared" ca="1" si="278"/>
        <v>66.66516496238286</v>
      </c>
      <c r="O589" s="343"/>
      <c r="P589" s="363">
        <f t="shared" ca="1" si="279"/>
        <v>23</v>
      </c>
      <c r="Q589" s="357">
        <f t="shared" ca="1" si="280"/>
        <v>0</v>
      </c>
      <c r="R589" s="359">
        <f t="shared" ca="1" si="281"/>
        <v>0</v>
      </c>
      <c r="S589" s="360">
        <f t="shared" ca="1" si="282"/>
        <v>9.7379999999999765</v>
      </c>
      <c r="T589" s="357">
        <f t="shared" ca="1" si="262"/>
        <v>95.529779999999775</v>
      </c>
      <c r="U589" s="364">
        <f t="shared" ca="1" si="263"/>
        <v>0</v>
      </c>
      <c r="V589" s="359">
        <f t="shared" ca="1" si="264"/>
        <v>0.97898290583006842</v>
      </c>
      <c r="W589" s="357">
        <f t="shared" ca="1" si="265"/>
        <v>26.697826641602202</v>
      </c>
      <c r="X589" s="343"/>
      <c r="Y589" s="367" t="str">
        <f t="shared" ca="1" si="283"/>
        <v/>
      </c>
      <c r="Z589" s="368" t="str">
        <f t="shared" ca="1" si="284"/>
        <v/>
      </c>
      <c r="AA589" s="369" t="str">
        <f t="shared" ca="1" si="285"/>
        <v/>
      </c>
      <c r="AB589" s="344"/>
      <c r="AC589" s="363" t="e">
        <f t="shared" ca="1" si="286"/>
        <v>#N/A</v>
      </c>
      <c r="AD589" s="376" t="e">
        <f t="shared" ca="1" si="287"/>
        <v>#N/A</v>
      </c>
      <c r="AE589" s="377">
        <f t="shared" ca="1" si="266"/>
        <v>2232.4773347302894</v>
      </c>
      <c r="AF589" s="344"/>
      <c r="AG589" s="359">
        <f t="shared" ca="1" si="288"/>
        <v>-11.825032612360669</v>
      </c>
      <c r="AH589" s="357">
        <f t="shared" ca="1" si="289"/>
        <v>-2.8038459200095125</v>
      </c>
    </row>
    <row r="590" spans="1:34" x14ac:dyDescent="0.25">
      <c r="A590" s="402">
        <f t="shared" ca="1" si="267"/>
        <v>0.1</v>
      </c>
      <c r="B590" s="357">
        <f t="shared" ca="1" si="268"/>
        <v>13.599999999999907</v>
      </c>
      <c r="C590" s="342"/>
      <c r="D590" s="359">
        <f t="shared" ca="1" si="269"/>
        <v>-1.085963384713365</v>
      </c>
      <c r="E590" s="360">
        <f t="shared" ca="1" si="270"/>
        <v>-12.327364682594562</v>
      </c>
      <c r="F590" s="357">
        <f t="shared" ca="1" si="271"/>
        <v>12.375105514322609</v>
      </c>
      <c r="G590" s="359">
        <f t="shared" ca="1" si="272"/>
        <v>43.369411357333206</v>
      </c>
      <c r="H590" s="360">
        <f t="shared" ca="1" si="273"/>
        <v>99.553351335135247</v>
      </c>
      <c r="I590" s="357">
        <f t="shared" ca="1" si="274"/>
        <v>108.58994246033312</v>
      </c>
      <c r="J590" s="359">
        <f t="shared" ca="1" si="275"/>
        <v>629.20362705232196</v>
      </c>
      <c r="K590" s="360">
        <f t="shared" ca="1" si="276"/>
        <v>2242.4943066872161</v>
      </c>
      <c r="L590" s="357">
        <f t="shared" ca="1" si="261"/>
        <v>2329.0937979867567</v>
      </c>
      <c r="M590" s="359">
        <f t="shared" ca="1" si="277"/>
        <v>1.1599482209411895</v>
      </c>
      <c r="N590" s="357">
        <f t="shared" ca="1" si="278"/>
        <v>66.4601375136385</v>
      </c>
      <c r="O590" s="343"/>
      <c r="P590" s="363">
        <f t="shared" ca="1" si="279"/>
        <v>23</v>
      </c>
      <c r="Q590" s="357">
        <f t="shared" ca="1" si="280"/>
        <v>0</v>
      </c>
      <c r="R590" s="359">
        <f t="shared" ca="1" si="281"/>
        <v>0</v>
      </c>
      <c r="S590" s="360">
        <f t="shared" ca="1" si="282"/>
        <v>9.7379999999999765</v>
      </c>
      <c r="T590" s="357">
        <f t="shared" ca="1" si="262"/>
        <v>95.529779999999775</v>
      </c>
      <c r="U590" s="364">
        <f t="shared" ca="1" si="263"/>
        <v>0</v>
      </c>
      <c r="V590" s="359">
        <f t="shared" ca="1" si="264"/>
        <v>0.97799033572273997</v>
      </c>
      <c r="W590" s="357">
        <f t="shared" ca="1" si="265"/>
        <v>26.103178132343317</v>
      </c>
      <c r="X590" s="343"/>
      <c r="Y590" s="367" t="str">
        <f t="shared" ca="1" si="283"/>
        <v/>
      </c>
      <c r="Z590" s="368" t="str">
        <f t="shared" ca="1" si="284"/>
        <v/>
      </c>
      <c r="AA590" s="369" t="str">
        <f t="shared" ca="1" si="285"/>
        <v/>
      </c>
      <c r="AB590" s="344"/>
      <c r="AC590" s="363" t="e">
        <f t="shared" ca="1" si="286"/>
        <v>#N/A</v>
      </c>
      <c r="AD590" s="376" t="e">
        <f t="shared" ca="1" si="287"/>
        <v>#N/A</v>
      </c>
      <c r="AE590" s="377">
        <f t="shared" ca="1" si="266"/>
        <v>2242.4943066872161</v>
      </c>
      <c r="AF590" s="344"/>
      <c r="AG590" s="359">
        <f t="shared" ca="1" si="288"/>
        <v>-11.74921108929572</v>
      </c>
      <c r="AH590" s="357">
        <f t="shared" ca="1" si="289"/>
        <v>-2.7416129227359072</v>
      </c>
    </row>
    <row r="591" spans="1:34" x14ac:dyDescent="0.25">
      <c r="A591" s="402">
        <f t="shared" ca="1" si="267"/>
        <v>0.1</v>
      </c>
      <c r="B591" s="357">
        <f t="shared" ca="1" si="268"/>
        <v>13.699999999999907</v>
      </c>
      <c r="C591" s="342"/>
      <c r="D591" s="359">
        <f t="shared" ca="1" si="269"/>
        <v>-1.0705760943364155</v>
      </c>
      <c r="E591" s="360">
        <f t="shared" ca="1" si="270"/>
        <v>-12.267479470319094</v>
      </c>
      <c r="F591" s="357">
        <f t="shared" ca="1" si="271"/>
        <v>12.314105153378586</v>
      </c>
      <c r="G591" s="359">
        <f t="shared" ca="1" si="272"/>
        <v>43.262353747899567</v>
      </c>
      <c r="H591" s="360">
        <f t="shared" ca="1" si="273"/>
        <v>98.326603388103337</v>
      </c>
      <c r="I591" s="357">
        <f t="shared" ca="1" si="274"/>
        <v>107.42323857364278</v>
      </c>
      <c r="J591" s="359">
        <f t="shared" ca="1" si="275"/>
        <v>633.5352153075836</v>
      </c>
      <c r="K591" s="360">
        <f t="shared" ca="1" si="276"/>
        <v>2252.388304423378</v>
      </c>
      <c r="L591" s="357">
        <f t="shared" ca="1" si="261"/>
        <v>2339.7905767264829</v>
      </c>
      <c r="M591" s="359">
        <f t="shared" ca="1" si="277"/>
        <v>1.1563009699280793</v>
      </c>
      <c r="N591" s="357">
        <f t="shared" ca="1" si="278"/>
        <v>66.251165423762458</v>
      </c>
      <c r="O591" s="343"/>
      <c r="P591" s="363">
        <f t="shared" ca="1" si="279"/>
        <v>23</v>
      </c>
      <c r="Q591" s="357">
        <f t="shared" ca="1" si="280"/>
        <v>0</v>
      </c>
      <c r="R591" s="359">
        <f t="shared" ca="1" si="281"/>
        <v>0</v>
      </c>
      <c r="S591" s="360">
        <f t="shared" ca="1" si="282"/>
        <v>9.7379999999999765</v>
      </c>
      <c r="T591" s="357">
        <f t="shared" ca="1" si="262"/>
        <v>95.529779999999775</v>
      </c>
      <c r="U591" s="364">
        <f t="shared" ca="1" si="263"/>
        <v>0</v>
      </c>
      <c r="V591" s="359">
        <f t="shared" ca="1" si="264"/>
        <v>0.97701082821566965</v>
      </c>
      <c r="W591" s="357">
        <f t="shared" ca="1" si="265"/>
        <v>25.519694872262924</v>
      </c>
      <c r="X591" s="343"/>
      <c r="Y591" s="367" t="str">
        <f t="shared" ca="1" si="283"/>
        <v/>
      </c>
      <c r="Z591" s="368" t="str">
        <f t="shared" ca="1" si="284"/>
        <v/>
      </c>
      <c r="AA591" s="369" t="str">
        <f t="shared" ca="1" si="285"/>
        <v/>
      </c>
      <c r="AB591" s="344"/>
      <c r="AC591" s="363" t="e">
        <f t="shared" ca="1" si="286"/>
        <v>#N/A</v>
      </c>
      <c r="AD591" s="376" t="e">
        <f t="shared" ca="1" si="287"/>
        <v>#N/A</v>
      </c>
      <c r="AE591" s="377">
        <f t="shared" ca="1" si="266"/>
        <v>2252.388304423378</v>
      </c>
      <c r="AF591" s="344"/>
      <c r="AG591" s="359">
        <f t="shared" ca="1" si="288"/>
        <v>-11.674183814886145</v>
      </c>
      <c r="AH591" s="357">
        <f t="shared" ca="1" si="289"/>
        <v>-2.6805481754306202</v>
      </c>
    </row>
    <row r="592" spans="1:34" x14ac:dyDescent="0.25">
      <c r="A592" s="402">
        <f t="shared" ca="1" si="267"/>
        <v>0.1</v>
      </c>
      <c r="B592" s="357">
        <f t="shared" ca="1" si="268"/>
        <v>13.799999999999907</v>
      </c>
      <c r="C592" s="342"/>
      <c r="D592" s="359">
        <f t="shared" ca="1" si="269"/>
        <v>-1.0554012642590802</v>
      </c>
      <c r="E592" s="360">
        <f t="shared" ca="1" si="270"/>
        <v>-12.2087141830244</v>
      </c>
      <c r="F592" s="357">
        <f t="shared" ca="1" si="271"/>
        <v>12.254247175219732</v>
      </c>
      <c r="G592" s="359">
        <f t="shared" ca="1" si="272"/>
        <v>43.15681362147366</v>
      </c>
      <c r="H592" s="360">
        <f t="shared" ca="1" si="273"/>
        <v>97.1057319698009</v>
      </c>
      <c r="I592" s="357">
        <f t="shared" ca="1" si="274"/>
        <v>106.26398140174038</v>
      </c>
      <c r="J592" s="359">
        <f t="shared" ca="1" si="275"/>
        <v>637.85617367605221</v>
      </c>
      <c r="K592" s="360">
        <f t="shared" ca="1" si="276"/>
        <v>2262.159921191273</v>
      </c>
      <c r="L592" s="357">
        <f t="shared" ca="1" si="261"/>
        <v>2350.3676323802542</v>
      </c>
      <c r="M592" s="359">
        <f t="shared" ca="1" si="277"/>
        <v>1.1525830859989221</v>
      </c>
      <c r="N592" s="357">
        <f t="shared" ca="1" si="278"/>
        <v>66.03814636590225</v>
      </c>
      <c r="O592" s="343"/>
      <c r="P592" s="363">
        <f t="shared" ca="1" si="279"/>
        <v>23</v>
      </c>
      <c r="Q592" s="357">
        <f t="shared" ca="1" si="280"/>
        <v>0</v>
      </c>
      <c r="R592" s="359">
        <f t="shared" ca="1" si="281"/>
        <v>0</v>
      </c>
      <c r="S592" s="360">
        <f t="shared" ca="1" si="282"/>
        <v>9.7379999999999765</v>
      </c>
      <c r="T592" s="357">
        <f t="shared" ca="1" si="262"/>
        <v>95.529779999999775</v>
      </c>
      <c r="U592" s="364">
        <f t="shared" ca="1" si="263"/>
        <v>0</v>
      </c>
      <c r="V592" s="359">
        <f t="shared" ca="1" si="264"/>
        <v>0.97604429100597168</v>
      </c>
      <c r="W592" s="357">
        <f t="shared" ca="1" si="265"/>
        <v>24.947171388376166</v>
      </c>
      <c r="X592" s="343"/>
      <c r="Y592" s="367" t="str">
        <f t="shared" ca="1" si="283"/>
        <v/>
      </c>
      <c r="Z592" s="368" t="str">
        <f t="shared" ca="1" si="284"/>
        <v/>
      </c>
      <c r="AA592" s="369" t="str">
        <f t="shared" ca="1" si="285"/>
        <v/>
      </c>
      <c r="AB592" s="344"/>
      <c r="AC592" s="363" t="e">
        <f t="shared" ca="1" si="286"/>
        <v>#N/A</v>
      </c>
      <c r="AD592" s="376" t="e">
        <f t="shared" ca="1" si="287"/>
        <v>#N/A</v>
      </c>
      <c r="AE592" s="377">
        <f t="shared" ca="1" si="266"/>
        <v>2262.159921191273</v>
      </c>
      <c r="AF592" s="344"/>
      <c r="AG592" s="359">
        <f t="shared" ca="1" si="288"/>
        <v>-11.599915965473885</v>
      </c>
      <c r="AH592" s="357">
        <f t="shared" ca="1" si="289"/>
        <v>-2.6206299930440529</v>
      </c>
    </row>
    <row r="593" spans="1:34" x14ac:dyDescent="0.25">
      <c r="A593" s="402">
        <f t="shared" ca="1" si="267"/>
        <v>0.1</v>
      </c>
      <c r="B593" s="357">
        <f t="shared" ca="1" si="268"/>
        <v>13.899999999999906</v>
      </c>
      <c r="C593" s="342"/>
      <c r="D593" s="359">
        <f t="shared" ca="1" si="269"/>
        <v>-1.0404347020214728</v>
      </c>
      <c r="E593" s="360">
        <f t="shared" ca="1" si="270"/>
        <v>-12.151048025295037</v>
      </c>
      <c r="F593" s="357">
        <f t="shared" ca="1" si="271"/>
        <v>12.195510341195112</v>
      </c>
      <c r="G593" s="359">
        <f t="shared" ca="1" si="272"/>
        <v>43.05277015127151</v>
      </c>
      <c r="H593" s="360">
        <f t="shared" ca="1" si="273"/>
        <v>95.89062716727139</v>
      </c>
      <c r="I593" s="357">
        <f t="shared" ca="1" si="274"/>
        <v>105.1120991904874</v>
      </c>
      <c r="J593" s="359">
        <f t="shared" ca="1" si="275"/>
        <v>642.16665286468947</v>
      </c>
      <c r="K593" s="360">
        <f t="shared" ca="1" si="276"/>
        <v>2271.8097391481265</v>
      </c>
      <c r="L593" s="357">
        <f t="shared" ca="1" si="261"/>
        <v>2360.8255973154219</v>
      </c>
      <c r="M593" s="359">
        <f t="shared" ca="1" si="277"/>
        <v>1.1487927245495702</v>
      </c>
      <c r="N593" s="357">
        <f t="shared" ca="1" si="278"/>
        <v>65.820974652025285</v>
      </c>
      <c r="O593" s="343"/>
      <c r="P593" s="363">
        <f t="shared" ca="1" si="279"/>
        <v>23</v>
      </c>
      <c r="Q593" s="357">
        <f t="shared" ca="1" si="280"/>
        <v>0</v>
      </c>
      <c r="R593" s="359">
        <f t="shared" ca="1" si="281"/>
        <v>0</v>
      </c>
      <c r="S593" s="360">
        <f t="shared" ca="1" si="282"/>
        <v>9.7379999999999765</v>
      </c>
      <c r="T593" s="357">
        <f t="shared" ca="1" si="262"/>
        <v>95.529779999999775</v>
      </c>
      <c r="U593" s="364">
        <f t="shared" ca="1" si="263"/>
        <v>0</v>
      </c>
      <c r="V593" s="359">
        <f t="shared" ca="1" si="264"/>
        <v>0.97509063358109471</v>
      </c>
      <c r="W593" s="357">
        <f t="shared" ca="1" si="265"/>
        <v>24.385407732100681</v>
      </c>
      <c r="X593" s="343"/>
      <c r="Y593" s="367" t="str">
        <f t="shared" ca="1" si="283"/>
        <v/>
      </c>
      <c r="Z593" s="368" t="str">
        <f t="shared" ca="1" si="284"/>
        <v/>
      </c>
      <c r="AA593" s="369" t="str">
        <f t="shared" ca="1" si="285"/>
        <v/>
      </c>
      <c r="AB593" s="344"/>
      <c r="AC593" s="363" t="e">
        <f t="shared" ca="1" si="286"/>
        <v>#N/A</v>
      </c>
      <c r="AD593" s="376" t="e">
        <f t="shared" ca="1" si="287"/>
        <v>#N/A</v>
      </c>
      <c r="AE593" s="377">
        <f t="shared" ca="1" si="266"/>
        <v>2271.8097391481265</v>
      </c>
      <c r="AF593" s="344"/>
      <c r="AG593" s="359">
        <f t="shared" ca="1" si="288"/>
        <v>-11.526372747001854</v>
      </c>
      <c r="AH593" s="357">
        <f t="shared" ca="1" si="289"/>
        <v>-2.5618372754545313</v>
      </c>
    </row>
    <row r="594" spans="1:34" x14ac:dyDescent="0.25">
      <c r="A594" s="402">
        <f t="shared" ca="1" si="267"/>
        <v>0.1</v>
      </c>
      <c r="B594" s="357">
        <f t="shared" ca="1" si="268"/>
        <v>13.999999999999906</v>
      </c>
      <c r="C594" s="342"/>
      <c r="D594" s="359">
        <f t="shared" ca="1" si="269"/>
        <v>-1.0256723368762648</v>
      </c>
      <c r="E594" s="360">
        <f t="shared" ca="1" si="270"/>
        <v>-12.094460751436252</v>
      </c>
      <c r="F594" s="357">
        <f t="shared" ca="1" si="271"/>
        <v>12.137873974080682</v>
      </c>
      <c r="G594" s="359">
        <f t="shared" ca="1" si="272"/>
        <v>42.95020291758388</v>
      </c>
      <c r="H594" s="360">
        <f t="shared" ca="1" si="273"/>
        <v>94.681181092127758</v>
      </c>
      <c r="I594" s="357">
        <f t="shared" ca="1" si="274"/>
        <v>103.96752369688296</v>
      </c>
      <c r="J594" s="359">
        <f t="shared" ca="1" si="275"/>
        <v>646.46680151813223</v>
      </c>
      <c r="K594" s="360">
        <f t="shared" ca="1" si="276"/>
        <v>2281.3383295610965</v>
      </c>
      <c r="L594" s="357">
        <f t="shared" ca="1" si="261"/>
        <v>2371.1650932378575</v>
      </c>
      <c r="M594" s="359">
        <f t="shared" ca="1" si="277"/>
        <v>1.1449279801228518</v>
      </c>
      <c r="N594" s="357">
        <f t="shared" ca="1" si="278"/>
        <v>65.59954110747762</v>
      </c>
      <c r="O594" s="343"/>
      <c r="P594" s="363">
        <f t="shared" ca="1" si="279"/>
        <v>23</v>
      </c>
      <c r="Q594" s="357">
        <f t="shared" ca="1" si="280"/>
        <v>0</v>
      </c>
      <c r="R594" s="359">
        <f t="shared" ca="1" si="281"/>
        <v>0</v>
      </c>
      <c r="S594" s="360">
        <f t="shared" ca="1" si="282"/>
        <v>9.7379999999999765</v>
      </c>
      <c r="T594" s="357">
        <f t="shared" ca="1" si="262"/>
        <v>95.529779999999775</v>
      </c>
      <c r="U594" s="364">
        <f t="shared" ca="1" si="263"/>
        <v>0</v>
      </c>
      <c r="V594" s="359">
        <f t="shared" ca="1" si="264"/>
        <v>0.97414976718390012</v>
      </c>
      <c r="W594" s="357">
        <f t="shared" ca="1" si="265"/>
        <v>23.834209313872442</v>
      </c>
      <c r="X594" s="343"/>
      <c r="Y594" s="367" t="str">
        <f t="shared" ca="1" si="283"/>
        <v/>
      </c>
      <c r="Z594" s="368" t="str">
        <f t="shared" ca="1" si="284"/>
        <v/>
      </c>
      <c r="AA594" s="369" t="str">
        <f t="shared" ca="1" si="285"/>
        <v/>
      </c>
      <c r="AB594" s="344"/>
      <c r="AC594" s="363">
        <f t="shared" ca="1" si="286"/>
        <v>13.999999999999906</v>
      </c>
      <c r="AD594" s="376">
        <f t="shared" ca="1" si="287"/>
        <v>646.46680151813223</v>
      </c>
      <c r="AE594" s="377">
        <f t="shared" ca="1" si="266"/>
        <v>2281.3383295610965</v>
      </c>
      <c r="AF594" s="344"/>
      <c r="AG594" s="359">
        <f t="shared" ca="1" si="288"/>
        <v>-11.453519350740688</v>
      </c>
      <c r="AH594" s="357">
        <f t="shared" ca="1" si="289"/>
        <v>-2.5041494898439867</v>
      </c>
    </row>
    <row r="595" spans="1:34" x14ac:dyDescent="0.25">
      <c r="A595" s="402">
        <f t="shared" ca="1" si="267"/>
        <v>0.1</v>
      </c>
      <c r="B595" s="357">
        <f t="shared" ca="1" si="268"/>
        <v>14.099999999999905</v>
      </c>
      <c r="C595" s="342"/>
      <c r="D595" s="359">
        <f t="shared" ca="1" si="269"/>
        <v>-1.0111102168190425</v>
      </c>
      <c r="E595" s="360">
        <f t="shared" ca="1" si="270"/>
        <v>-12.038932648500971</v>
      </c>
      <c r="F595" s="357">
        <f t="shared" ca="1" si="271"/>
        <v>12.081317940758717</v>
      </c>
      <c r="G595" s="359">
        <f t="shared" ca="1" si="272"/>
        <v>42.849091895901978</v>
      </c>
      <c r="H595" s="360">
        <f t="shared" ca="1" si="273"/>
        <v>93.477287827277664</v>
      </c>
      <c r="I595" s="357">
        <f t="shared" ca="1" si="274"/>
        <v>102.83019019649417</v>
      </c>
      <c r="J595" s="359">
        <f t="shared" ca="1" si="275"/>
        <v>650.75676625880646</v>
      </c>
      <c r="K595" s="360">
        <f t="shared" ca="1" si="276"/>
        <v>2290.746253007067</v>
      </c>
      <c r="L595" s="357">
        <f t="shared" ca="1" si="261"/>
        <v>2381.3867314020072</v>
      </c>
      <c r="M595" s="359">
        <f t="shared" ca="1" si="277"/>
        <v>1.1409868841350912</v>
      </c>
      <c r="N595" s="357">
        <f t="shared" ca="1" si="278"/>
        <v>65.373732940722988</v>
      </c>
      <c r="O595" s="343"/>
      <c r="P595" s="363">
        <f t="shared" ca="1" si="279"/>
        <v>23</v>
      </c>
      <c r="Q595" s="357">
        <f t="shared" ca="1" si="280"/>
        <v>0</v>
      </c>
      <c r="R595" s="359">
        <f t="shared" ca="1" si="281"/>
        <v>0</v>
      </c>
      <c r="S595" s="360">
        <f t="shared" ca="1" si="282"/>
        <v>9.7379999999999765</v>
      </c>
      <c r="T595" s="357">
        <f t="shared" ca="1" si="262"/>
        <v>95.529779999999775</v>
      </c>
      <c r="U595" s="364">
        <f t="shared" ca="1" si="263"/>
        <v>0</v>
      </c>
      <c r="V595" s="359">
        <f t="shared" ca="1" si="264"/>
        <v>0.97322160477870068</v>
      </c>
      <c r="W595" s="357">
        <f t="shared" ca="1" si="265"/>
        <v>23.293386743747273</v>
      </c>
      <c r="X595" s="343"/>
      <c r="Y595" s="367" t="str">
        <f t="shared" ca="1" si="283"/>
        <v/>
      </c>
      <c r="Z595" s="368" t="str">
        <f t="shared" ca="1" si="284"/>
        <v/>
      </c>
      <c r="AA595" s="369" t="str">
        <f t="shared" ca="1" si="285"/>
        <v/>
      </c>
      <c r="AB595" s="344"/>
      <c r="AC595" s="363" t="e">
        <f t="shared" ca="1" si="286"/>
        <v>#N/A</v>
      </c>
      <c r="AD595" s="376" t="e">
        <f t="shared" ca="1" si="287"/>
        <v>#N/A</v>
      </c>
      <c r="AE595" s="377">
        <f t="shared" ca="1" si="266"/>
        <v>2290.746253007067</v>
      </c>
      <c r="AF595" s="344"/>
      <c r="AG595" s="359">
        <f t="shared" ca="1" si="288"/>
        <v>-11.381320908276528</v>
      </c>
      <c r="AH595" s="357">
        <f t="shared" ca="1" si="289"/>
        <v>-2.4475466537145718</v>
      </c>
    </row>
    <row r="596" spans="1:34" x14ac:dyDescent="0.25">
      <c r="A596" s="402">
        <f t="shared" ca="1" si="267"/>
        <v>0.1</v>
      </c>
      <c r="B596" s="357">
        <f t="shared" ca="1" si="268"/>
        <v>14.199999999999905</v>
      </c>
      <c r="C596" s="342"/>
      <c r="D596" s="359">
        <f t="shared" ca="1" si="269"/>
        <v>-0.99674450576490192</v>
      </c>
      <c r="E596" s="360">
        <f t="shared" ca="1" si="270"/>
        <v>-11.984444519897849</v>
      </c>
      <c r="F596" s="357">
        <f t="shared" ca="1" si="271"/>
        <v>12.025822635490767</v>
      </c>
      <c r="G596" s="359">
        <f t="shared" ca="1" si="272"/>
        <v>42.749417445325484</v>
      </c>
      <c r="H596" s="360">
        <f t="shared" ca="1" si="273"/>
        <v>92.278843375287877</v>
      </c>
      <c r="I596" s="357">
        <f t="shared" ca="1" si="274"/>
        <v>101.70003749554672</v>
      </c>
      <c r="J596" s="359">
        <f t="shared" ca="1" si="275"/>
        <v>655.03669172586785</v>
      </c>
      <c r="K596" s="360">
        <f t="shared" ca="1" si="276"/>
        <v>2300.0340595671955</v>
      </c>
      <c r="L596" s="357">
        <f t="shared" ca="1" si="261"/>
        <v>2391.4911128156682</v>
      </c>
      <c r="M596" s="359">
        <f t="shared" ca="1" si="277"/>
        <v>1.1369674025159189</v>
      </c>
      <c r="N596" s="357">
        <f t="shared" ca="1" si="278"/>
        <v>65.143433608114009</v>
      </c>
      <c r="O596" s="343"/>
      <c r="P596" s="363">
        <f t="shared" ca="1" si="279"/>
        <v>23</v>
      </c>
      <c r="Q596" s="357">
        <f t="shared" ca="1" si="280"/>
        <v>0</v>
      </c>
      <c r="R596" s="359">
        <f t="shared" ca="1" si="281"/>
        <v>0</v>
      </c>
      <c r="S596" s="360">
        <f t="shared" ca="1" si="282"/>
        <v>9.7379999999999765</v>
      </c>
      <c r="T596" s="357">
        <f t="shared" ca="1" si="262"/>
        <v>95.529779999999775</v>
      </c>
      <c r="U596" s="364">
        <f t="shared" ca="1" si="263"/>
        <v>0</v>
      </c>
      <c r="V596" s="359">
        <f t="shared" ca="1" si="264"/>
        <v>0.97230606101823169</v>
      </c>
      <c r="W596" s="357">
        <f t="shared" ca="1" si="265"/>
        <v>22.762755677744032</v>
      </c>
      <c r="X596" s="343"/>
      <c r="Y596" s="367" t="str">
        <f t="shared" ca="1" si="283"/>
        <v/>
      </c>
      <c r="Z596" s="368" t="str">
        <f t="shared" ca="1" si="284"/>
        <v/>
      </c>
      <c r="AA596" s="369" t="str">
        <f t="shared" ca="1" si="285"/>
        <v/>
      </c>
      <c r="AB596" s="344"/>
      <c r="AC596" s="363" t="e">
        <f t="shared" ca="1" si="286"/>
        <v>#N/A</v>
      </c>
      <c r="AD596" s="376" t="e">
        <f t="shared" ca="1" si="287"/>
        <v>#N/A</v>
      </c>
      <c r="AE596" s="377">
        <f t="shared" ca="1" si="266"/>
        <v>2300.0340595671955</v>
      </c>
      <c r="AF596" s="344"/>
      <c r="AG596" s="359">
        <f t="shared" ca="1" si="288"/>
        <v>-11.30974244566201</v>
      </c>
      <c r="AH596" s="357">
        <f t="shared" ca="1" si="289"/>
        <v>-2.392009318519956</v>
      </c>
    </row>
    <row r="597" spans="1:34" x14ac:dyDescent="0.25">
      <c r="A597" s="402">
        <f t="shared" ca="1" si="267"/>
        <v>0.1</v>
      </c>
      <c r="B597" s="357">
        <f t="shared" ca="1" si="268"/>
        <v>14.299999999999905</v>
      </c>
      <c r="C597" s="342"/>
      <c r="D597" s="359">
        <f t="shared" ca="1" si="269"/>
        <v>-0.98257148086746349</v>
      </c>
      <c r="E597" s="360">
        <f t="shared" ca="1" si="270"/>
        <v>-11.93097766955437</v>
      </c>
      <c r="F597" s="357">
        <f t="shared" ca="1" si="271"/>
        <v>11.971368963757616</v>
      </c>
      <c r="G597" s="359">
        <f t="shared" ca="1" si="272"/>
        <v>42.651160297238739</v>
      </c>
      <c r="H597" s="360">
        <f t="shared" ca="1" si="273"/>
        <v>91.085745608332445</v>
      </c>
      <c r="I597" s="357">
        <f t="shared" ca="1" si="274"/>
        <v>100.57700794777406</v>
      </c>
      <c r="J597" s="359">
        <f t="shared" ca="1" si="275"/>
        <v>659.30672061299606</v>
      </c>
      <c r="K597" s="360">
        <f t="shared" ca="1" si="276"/>
        <v>2309.2022890163767</v>
      </c>
      <c r="L597" s="357">
        <f t="shared" ca="1" si="261"/>
        <v>2401.4788284396632</v>
      </c>
      <c r="M597" s="359">
        <f t="shared" ca="1" si="277"/>
        <v>1.1328674332588267</v>
      </c>
      <c r="N597" s="357">
        <f t="shared" ca="1" si="278"/>
        <v>64.908522673549243</v>
      </c>
      <c r="O597" s="343"/>
      <c r="P597" s="363">
        <f t="shared" ca="1" si="279"/>
        <v>23</v>
      </c>
      <c r="Q597" s="357">
        <f t="shared" ca="1" si="280"/>
        <v>0</v>
      </c>
      <c r="R597" s="359">
        <f t="shared" ca="1" si="281"/>
        <v>0</v>
      </c>
      <c r="S597" s="360">
        <f t="shared" ca="1" si="282"/>
        <v>9.7379999999999765</v>
      </c>
      <c r="T597" s="357">
        <f t="shared" ca="1" si="262"/>
        <v>95.529779999999775</v>
      </c>
      <c r="U597" s="364">
        <f t="shared" ca="1" si="263"/>
        <v>0</v>
      </c>
      <c r="V597" s="359">
        <f t="shared" ca="1" si="264"/>
        <v>0.97140305221152934</v>
      </c>
      <c r="W597" s="357">
        <f t="shared" ca="1" si="265"/>
        <v>22.242136669697054</v>
      </c>
      <c r="X597" s="343"/>
      <c r="Y597" s="367" t="str">
        <f t="shared" ca="1" si="283"/>
        <v/>
      </c>
      <c r="Z597" s="368" t="str">
        <f t="shared" ca="1" si="284"/>
        <v/>
      </c>
      <c r="AA597" s="369" t="str">
        <f t="shared" ca="1" si="285"/>
        <v/>
      </c>
      <c r="AB597" s="344"/>
      <c r="AC597" s="363" t="e">
        <f t="shared" ca="1" si="286"/>
        <v>#N/A</v>
      </c>
      <c r="AD597" s="376" t="e">
        <f t="shared" ca="1" si="287"/>
        <v>#N/A</v>
      </c>
      <c r="AE597" s="377">
        <f t="shared" ca="1" si="266"/>
        <v>2309.2022890163767</v>
      </c>
      <c r="AF597" s="344"/>
      <c r="AG597" s="359">
        <f t="shared" ca="1" si="288"/>
        <v>-11.238748836630357</v>
      </c>
      <c r="AH597" s="357">
        <f t="shared" ca="1" si="289"/>
        <v>-2.3375185538862278</v>
      </c>
    </row>
    <row r="598" spans="1:34" x14ac:dyDescent="0.25">
      <c r="A598" s="402">
        <f t="shared" ca="1" si="267"/>
        <v>0.1</v>
      </c>
      <c r="B598" s="357">
        <f t="shared" ca="1" si="268"/>
        <v>14.399999999999904</v>
      </c>
      <c r="C598" s="342"/>
      <c r="D598" s="359">
        <f t="shared" ca="1" si="269"/>
        <v>-0.9685875299767831</v>
      </c>
      <c r="E598" s="360">
        <f t="shared" ca="1" si="270"/>
        <v>-11.878513886610023</v>
      </c>
      <c r="F598" s="357">
        <f t="shared" ca="1" si="271"/>
        <v>11.917938326640797</v>
      </c>
      <c r="G598" s="359">
        <f t="shared" ca="1" si="272"/>
        <v>42.554301544241063</v>
      </c>
      <c r="H598" s="360">
        <f t="shared" ca="1" si="273"/>
        <v>89.897894219671443</v>
      </c>
      <c r="I598" s="357">
        <f t="shared" ca="1" si="274"/>
        <v>99.461047476132251</v>
      </c>
      <c r="J598" s="359">
        <f t="shared" ca="1" si="275"/>
        <v>663.5669937050701</v>
      </c>
      <c r="K598" s="360">
        <f t="shared" ca="1" si="276"/>
        <v>2318.2514710077767</v>
      </c>
      <c r="L598" s="357">
        <f t="shared" ca="1" si="261"/>
        <v>2411.3504593825642</v>
      </c>
      <c r="M598" s="359">
        <f t="shared" ca="1" si="277"/>
        <v>1.1286848038799708</v>
      </c>
      <c r="N598" s="357">
        <f t="shared" ca="1" si="278"/>
        <v>64.668875662873376</v>
      </c>
      <c r="O598" s="343"/>
      <c r="P598" s="363">
        <f t="shared" ca="1" si="279"/>
        <v>23</v>
      </c>
      <c r="Q598" s="357">
        <f t="shared" ca="1" si="280"/>
        <v>0</v>
      </c>
      <c r="R598" s="359">
        <f t="shared" ca="1" si="281"/>
        <v>0</v>
      </c>
      <c r="S598" s="360">
        <f t="shared" ca="1" si="282"/>
        <v>9.7379999999999765</v>
      </c>
      <c r="T598" s="357">
        <f t="shared" ca="1" si="262"/>
        <v>95.529779999999775</v>
      </c>
      <c r="U598" s="364">
        <f t="shared" ca="1" si="263"/>
        <v>0</v>
      </c>
      <c r="V598" s="359">
        <f t="shared" ca="1" si="264"/>
        <v>0.97051249629267722</v>
      </c>
      <c r="W598" s="357">
        <f t="shared" ca="1" si="265"/>
        <v>21.731355028395146</v>
      </c>
      <c r="X598" s="343"/>
      <c r="Y598" s="367" t="str">
        <f t="shared" ca="1" si="283"/>
        <v/>
      </c>
      <c r="Z598" s="368" t="str">
        <f t="shared" ca="1" si="284"/>
        <v/>
      </c>
      <c r="AA598" s="369" t="str">
        <f t="shared" ca="1" si="285"/>
        <v/>
      </c>
      <c r="AB598" s="344"/>
      <c r="AC598" s="363" t="e">
        <f t="shared" ca="1" si="286"/>
        <v>#N/A</v>
      </c>
      <c r="AD598" s="376" t="e">
        <f t="shared" ca="1" si="287"/>
        <v>#N/A</v>
      </c>
      <c r="AE598" s="377">
        <f t="shared" ca="1" si="266"/>
        <v>2318.2514710077767</v>
      </c>
      <c r="AF598" s="344"/>
      <c r="AG598" s="359">
        <f t="shared" ca="1" si="288"/>
        <v>-11.168304754770855</v>
      </c>
      <c r="AH598" s="357">
        <f t="shared" ca="1" si="289"/>
        <v>-2.284055932398553</v>
      </c>
    </row>
    <row r="599" spans="1:34" x14ac:dyDescent="0.25">
      <c r="A599" s="402">
        <f t="shared" ca="1" si="267"/>
        <v>0.1</v>
      </c>
      <c r="B599" s="357">
        <f t="shared" ca="1" si="268"/>
        <v>14.499999999999904</v>
      </c>
      <c r="C599" s="342"/>
      <c r="D599" s="359">
        <f t="shared" ca="1" si="269"/>
        <v>-0.95478914923290059</v>
      </c>
      <c r="E599" s="360">
        <f t="shared" ca="1" si="270"/>
        <v>-11.827035430615485</v>
      </c>
      <c r="F599" s="357">
        <f t="shared" ca="1" si="271"/>
        <v>11.865512605721124</v>
      </c>
      <c r="G599" s="359">
        <f t="shared" ca="1" si="272"/>
        <v>42.458822629317773</v>
      </c>
      <c r="H599" s="360">
        <f t="shared" ca="1" si="273"/>
        <v>88.715190676609893</v>
      </c>
      <c r="I599" s="357">
        <f t="shared" ca="1" si="274"/>
        <v>98.352105599499581</v>
      </c>
      <c r="J599" s="359">
        <f t="shared" ca="1" si="275"/>
        <v>667.81764991374803</v>
      </c>
      <c r="K599" s="360">
        <f t="shared" ca="1" si="276"/>
        <v>2327.1821252525906</v>
      </c>
      <c r="L599" s="357">
        <f t="shared" ca="1" si="261"/>
        <v>2421.1065770906257</v>
      </c>
      <c r="M599" s="359">
        <f t="shared" ca="1" si="277"/>
        <v>1.1244172687828193</v>
      </c>
      <c r="N599" s="357">
        <f t="shared" ca="1" si="278"/>
        <v>64.42436391288264</v>
      </c>
      <c r="O599" s="343"/>
      <c r="P599" s="363">
        <f t="shared" ca="1" si="279"/>
        <v>23</v>
      </c>
      <c r="Q599" s="357">
        <f t="shared" ca="1" si="280"/>
        <v>0</v>
      </c>
      <c r="R599" s="359">
        <f t="shared" ca="1" si="281"/>
        <v>0</v>
      </c>
      <c r="S599" s="360">
        <f t="shared" ca="1" si="282"/>
        <v>9.7379999999999765</v>
      </c>
      <c r="T599" s="357">
        <f t="shared" ca="1" si="262"/>
        <v>95.529779999999775</v>
      </c>
      <c r="U599" s="364">
        <f t="shared" ca="1" si="263"/>
        <v>0</v>
      </c>
      <c r="V599" s="359">
        <f t="shared" ca="1" si="264"/>
        <v>0.96963431279040802</v>
      </c>
      <c r="W599" s="357">
        <f t="shared" ca="1" si="265"/>
        <v>21.230240679795571</v>
      </c>
      <c r="X599" s="343"/>
      <c r="Y599" s="367" t="str">
        <f t="shared" ca="1" si="283"/>
        <v/>
      </c>
      <c r="Z599" s="368" t="str">
        <f t="shared" ca="1" si="284"/>
        <v/>
      </c>
      <c r="AA599" s="369" t="str">
        <f t="shared" ca="1" si="285"/>
        <v/>
      </c>
      <c r="AB599" s="344"/>
      <c r="AC599" s="363" t="e">
        <f t="shared" ca="1" si="286"/>
        <v>#N/A</v>
      </c>
      <c r="AD599" s="376" t="e">
        <f t="shared" ca="1" si="287"/>
        <v>#N/A</v>
      </c>
      <c r="AE599" s="377">
        <f t="shared" ca="1" si="266"/>
        <v>2327.1821252525906</v>
      </c>
      <c r="AF599" s="344"/>
      <c r="AG599" s="359">
        <f t="shared" ca="1" si="288"/>
        <v>-11.098374624561405</v>
      </c>
      <c r="AH599" s="357">
        <f t="shared" ca="1" si="289"/>
        <v>-2.2316035149307045</v>
      </c>
    </row>
    <row r="600" spans="1:34" x14ac:dyDescent="0.25">
      <c r="A600" s="402">
        <f t="shared" ca="1" si="267"/>
        <v>0.1</v>
      </c>
      <c r="B600" s="357">
        <f t="shared" ca="1" si="268"/>
        <v>14.599999999999904</v>
      </c>
      <c r="C600" s="342"/>
      <c r="D600" s="359">
        <f t="shared" ca="1" si="269"/>
        <v>-0.94117294079207225</v>
      </c>
      <c r="E600" s="360">
        <f t="shared" ca="1" si="270"/>
        <v>-11.776525017214684</v>
      </c>
      <c r="F600" s="357">
        <f t="shared" ca="1" si="271"/>
        <v>11.814074148470651</v>
      </c>
      <c r="G600" s="359">
        <f t="shared" ca="1" si="272"/>
        <v>42.364705335238568</v>
      </c>
      <c r="H600" s="360">
        <f t="shared" ca="1" si="273"/>
        <v>87.537538174888425</v>
      </c>
      <c r="I600" s="357">
        <f t="shared" ca="1" si="274"/>
        <v>97.250135464489915</v>
      </c>
      <c r="J600" s="359">
        <f t="shared" ca="1" si="275"/>
        <v>672.05882631197585</v>
      </c>
      <c r="K600" s="360">
        <f t="shared" ca="1" si="276"/>
        <v>2335.9947616951654</v>
      </c>
      <c r="L600" s="357">
        <f t="shared" ca="1" si="261"/>
        <v>2430.7477435330638</v>
      </c>
      <c r="M600" s="359">
        <f t="shared" ca="1" si="277"/>
        <v>1.120062506526349</v>
      </c>
      <c r="N600" s="357">
        <f t="shared" ca="1" si="278"/>
        <v>64.174854414804017</v>
      </c>
      <c r="O600" s="343"/>
      <c r="P600" s="363">
        <f t="shared" ca="1" si="279"/>
        <v>23</v>
      </c>
      <c r="Q600" s="357">
        <f t="shared" ca="1" si="280"/>
        <v>0</v>
      </c>
      <c r="R600" s="359">
        <f t="shared" ca="1" si="281"/>
        <v>0</v>
      </c>
      <c r="S600" s="360">
        <f t="shared" ca="1" si="282"/>
        <v>9.7379999999999765</v>
      </c>
      <c r="T600" s="357">
        <f t="shared" ca="1" si="262"/>
        <v>95.529779999999775</v>
      </c>
      <c r="U600" s="364">
        <f t="shared" ca="1" si="263"/>
        <v>0</v>
      </c>
      <c r="V600" s="359">
        <f t="shared" ca="1" si="264"/>
        <v>0.96876842279851982</v>
      </c>
      <c r="W600" s="357">
        <f t="shared" ca="1" si="265"/>
        <v>20.738628034109979</v>
      </c>
      <c r="X600" s="343"/>
      <c r="Y600" s="367" t="str">
        <f t="shared" ca="1" si="283"/>
        <v/>
      </c>
      <c r="Z600" s="368" t="str">
        <f t="shared" ca="1" si="284"/>
        <v/>
      </c>
      <c r="AA600" s="369" t="str">
        <f t="shared" ca="1" si="285"/>
        <v/>
      </c>
      <c r="AB600" s="344"/>
      <c r="AC600" s="363" t="e">
        <f t="shared" ca="1" si="286"/>
        <v>#N/A</v>
      </c>
      <c r="AD600" s="376" t="e">
        <f t="shared" ca="1" si="287"/>
        <v>#N/A</v>
      </c>
      <c r="AE600" s="377">
        <f t="shared" ca="1" si="266"/>
        <v>2335.9947616951654</v>
      </c>
      <c r="AF600" s="344"/>
      <c r="AG600" s="359">
        <f t="shared" ca="1" si="288"/>
        <v>-11.028922571152258</v>
      </c>
      <c r="AH600" s="357">
        <f t="shared" ca="1" si="289"/>
        <v>-2.1801438364957511</v>
      </c>
    </row>
    <row r="601" spans="1:34" x14ac:dyDescent="0.25">
      <c r="A601" s="402">
        <f t="shared" ca="1" si="267"/>
        <v>0.1</v>
      </c>
      <c r="B601" s="357">
        <f t="shared" ca="1" si="268"/>
        <v>14.699999999999903</v>
      </c>
      <c r="C601" s="342"/>
      <c r="D601" s="359">
        <f t="shared" ca="1" si="269"/>
        <v>-0.92773561068296517</v>
      </c>
      <c r="E601" s="360">
        <f t="shared" ca="1" si="270"/>
        <v>-11.726965804287381</v>
      </c>
      <c r="F601" s="357">
        <f t="shared" ca="1" si="271"/>
        <v>11.763605754115313</v>
      </c>
      <c r="G601" s="359">
        <f t="shared" ca="1" si="272"/>
        <v>42.27193177417027</v>
      </c>
      <c r="H601" s="360">
        <f t="shared" ca="1" si="273"/>
        <v>86.364841594459691</v>
      </c>
      <c r="I601" s="357">
        <f t="shared" ca="1" si="274"/>
        <v>96.155093882519921</v>
      </c>
      <c r="J601" s="359">
        <f t="shared" ca="1" si="275"/>
        <v>676.29065816744628</v>
      </c>
      <c r="K601" s="360">
        <f t="shared" ca="1" si="276"/>
        <v>2344.689880683633</v>
      </c>
      <c r="L601" s="357">
        <f t="shared" ca="1" si="261"/>
        <v>2440.274511382846</v>
      </c>
      <c r="M601" s="359">
        <f t="shared" ca="1" si="277"/>
        <v>1.1156181169946486</v>
      </c>
      <c r="N601" s="357">
        <f t="shared" ca="1" si="278"/>
        <v>63.920209652125465</v>
      </c>
      <c r="O601" s="343"/>
      <c r="P601" s="363">
        <f t="shared" ca="1" si="279"/>
        <v>23</v>
      </c>
      <c r="Q601" s="357">
        <f t="shared" ca="1" si="280"/>
        <v>0</v>
      </c>
      <c r="R601" s="359">
        <f t="shared" ca="1" si="281"/>
        <v>0</v>
      </c>
      <c r="S601" s="360">
        <f t="shared" ca="1" si="282"/>
        <v>9.7379999999999765</v>
      </c>
      <c r="T601" s="357">
        <f t="shared" ca="1" si="262"/>
        <v>95.529779999999775</v>
      </c>
      <c r="U601" s="364">
        <f t="shared" ca="1" si="263"/>
        <v>0</v>
      </c>
      <c r="V601" s="359">
        <f t="shared" ca="1" si="264"/>
        <v>0.96791474894709317</v>
      </c>
      <c r="W601" s="357">
        <f t="shared" ca="1" si="265"/>
        <v>20.256355857569094</v>
      </c>
      <c r="X601" s="343"/>
      <c r="Y601" s="367" t="str">
        <f t="shared" ca="1" si="283"/>
        <v/>
      </c>
      <c r="Z601" s="368" t="str">
        <f t="shared" ca="1" si="284"/>
        <v/>
      </c>
      <c r="AA601" s="369" t="str">
        <f t="shared" ca="1" si="285"/>
        <v/>
      </c>
      <c r="AB601" s="344"/>
      <c r="AC601" s="363" t="e">
        <f t="shared" ca="1" si="286"/>
        <v>#N/A</v>
      </c>
      <c r="AD601" s="376" t="e">
        <f t="shared" ca="1" si="287"/>
        <v>#N/A</v>
      </c>
      <c r="AE601" s="377">
        <f t="shared" ca="1" si="266"/>
        <v>2344.689880683633</v>
      </c>
      <c r="AF601" s="344"/>
      <c r="AG601" s="359">
        <f t="shared" ca="1" si="288"/>
        <v>-10.9599123687925</v>
      </c>
      <c r="AH601" s="357">
        <f t="shared" ca="1" si="289"/>
        <v>-2.1296598925970454</v>
      </c>
    </row>
    <row r="602" spans="1:34" x14ac:dyDescent="0.25">
      <c r="A602" s="402">
        <f t="shared" ca="1" si="267"/>
        <v>0.1</v>
      </c>
      <c r="B602" s="357">
        <f t="shared" ca="1" si="268"/>
        <v>14.799999999999903</v>
      </c>
      <c r="C602" s="342"/>
      <c r="D602" s="359">
        <f t="shared" ca="1" si="269"/>
        <v>-0.91447396679038395</v>
      </c>
      <c r="E602" s="360">
        <f t="shared" ca="1" si="270"/>
        <v>-11.678341378530694</v>
      </c>
      <c r="F602" s="357">
        <f t="shared" ca="1" si="271"/>
        <v>11.714090659946232</v>
      </c>
      <c r="G602" s="359">
        <f t="shared" ca="1" si="272"/>
        <v>42.180484377491233</v>
      </c>
      <c r="H602" s="360">
        <f t="shared" ca="1" si="273"/>
        <v>85.197007456606627</v>
      </c>
      <c r="I602" s="357">
        <f t="shared" ca="1" si="274"/>
        <v>95.066941372281818</v>
      </c>
      <c r="J602" s="359">
        <f t="shared" ca="1" si="275"/>
        <v>680.51327897502938</v>
      </c>
      <c r="K602" s="360">
        <f t="shared" ca="1" si="276"/>
        <v>2353.2679731361864</v>
      </c>
      <c r="L602" s="357">
        <f t="shared" ca="1" si="261"/>
        <v>2449.6874241931032</v>
      </c>
      <c r="M602" s="359">
        <f t="shared" ca="1" si="277"/>
        <v>1.1110816184659735</v>
      </c>
      <c r="N602" s="357">
        <f t="shared" ca="1" si="278"/>
        <v>63.660287432665079</v>
      </c>
      <c r="O602" s="343"/>
      <c r="P602" s="363">
        <f t="shared" ca="1" si="279"/>
        <v>23</v>
      </c>
      <c r="Q602" s="357">
        <f t="shared" ca="1" si="280"/>
        <v>0</v>
      </c>
      <c r="R602" s="359">
        <f t="shared" ca="1" si="281"/>
        <v>0</v>
      </c>
      <c r="S602" s="360">
        <f t="shared" ca="1" si="282"/>
        <v>9.7379999999999765</v>
      </c>
      <c r="T602" s="357">
        <f t="shared" ca="1" si="262"/>
        <v>95.529779999999775</v>
      </c>
      <c r="U602" s="364">
        <f t="shared" ca="1" si="263"/>
        <v>0</v>
      </c>
      <c r="V602" s="359">
        <f t="shared" ca="1" si="264"/>
        <v>0.96707321537447899</v>
      </c>
      <c r="W602" s="357">
        <f t="shared" ca="1" si="265"/>
        <v>19.783267148681119</v>
      </c>
      <c r="X602" s="343"/>
      <c r="Y602" s="367" t="str">
        <f t="shared" ca="1" si="283"/>
        <v/>
      </c>
      <c r="Z602" s="368" t="str">
        <f t="shared" ca="1" si="284"/>
        <v/>
      </c>
      <c r="AA602" s="369" t="str">
        <f t="shared" ca="1" si="285"/>
        <v/>
      </c>
      <c r="AB602" s="344"/>
      <c r="AC602" s="363" t="e">
        <f t="shared" ca="1" si="286"/>
        <v>#N/A</v>
      </c>
      <c r="AD602" s="376" t="e">
        <f t="shared" ca="1" si="287"/>
        <v>#N/A</v>
      </c>
      <c r="AE602" s="377">
        <f t="shared" ca="1" si="266"/>
        <v>2353.2679731361864</v>
      </c>
      <c r="AF602" s="344"/>
      <c r="AG602" s="359">
        <f t="shared" ca="1" si="288"/>
        <v>-10.891307387789116</v>
      </c>
      <c r="AH602" s="357">
        <f t="shared" ca="1" si="289"/>
        <v>-2.0801351260596777</v>
      </c>
    </row>
    <row r="603" spans="1:34" x14ac:dyDescent="0.25">
      <c r="A603" s="402">
        <f t="shared" ca="1" si="267"/>
        <v>0.1</v>
      </c>
      <c r="B603" s="357">
        <f t="shared" ca="1" si="268"/>
        <v>14.899999999999903</v>
      </c>
      <c r="C603" s="342"/>
      <c r="D603" s="359">
        <f t="shared" ca="1" si="269"/>
        <v>-0.90138491696432643</v>
      </c>
      <c r="E603" s="360">
        <f t="shared" ca="1" si="270"/>
        <v>-11.630635742458725</v>
      </c>
      <c r="F603" s="357">
        <f t="shared" ca="1" si="271"/>
        <v>11.665512528058475</v>
      </c>
      <c r="G603" s="359">
        <f t="shared" ca="1" si="272"/>
        <v>42.090345885794797</v>
      </c>
      <c r="H603" s="360">
        <f t="shared" ca="1" si="273"/>
        <v>84.033943882360759</v>
      </c>
      <c r="I603" s="357">
        <f t="shared" ca="1" si="274"/>
        <v>93.985642207784053</v>
      </c>
      <c r="J603" s="359">
        <f t="shared" ca="1" si="275"/>
        <v>684.72682048819365</v>
      </c>
      <c r="K603" s="360">
        <f t="shared" ca="1" si="276"/>
        <v>2361.7295207031348</v>
      </c>
      <c r="L603" s="357">
        <f t="shared" ca="1" si="261"/>
        <v>2458.9870165693292</v>
      </c>
      <c r="M603" s="359">
        <f t="shared" ca="1" si="277"/>
        <v>1.1064504445795271</v>
      </c>
      <c r="N603" s="357">
        <f t="shared" ca="1" si="278"/>
        <v>63.394940714780496</v>
      </c>
      <c r="O603" s="343"/>
      <c r="P603" s="363">
        <f t="shared" ca="1" si="279"/>
        <v>23</v>
      </c>
      <c r="Q603" s="357">
        <f t="shared" ca="1" si="280"/>
        <v>0</v>
      </c>
      <c r="R603" s="359">
        <f t="shared" ca="1" si="281"/>
        <v>0</v>
      </c>
      <c r="S603" s="360">
        <f t="shared" ca="1" si="282"/>
        <v>9.7379999999999765</v>
      </c>
      <c r="T603" s="357">
        <f t="shared" ca="1" si="262"/>
        <v>95.529779999999775</v>
      </c>
      <c r="U603" s="364">
        <f t="shared" ca="1" si="263"/>
        <v>0</v>
      </c>
      <c r="V603" s="359">
        <f t="shared" ca="1" si="264"/>
        <v>0.96624374770003307</v>
      </c>
      <c r="W603" s="357">
        <f t="shared" ca="1" si="265"/>
        <v>19.319209018807072</v>
      </c>
      <c r="X603" s="343"/>
      <c r="Y603" s="367" t="str">
        <f t="shared" ca="1" si="283"/>
        <v/>
      </c>
      <c r="Z603" s="368" t="str">
        <f t="shared" ca="1" si="284"/>
        <v/>
      </c>
      <c r="AA603" s="369" t="str">
        <f t="shared" ca="1" si="285"/>
        <v/>
      </c>
      <c r="AB603" s="344"/>
      <c r="AC603" s="363" t="e">
        <f t="shared" ca="1" si="286"/>
        <v>#N/A</v>
      </c>
      <c r="AD603" s="376" t="e">
        <f t="shared" ca="1" si="287"/>
        <v>#N/A</v>
      </c>
      <c r="AE603" s="377">
        <f t="shared" ca="1" si="266"/>
        <v>2361.7295207031348</v>
      </c>
      <c r="AF603" s="344"/>
      <c r="AG603" s="359">
        <f t="shared" ca="1" si="288"/>
        <v>-10.823070539886409</v>
      </c>
      <c r="AH603" s="357">
        <f t="shared" ca="1" si="289"/>
        <v>-2.0315534143233895</v>
      </c>
    </row>
    <row r="604" spans="1:34" x14ac:dyDescent="0.25">
      <c r="A604" s="402">
        <f t="shared" ca="1" si="267"/>
        <v>0.1</v>
      </c>
      <c r="B604" s="357">
        <f t="shared" ca="1" si="268"/>
        <v>14.999999999999902</v>
      </c>
      <c r="C604" s="342"/>
      <c r="D604" s="359">
        <f t="shared" ca="1" si="269"/>
        <v>-0.88846546725242104</v>
      </c>
      <c r="E604" s="360">
        <f t="shared" ca="1" si="270"/>
        <v>-11.583833301800047</v>
      </c>
      <c r="F604" s="357">
        <f t="shared" ca="1" si="271"/>
        <v>11.617855432496645</v>
      </c>
      <c r="G604" s="359">
        <f t="shared" ca="1" si="272"/>
        <v>42.001499339069554</v>
      </c>
      <c r="H604" s="360">
        <f t="shared" ca="1" si="273"/>
        <v>82.875560552180758</v>
      </c>
      <c r="I604" s="357">
        <f t="shared" ca="1" si="274"/>
        <v>92.911164472134558</v>
      </c>
      <c r="J604" s="359">
        <f t="shared" ca="1" si="275"/>
        <v>688.93141274943684</v>
      </c>
      <c r="K604" s="360">
        <f t="shared" ca="1" si="276"/>
        <v>2370.0749959248619</v>
      </c>
      <c r="L604" s="357">
        <f t="shared" ca="1" si="261"/>
        <v>2468.1738143374687</v>
      </c>
      <c r="M604" s="359">
        <f t="shared" ca="1" si="277"/>
        <v>1.1017219411985322</v>
      </c>
      <c r="N604" s="357">
        <f t="shared" ca="1" si="278"/>
        <v>63.124017427636147</v>
      </c>
      <c r="O604" s="343"/>
      <c r="P604" s="363">
        <f t="shared" ca="1" si="279"/>
        <v>23</v>
      </c>
      <c r="Q604" s="357">
        <f t="shared" ca="1" si="280"/>
        <v>0</v>
      </c>
      <c r="R604" s="359">
        <f t="shared" ca="1" si="281"/>
        <v>0</v>
      </c>
      <c r="S604" s="360">
        <f t="shared" ca="1" si="282"/>
        <v>9.7379999999999765</v>
      </c>
      <c r="T604" s="357">
        <f t="shared" ca="1" si="262"/>
        <v>95.529779999999775</v>
      </c>
      <c r="U604" s="364">
        <f t="shared" ca="1" si="263"/>
        <v>0</v>
      </c>
      <c r="V604" s="359">
        <f t="shared" ca="1" si="264"/>
        <v>0.96542627299757799</v>
      </c>
      <c r="W604" s="357">
        <f t="shared" ca="1" si="265"/>
        <v>18.864032576884231</v>
      </c>
      <c r="X604" s="343"/>
      <c r="Y604" s="367" t="str">
        <f t="shared" ca="1" si="283"/>
        <v/>
      </c>
      <c r="Z604" s="368" t="str">
        <f t="shared" ca="1" si="284"/>
        <v/>
      </c>
      <c r="AA604" s="369" t="str">
        <f t="shared" ca="1" si="285"/>
        <v/>
      </c>
      <c r="AB604" s="344"/>
      <c r="AC604" s="363">
        <f t="shared" ca="1" si="286"/>
        <v>14.999999999999902</v>
      </c>
      <c r="AD604" s="376">
        <f t="shared" ca="1" si="287"/>
        <v>688.93141274943684</v>
      </c>
      <c r="AE604" s="377">
        <f t="shared" ca="1" si="266"/>
        <v>2370.0749959248619</v>
      </c>
      <c r="AF604" s="344"/>
      <c r="AG604" s="359">
        <f t="shared" ca="1" si="288"/>
        <v>-10.755164221951837</v>
      </c>
      <c r="AH604" s="357">
        <f t="shared" ca="1" si="289"/>
        <v>-1.9838990571787964</v>
      </c>
    </row>
    <row r="605" spans="1:34" x14ac:dyDescent="0.25">
      <c r="A605" s="402">
        <f t="shared" ca="1" si="267"/>
        <v>0.1</v>
      </c>
      <c r="B605" s="357">
        <f t="shared" ca="1" si="268"/>
        <v>15.099999999999902</v>
      </c>
      <c r="C605" s="342"/>
      <c r="D605" s="359">
        <f t="shared" ca="1" si="269"/>
        <v>-0.87571272025404534</v>
      </c>
      <c r="E605" s="360">
        <f t="shared" ca="1" si="270"/>
        <v>-11.537918853273414</v>
      </c>
      <c r="F605" s="357">
        <f t="shared" ca="1" si="271"/>
        <v>11.571103846787343</v>
      </c>
      <c r="G605" s="359">
        <f t="shared" ca="1" si="272"/>
        <v>41.913928067044147</v>
      </c>
      <c r="H605" s="360">
        <f t="shared" ca="1" si="273"/>
        <v>81.721768666853421</v>
      </c>
      <c r="I605" s="357">
        <f t="shared" ca="1" si="274"/>
        <v>91.843480117251957</v>
      </c>
      <c r="J605" s="359">
        <f t="shared" ca="1" si="275"/>
        <v>693.12718411974254</v>
      </c>
      <c r="K605" s="360">
        <f t="shared" ca="1" si="276"/>
        <v>2378.3048623858135</v>
      </c>
      <c r="L605" s="357">
        <f t="shared" ca="1" si="261"/>
        <v>2477.248334708042</v>
      </c>
      <c r="M605" s="359">
        <f t="shared" ca="1" si="277"/>
        <v>1.0968933631684994</v>
      </c>
      <c r="N605" s="357">
        <f t="shared" ca="1" si="278"/>
        <v>62.847360285465676</v>
      </c>
      <c r="O605" s="343"/>
      <c r="P605" s="363">
        <f t="shared" ca="1" si="279"/>
        <v>23</v>
      </c>
      <c r="Q605" s="357">
        <f t="shared" ca="1" si="280"/>
        <v>0</v>
      </c>
      <c r="R605" s="359">
        <f t="shared" ca="1" si="281"/>
        <v>0</v>
      </c>
      <c r="S605" s="360">
        <f t="shared" ca="1" si="282"/>
        <v>9.7379999999999765</v>
      </c>
      <c r="T605" s="357">
        <f t="shared" ca="1" si="262"/>
        <v>95.529779999999775</v>
      </c>
      <c r="U605" s="364">
        <f t="shared" ca="1" si="263"/>
        <v>0</v>
      </c>
      <c r="V605" s="359">
        <f t="shared" ca="1" si="264"/>
        <v>0.96462071976956609</v>
      </c>
      <c r="W605" s="357">
        <f t="shared" ca="1" si="265"/>
        <v>18.417592818135926</v>
      </c>
      <c r="X605" s="343"/>
      <c r="Y605" s="367" t="str">
        <f t="shared" ca="1" si="283"/>
        <v/>
      </c>
      <c r="Z605" s="368" t="str">
        <f t="shared" ca="1" si="284"/>
        <v/>
      </c>
      <c r="AA605" s="369" t="str">
        <f t="shared" ca="1" si="285"/>
        <v/>
      </c>
      <c r="AB605" s="344"/>
      <c r="AC605" s="363" t="e">
        <f t="shared" ca="1" si="286"/>
        <v>#N/A</v>
      </c>
      <c r="AD605" s="376" t="e">
        <f t="shared" ca="1" si="287"/>
        <v>#N/A</v>
      </c>
      <c r="AE605" s="377">
        <f t="shared" ca="1" si="266"/>
        <v>2378.3048623858135</v>
      </c>
      <c r="AF605" s="344"/>
      <c r="AG605" s="359">
        <f t="shared" ca="1" si="288"/>
        <v>-10.687550257852889</v>
      </c>
      <c r="AH605" s="357">
        <f t="shared" ca="1" si="289"/>
        <v>-1.9371567649295827</v>
      </c>
    </row>
    <row r="606" spans="1:34" x14ac:dyDescent="0.25">
      <c r="A606" s="402">
        <f t="shared" ca="1" si="267"/>
        <v>0.1</v>
      </c>
      <c r="B606" s="357">
        <f t="shared" ca="1" si="268"/>
        <v>15.199999999999902</v>
      </c>
      <c r="C606" s="342"/>
      <c r="D606" s="359">
        <f t="shared" ca="1" si="269"/>
        <v>-0.8631238735946335</v>
      </c>
      <c r="E606" s="360">
        <f t="shared" ca="1" si="270"/>
        <v>-11.492877572722652</v>
      </c>
      <c r="F606" s="357">
        <f t="shared" ca="1" si="271"/>
        <v>11.525242631839049</v>
      </c>
      <c r="G606" s="359">
        <f t="shared" ca="1" si="272"/>
        <v>41.827615679684683</v>
      </c>
      <c r="H606" s="360">
        <f t="shared" ca="1" si="273"/>
        <v>80.572480909581159</v>
      </c>
      <c r="I606" s="357">
        <f t="shared" ca="1" si="274"/>
        <v>90.782565029702837</v>
      </c>
      <c r="J606" s="359">
        <f t="shared" ca="1" si="275"/>
        <v>697.31426130707894</v>
      </c>
      <c r="K606" s="360">
        <f t="shared" ca="1" si="276"/>
        <v>2386.4195748646353</v>
      </c>
      <c r="L606" s="357">
        <f t="shared" ca="1" si="261"/>
        <v>2486.2110864364163</v>
      </c>
      <c r="M606" s="359">
        <f t="shared" ca="1" si="277"/>
        <v>1.0919618709700081</v>
      </c>
      <c r="N606" s="357">
        <f t="shared" ca="1" si="278"/>
        <v>62.564806595790429</v>
      </c>
      <c r="O606" s="343"/>
      <c r="P606" s="363">
        <f t="shared" ca="1" si="279"/>
        <v>23</v>
      </c>
      <c r="Q606" s="357">
        <f t="shared" ca="1" si="280"/>
        <v>0</v>
      </c>
      <c r="R606" s="359">
        <f t="shared" ca="1" si="281"/>
        <v>0</v>
      </c>
      <c r="S606" s="360">
        <f t="shared" ca="1" si="282"/>
        <v>9.7379999999999765</v>
      </c>
      <c r="T606" s="357">
        <f t="shared" ca="1" si="262"/>
        <v>95.529779999999775</v>
      </c>
      <c r="U606" s="364">
        <f t="shared" ca="1" si="263"/>
        <v>0</v>
      </c>
      <c r="V606" s="359">
        <f t="shared" ca="1" si="264"/>
        <v>0.9638270179219266</v>
      </c>
      <c r="W606" s="357">
        <f t="shared" ca="1" si="265"/>
        <v>17.979748516613235</v>
      </c>
      <c r="X606" s="343"/>
      <c r="Y606" s="367" t="str">
        <f t="shared" ca="1" si="283"/>
        <v/>
      </c>
      <c r="Z606" s="368" t="str">
        <f t="shared" ca="1" si="284"/>
        <v/>
      </c>
      <c r="AA606" s="369" t="str">
        <f t="shared" ca="1" si="285"/>
        <v/>
      </c>
      <c r="AB606" s="344"/>
      <c r="AC606" s="363" t="e">
        <f t="shared" ca="1" si="286"/>
        <v>#N/A</v>
      </c>
      <c r="AD606" s="376" t="e">
        <f t="shared" ca="1" si="287"/>
        <v>#N/A</v>
      </c>
      <c r="AE606" s="377">
        <f t="shared" ca="1" si="266"/>
        <v>2386.4195748646353</v>
      </c>
      <c r="AF606" s="344"/>
      <c r="AG606" s="359">
        <f t="shared" ca="1" si="288"/>
        <v>-10.620189838408391</v>
      </c>
      <c r="AH606" s="357">
        <f t="shared" ca="1" si="289"/>
        <v>-1.8913116469640554</v>
      </c>
    </row>
    <row r="607" spans="1:34" x14ac:dyDescent="0.25">
      <c r="A607" s="402">
        <f t="shared" ca="1" si="267"/>
        <v>0.1</v>
      </c>
      <c r="B607" s="357">
        <f t="shared" ca="1" si="268"/>
        <v>15.299999999999901</v>
      </c>
      <c r="C607" s="342"/>
      <c r="D607" s="359">
        <f t="shared" ca="1" si="269"/>
        <v>-0.85069621851893351</v>
      </c>
      <c r="E607" s="360">
        <f t="shared" ca="1" si="270"/>
        <v>-11.448695003592096</v>
      </c>
      <c r="F607" s="357">
        <f t="shared" ca="1" si="271"/>
        <v>11.480257024190575</v>
      </c>
      <c r="G607" s="359">
        <f t="shared" ca="1" si="272"/>
        <v>41.74254605783279</v>
      </c>
      <c r="H607" s="360">
        <f t="shared" ca="1" si="273"/>
        <v>79.427611409221953</v>
      </c>
      <c r="I607" s="357">
        <f t="shared" ca="1" si="274"/>
        <v>89.728399102874093</v>
      </c>
      <c r="J607" s="359">
        <f t="shared" ca="1" si="275"/>
        <v>701.49276939395486</v>
      </c>
      <c r="K607" s="360">
        <f t="shared" ca="1" si="276"/>
        <v>2394.4195794805755</v>
      </c>
      <c r="L607" s="357">
        <f t="shared" ca="1" si="261"/>
        <v>2495.0625699793454</v>
      </c>
      <c r="M607" s="359">
        <f t="shared" ca="1" si="277"/>
        <v>1.0869245272658041</v>
      </c>
      <c r="N607" s="357">
        <f t="shared" ca="1" si="278"/>
        <v>62.276188061582751</v>
      </c>
      <c r="O607" s="343"/>
      <c r="P607" s="363">
        <f t="shared" ca="1" si="279"/>
        <v>23</v>
      </c>
      <c r="Q607" s="357">
        <f t="shared" ca="1" si="280"/>
        <v>0</v>
      </c>
      <c r="R607" s="359">
        <f t="shared" ca="1" si="281"/>
        <v>0</v>
      </c>
      <c r="S607" s="360">
        <f t="shared" ca="1" si="282"/>
        <v>9.7379999999999765</v>
      </c>
      <c r="T607" s="357">
        <f t="shared" ca="1" si="262"/>
        <v>95.529779999999775</v>
      </c>
      <c r="U607" s="364">
        <f t="shared" ca="1" si="263"/>
        <v>0</v>
      </c>
      <c r="V607" s="359">
        <f t="shared" ca="1" si="264"/>
        <v>0.963045098739573</v>
      </c>
      <c r="W607" s="357">
        <f t="shared" ca="1" si="265"/>
        <v>17.550362121420555</v>
      </c>
      <c r="X607" s="343"/>
      <c r="Y607" s="367" t="str">
        <f t="shared" ca="1" si="283"/>
        <v/>
      </c>
      <c r="Z607" s="368" t="str">
        <f t="shared" ca="1" si="284"/>
        <v/>
      </c>
      <c r="AA607" s="369" t="str">
        <f t="shared" ca="1" si="285"/>
        <v/>
      </c>
      <c r="AB607" s="344"/>
      <c r="AC607" s="363" t="e">
        <f t="shared" ca="1" si="286"/>
        <v>#N/A</v>
      </c>
      <c r="AD607" s="376" t="e">
        <f t="shared" ca="1" si="287"/>
        <v>#N/A</v>
      </c>
      <c r="AE607" s="377">
        <f t="shared" ca="1" si="266"/>
        <v>2394.4195794805755</v>
      </c>
      <c r="AF607" s="344"/>
      <c r="AG607" s="359">
        <f t="shared" ca="1" si="288"/>
        <v>-10.553043459297026</v>
      </c>
      <c r="AH607" s="357">
        <f t="shared" ca="1" si="289"/>
        <v>-1.8463492007201969</v>
      </c>
    </row>
    <row r="608" spans="1:34" x14ac:dyDescent="0.25">
      <c r="A608" s="402">
        <f t="shared" ca="1" si="267"/>
        <v>0.1</v>
      </c>
      <c r="B608" s="357">
        <f t="shared" ca="1" si="268"/>
        <v>15.399999999999901</v>
      </c>
      <c r="C608" s="342"/>
      <c r="D608" s="359">
        <f t="shared" ca="1" si="269"/>
        <v>-0.83842713860218021</v>
      </c>
      <c r="E608" s="360">
        <f t="shared" ca="1" si="270"/>
        <v>-11.405357045724426</v>
      </c>
      <c r="F608" s="357">
        <f t="shared" ca="1" si="271"/>
        <v>11.436132624589506</v>
      </c>
      <c r="G608" s="359">
        <f t="shared" ca="1" si="272"/>
        <v>41.658703343972569</v>
      </c>
      <c r="H608" s="360">
        <f t="shared" ca="1" si="273"/>
        <v>78.28707570464951</v>
      </c>
      <c r="I608" s="357">
        <f t="shared" ca="1" si="274"/>
        <v>88.680966315701781</v>
      </c>
      <c r="J608" s="359">
        <f t="shared" ca="1" si="275"/>
        <v>705.66283186404507</v>
      </c>
      <c r="K608" s="360">
        <f t="shared" ca="1" si="276"/>
        <v>2402.3053138362693</v>
      </c>
      <c r="L608" s="357">
        <f t="shared" ca="1" si="261"/>
        <v>2503.8032776478985</v>
      </c>
      <c r="M608" s="359">
        <f t="shared" ca="1" si="277"/>
        <v>1.0817782933425986</v>
      </c>
      <c r="N608" s="357">
        <f t="shared" ca="1" si="278"/>
        <v>61.981330577396015</v>
      </c>
      <c r="O608" s="343"/>
      <c r="P608" s="363">
        <f t="shared" ca="1" si="279"/>
        <v>23</v>
      </c>
      <c r="Q608" s="357">
        <f t="shared" ca="1" si="280"/>
        <v>0</v>
      </c>
      <c r="R608" s="359">
        <f t="shared" ca="1" si="281"/>
        <v>0</v>
      </c>
      <c r="S608" s="360">
        <f t="shared" ca="1" si="282"/>
        <v>9.7379999999999765</v>
      </c>
      <c r="T608" s="357">
        <f t="shared" ca="1" si="262"/>
        <v>95.529779999999775</v>
      </c>
      <c r="U608" s="364">
        <f t="shared" ca="1" si="263"/>
        <v>0</v>
      </c>
      <c r="V608" s="359">
        <f t="shared" ca="1" si="264"/>
        <v>0.96227489486255136</v>
      </c>
      <c r="W608" s="357">
        <f t="shared" ca="1" si="265"/>
        <v>17.129299656483532</v>
      </c>
      <c r="X608" s="343"/>
      <c r="Y608" s="367" t="str">
        <f t="shared" ca="1" si="283"/>
        <v/>
      </c>
      <c r="Z608" s="368" t="str">
        <f t="shared" ca="1" si="284"/>
        <v/>
      </c>
      <c r="AA608" s="369" t="str">
        <f t="shared" ca="1" si="285"/>
        <v/>
      </c>
      <c r="AB608" s="344"/>
      <c r="AC608" s="363" t="e">
        <f t="shared" ca="1" si="286"/>
        <v>#N/A</v>
      </c>
      <c r="AD608" s="376" t="e">
        <f t="shared" ca="1" si="287"/>
        <v>#N/A</v>
      </c>
      <c r="AE608" s="377">
        <f t="shared" ca="1" si="266"/>
        <v>2402.3053138362693</v>
      </c>
      <c r="AF608" s="344"/>
      <c r="AG608" s="359">
        <f t="shared" ca="1" si="288"/>
        <v>-10.4860708568056</v>
      </c>
      <c r="AH608" s="357">
        <f t="shared" ca="1" si="289"/>
        <v>-1.8022553010290201</v>
      </c>
    </row>
    <row r="609" spans="1:34" x14ac:dyDescent="0.25">
      <c r="A609" s="402">
        <f t="shared" ca="1" si="267"/>
        <v>0.1</v>
      </c>
      <c r="B609" s="357">
        <f t="shared" ca="1" si="268"/>
        <v>15.499999999999901</v>
      </c>
      <c r="C609" s="342"/>
      <c r="D609" s="359">
        <f t="shared" ca="1" si="269"/>
        <v>-0.8263141085783583</v>
      </c>
      <c r="E609" s="360">
        <f t="shared" ca="1" si="270"/>
        <v>-11.362849944463132</v>
      </c>
      <c r="F609" s="357">
        <f t="shared" ca="1" si="271"/>
        <v>11.392855386882669</v>
      </c>
      <c r="G609" s="359">
        <f t="shared" ca="1" si="272"/>
        <v>41.576071933114733</v>
      </c>
      <c r="H609" s="360">
        <f t="shared" ca="1" si="273"/>
        <v>77.150790710203196</v>
      </c>
      <c r="I609" s="357">
        <f t="shared" ca="1" si="274"/>
        <v>87.640254818189035</v>
      </c>
      <c r="J609" s="359">
        <f t="shared" ca="1" si="275"/>
        <v>709.82457062789945</v>
      </c>
      <c r="K609" s="360">
        <f t="shared" ca="1" si="276"/>
        <v>2410.0772071570118</v>
      </c>
      <c r="L609" s="357">
        <f t="shared" ca="1" si="261"/>
        <v>2512.4336937568764</v>
      </c>
      <c r="M609" s="359">
        <f t="shared" ca="1" si="277"/>
        <v>1.0765200254486158</v>
      </c>
      <c r="N609" s="357">
        <f t="shared" ca="1" si="278"/>
        <v>61.680054019521663</v>
      </c>
      <c r="O609" s="343"/>
      <c r="P609" s="363">
        <f t="shared" ca="1" si="279"/>
        <v>23</v>
      </c>
      <c r="Q609" s="357">
        <f t="shared" ca="1" si="280"/>
        <v>0</v>
      </c>
      <c r="R609" s="359">
        <f t="shared" ca="1" si="281"/>
        <v>0</v>
      </c>
      <c r="S609" s="360">
        <f t="shared" ca="1" si="282"/>
        <v>9.7379999999999765</v>
      </c>
      <c r="T609" s="357">
        <f t="shared" ca="1" si="262"/>
        <v>95.529779999999775</v>
      </c>
      <c r="U609" s="364">
        <f t="shared" ca="1" si="263"/>
        <v>0</v>
      </c>
      <c r="V609" s="359">
        <f t="shared" ca="1" si="264"/>
        <v>0.96151634026281185</v>
      </c>
      <c r="W609" s="357">
        <f t="shared" ca="1" si="265"/>
        <v>16.71643062372377</v>
      </c>
      <c r="X609" s="343"/>
      <c r="Y609" s="367" t="str">
        <f t="shared" ca="1" si="283"/>
        <v/>
      </c>
      <c r="Z609" s="368" t="str">
        <f t="shared" ca="1" si="284"/>
        <v/>
      </c>
      <c r="AA609" s="369" t="str">
        <f t="shared" ca="1" si="285"/>
        <v/>
      </c>
      <c r="AB609" s="344"/>
      <c r="AC609" s="363" t="e">
        <f t="shared" ca="1" si="286"/>
        <v>#N/A</v>
      </c>
      <c r="AD609" s="376" t="e">
        <f t="shared" ca="1" si="287"/>
        <v>#N/A</v>
      </c>
      <c r="AE609" s="377">
        <f t="shared" ca="1" si="266"/>
        <v>2410.0772071570118</v>
      </c>
      <c r="AF609" s="344"/>
      <c r="AG609" s="359">
        <f t="shared" ca="1" si="288"/>
        <v>-10.419230941300222</v>
      </c>
      <c r="AH609" s="357">
        <f t="shared" ca="1" si="289"/>
        <v>-1.7590161898216856</v>
      </c>
    </row>
    <row r="610" spans="1:34" x14ac:dyDescent="0.25">
      <c r="A610" s="402">
        <f t="shared" ca="1" si="267"/>
        <v>0.1</v>
      </c>
      <c r="B610" s="357">
        <f t="shared" ca="1" si="268"/>
        <v>15.5999999999999</v>
      </c>
      <c r="C610" s="342"/>
      <c r="D610" s="359">
        <f t="shared" ca="1" si="269"/>
        <v>-0.81435469328495502</v>
      </c>
      <c r="E610" s="360">
        <f t="shared" ca="1" si="270"/>
        <v>-11.321160280042175</v>
      </c>
      <c r="F610" s="357">
        <f t="shared" ca="1" si="271"/>
        <v>11.350411607200853</v>
      </c>
      <c r="G610" s="359">
        <f t="shared" ca="1" si="272"/>
        <v>41.494636463786236</v>
      </c>
      <c r="H610" s="360">
        <f t="shared" ca="1" si="273"/>
        <v>76.018674682198977</v>
      </c>
      <c r="I610" s="357">
        <f t="shared" ca="1" si="274"/>
        <v>86.60625702395744</v>
      </c>
      <c r="J610" s="359">
        <f t="shared" ca="1" si="275"/>
        <v>713.97810604774452</v>
      </c>
      <c r="K610" s="360">
        <f t="shared" ca="1" si="276"/>
        <v>2417.7356804266319</v>
      </c>
      <c r="L610" s="357">
        <f t="shared" ca="1" si="261"/>
        <v>2520.9542947708419</v>
      </c>
      <c r="M610" s="359">
        <f t="shared" ca="1" si="277"/>
        <v>1.0711464710287362</v>
      </c>
      <c r="N610" s="357">
        <f t="shared" ca="1" si="278"/>
        <v>61.372172030278691</v>
      </c>
      <c r="O610" s="343"/>
      <c r="P610" s="363">
        <f t="shared" ca="1" si="279"/>
        <v>23</v>
      </c>
      <c r="Q610" s="357">
        <f t="shared" ca="1" si="280"/>
        <v>0</v>
      </c>
      <c r="R610" s="359">
        <f t="shared" ca="1" si="281"/>
        <v>0</v>
      </c>
      <c r="S610" s="360">
        <f t="shared" ca="1" si="282"/>
        <v>9.7379999999999765</v>
      </c>
      <c r="T610" s="357">
        <f t="shared" ca="1" si="262"/>
        <v>95.529779999999775</v>
      </c>
      <c r="U610" s="364">
        <f t="shared" ca="1" si="263"/>
        <v>0</v>
      </c>
      <c r="V610" s="359">
        <f t="shared" ca="1" si="264"/>
        <v>0.96076937022158182</v>
      </c>
      <c r="W610" s="357">
        <f t="shared" ca="1" si="265"/>
        <v>16.311627909510385</v>
      </c>
      <c r="X610" s="343"/>
      <c r="Y610" s="367" t="str">
        <f t="shared" ca="1" si="283"/>
        <v/>
      </c>
      <c r="Z610" s="368" t="str">
        <f t="shared" ca="1" si="284"/>
        <v/>
      </c>
      <c r="AA610" s="369" t="str">
        <f t="shared" ca="1" si="285"/>
        <v/>
      </c>
      <c r="AB610" s="344"/>
      <c r="AC610" s="363" t="e">
        <f t="shared" ca="1" si="286"/>
        <v>#N/A</v>
      </c>
      <c r="AD610" s="376" t="e">
        <f t="shared" ca="1" si="287"/>
        <v>#N/A</v>
      </c>
      <c r="AE610" s="377">
        <f t="shared" ca="1" si="266"/>
        <v>2417.7356804266319</v>
      </c>
      <c r="AF610" s="344"/>
      <c r="AG610" s="359">
        <f t="shared" ca="1" si="288"/>
        <v>-10.352481728304861</v>
      </c>
      <c r="AH610" s="357">
        <f t="shared" ca="1" si="289"/>
        <v>-1.7166184661864665</v>
      </c>
    </row>
    <row r="611" spans="1:34" x14ac:dyDescent="0.25">
      <c r="A611" s="402">
        <f t="shared" ca="1" si="267"/>
        <v>0.1</v>
      </c>
      <c r="B611" s="357">
        <f t="shared" ca="1" si="268"/>
        <v>15.6999999999999</v>
      </c>
      <c r="C611" s="342"/>
      <c r="D611" s="359">
        <f t="shared" ca="1" si="269"/>
        <v>-0.80254654672377557</v>
      </c>
      <c r="E611" s="360">
        <f t="shared" ca="1" si="270"/>
        <v>-11.280274957245645</v>
      </c>
      <c r="F611" s="357">
        <f t="shared" ca="1" si="271"/>
        <v>11.30878791342032</v>
      </c>
      <c r="G611" s="359">
        <f t="shared" ca="1" si="272"/>
        <v>41.414381809113856</v>
      </c>
      <c r="H611" s="360">
        <f t="shared" ca="1" si="273"/>
        <v>74.890647186474411</v>
      </c>
      <c r="I611" s="357">
        <f t="shared" ca="1" si="274"/>
        <v>85.57896971008735</v>
      </c>
      <c r="J611" s="359">
        <f t="shared" ca="1" si="275"/>
        <v>718.12355696138957</v>
      </c>
      <c r="K611" s="360">
        <f t="shared" ca="1" si="276"/>
        <v>2425.2811465200657</v>
      </c>
      <c r="L611" s="357">
        <f t="shared" ca="1" si="261"/>
        <v>2529.3655494468494</v>
      </c>
      <c r="M611" s="359">
        <f t="shared" ca="1" si="277"/>
        <v>1.06565426485998</v>
      </c>
      <c r="N611" s="357">
        <f t="shared" ca="1" si="278"/>
        <v>61.057491796593247</v>
      </c>
      <c r="O611" s="343"/>
      <c r="P611" s="363">
        <f t="shared" ca="1" si="279"/>
        <v>23</v>
      </c>
      <c r="Q611" s="357">
        <f t="shared" ca="1" si="280"/>
        <v>0</v>
      </c>
      <c r="R611" s="359">
        <f t="shared" ca="1" si="281"/>
        <v>0</v>
      </c>
      <c r="S611" s="360">
        <f t="shared" ca="1" si="282"/>
        <v>9.7379999999999765</v>
      </c>
      <c r="T611" s="357">
        <f t="shared" ca="1" si="262"/>
        <v>95.529779999999775</v>
      </c>
      <c r="U611" s="364">
        <f t="shared" ca="1" si="263"/>
        <v>0</v>
      </c>
      <c r="V611" s="359">
        <f t="shared" ca="1" si="264"/>
        <v>0.96003392130732679</v>
      </c>
      <c r="W611" s="357">
        <f t="shared" ca="1" si="265"/>
        <v>15.914767694264222</v>
      </c>
      <c r="X611" s="343"/>
      <c r="Y611" s="367" t="str">
        <f t="shared" ca="1" si="283"/>
        <v/>
      </c>
      <c r="Z611" s="368" t="str">
        <f t="shared" ca="1" si="284"/>
        <v/>
      </c>
      <c r="AA611" s="369" t="str">
        <f t="shared" ca="1" si="285"/>
        <v/>
      </c>
      <c r="AB611" s="344"/>
      <c r="AC611" s="363" t="e">
        <f t="shared" ca="1" si="286"/>
        <v>#N/A</v>
      </c>
      <c r="AD611" s="376" t="e">
        <f t="shared" ca="1" si="287"/>
        <v>#N/A</v>
      </c>
      <c r="AE611" s="377">
        <f t="shared" ca="1" si="266"/>
        <v>2425.2811465200657</v>
      </c>
      <c r="AF611" s="344"/>
      <c r="AG611" s="359">
        <f t="shared" ca="1" si="288"/>
        <v>-10.285780267074257</v>
      </c>
      <c r="AH611" s="357">
        <f t="shared" ca="1" si="289"/>
        <v>-1.6750490767622124</v>
      </c>
    </row>
    <row r="612" spans="1:34" x14ac:dyDescent="0.25">
      <c r="A612" s="402">
        <f t="shared" ca="1" si="267"/>
        <v>0.1</v>
      </c>
      <c r="B612" s="357">
        <f t="shared" ca="1" si="268"/>
        <v>15.799999999999899</v>
      </c>
      <c r="C612" s="342"/>
      <c r="D612" s="359">
        <f t="shared" ca="1" si="269"/>
        <v>-0.79088741123761652</v>
      </c>
      <c r="E612" s="360">
        <f t="shared" ca="1" si="270"/>
        <v>-11.240181195320558</v>
      </c>
      <c r="F612" s="357">
        <f t="shared" ca="1" si="271"/>
        <v>11.267971254883996</v>
      </c>
      <c r="G612" s="359">
        <f t="shared" ca="1" si="272"/>
        <v>41.335293067990094</v>
      </c>
      <c r="H612" s="360">
        <f t="shared" ca="1" si="273"/>
        <v>73.766629066942357</v>
      </c>
      <c r="I612" s="357">
        <f t="shared" ca="1" si="274"/>
        <v>84.558394124513129</v>
      </c>
      <c r="J612" s="359">
        <f t="shared" ca="1" si="275"/>
        <v>722.2610407052448</v>
      </c>
      <c r="K612" s="360">
        <f t="shared" ca="1" si="276"/>
        <v>2432.7140103327365</v>
      </c>
      <c r="L612" s="357">
        <f t="shared" ca="1" si="261"/>
        <v>2537.6679189739953</v>
      </c>
      <c r="M612" s="359">
        <f t="shared" ca="1" si="277"/>
        <v>1.0600399250911445</v>
      </c>
      <c r="N612" s="357">
        <f t="shared" ca="1" si="278"/>
        <v>60.735813823086517</v>
      </c>
      <c r="O612" s="343"/>
      <c r="P612" s="363">
        <f t="shared" ca="1" si="279"/>
        <v>23</v>
      </c>
      <c r="Q612" s="357">
        <f t="shared" ca="1" si="280"/>
        <v>0</v>
      </c>
      <c r="R612" s="359">
        <f t="shared" ca="1" si="281"/>
        <v>0</v>
      </c>
      <c r="S612" s="360">
        <f t="shared" ca="1" si="282"/>
        <v>9.7379999999999765</v>
      </c>
      <c r="T612" s="357">
        <f t="shared" ca="1" si="262"/>
        <v>95.529779999999775</v>
      </c>
      <c r="U612" s="364">
        <f t="shared" ca="1" si="263"/>
        <v>0</v>
      </c>
      <c r="V612" s="359">
        <f t="shared" ca="1" si="264"/>
        <v>0.95930993135427589</v>
      </c>
      <c r="W612" s="357">
        <f t="shared" ca="1" si="265"/>
        <v>15.525729365095163</v>
      </c>
      <c r="X612" s="343"/>
      <c r="Y612" s="367" t="str">
        <f t="shared" ca="1" si="283"/>
        <v/>
      </c>
      <c r="Z612" s="368" t="str">
        <f t="shared" ca="1" si="284"/>
        <v/>
      </c>
      <c r="AA612" s="369" t="str">
        <f t="shared" ca="1" si="285"/>
        <v/>
      </c>
      <c r="AB612" s="344"/>
      <c r="AC612" s="363" t="e">
        <f t="shared" ca="1" si="286"/>
        <v>#N/A</v>
      </c>
      <c r="AD612" s="376" t="e">
        <f t="shared" ca="1" si="287"/>
        <v>#N/A</v>
      </c>
      <c r="AE612" s="377">
        <f t="shared" ca="1" si="266"/>
        <v>2432.7140103327365</v>
      </c>
      <c r="AF612" s="344"/>
      <c r="AG612" s="359">
        <f t="shared" ca="1" si="288"/>
        <v>-10.219082566551732</v>
      </c>
      <c r="AH612" s="357">
        <f t="shared" ca="1" si="289"/>
        <v>-1.6342953064555619</v>
      </c>
    </row>
    <row r="613" spans="1:34" x14ac:dyDescent="0.25">
      <c r="A613" s="402">
        <f t="shared" ca="1" si="267"/>
        <v>0.1</v>
      </c>
      <c r="B613" s="357">
        <f t="shared" ca="1" si="268"/>
        <v>15.899999999999899</v>
      </c>
      <c r="C613" s="342"/>
      <c r="D613" s="359">
        <f t="shared" ca="1" si="269"/>
        <v>-0.77937511680273375</v>
      </c>
      <c r="E613" s="360">
        <f t="shared" ca="1" si="270"/>
        <v>-11.200866518125975</v>
      </c>
      <c r="F613" s="357">
        <f t="shared" ca="1" si="271"/>
        <v>11.227948892365283</v>
      </c>
      <c r="G613" s="359">
        <f t="shared" ca="1" si="272"/>
        <v>41.257355556309818</v>
      </c>
      <c r="H613" s="360">
        <f t="shared" ca="1" si="273"/>
        <v>72.646542415129758</v>
      </c>
      <c r="I613" s="357">
        <f t="shared" ca="1" si="274"/>
        <v>83.544536101249705</v>
      </c>
      <c r="J613" s="359">
        <f t="shared" ca="1" si="275"/>
        <v>726.39067313645978</v>
      </c>
      <c r="K613" s="360">
        <f t="shared" ca="1" si="276"/>
        <v>2440.0346689068401</v>
      </c>
      <c r="L613" s="357">
        <f t="shared" ca="1" si="261"/>
        <v>2545.8618571098768</v>
      </c>
      <c r="M613" s="359">
        <f t="shared" ca="1" si="277"/>
        <v>1.0542998491916111</v>
      </c>
      <c r="N613" s="357">
        <f t="shared" ca="1" si="278"/>
        <v>60.406931699958498</v>
      </c>
      <c r="O613" s="343"/>
      <c r="P613" s="363">
        <f t="shared" ca="1" si="279"/>
        <v>23</v>
      </c>
      <c r="Q613" s="357">
        <f t="shared" ca="1" si="280"/>
        <v>0</v>
      </c>
      <c r="R613" s="359">
        <f t="shared" ca="1" si="281"/>
        <v>0</v>
      </c>
      <c r="S613" s="360">
        <f t="shared" ca="1" si="282"/>
        <v>9.7379999999999765</v>
      </c>
      <c r="T613" s="357">
        <f t="shared" ca="1" si="262"/>
        <v>95.529779999999775</v>
      </c>
      <c r="U613" s="364">
        <f t="shared" ca="1" si="263"/>
        <v>0</v>
      </c>
      <c r="V613" s="359">
        <f t="shared" ca="1" si="264"/>
        <v>0.95859733944150027</v>
      </c>
      <c r="W613" s="357">
        <f t="shared" ca="1" si="265"/>
        <v>15.144395431358559</v>
      </c>
      <c r="X613" s="343"/>
      <c r="Y613" s="367" t="str">
        <f t="shared" ca="1" si="283"/>
        <v/>
      </c>
      <c r="Z613" s="368" t="str">
        <f t="shared" ca="1" si="284"/>
        <v/>
      </c>
      <c r="AA613" s="369" t="str">
        <f t="shared" ca="1" si="285"/>
        <v/>
      </c>
      <c r="AB613" s="344"/>
      <c r="AC613" s="363" t="e">
        <f t="shared" ca="1" si="286"/>
        <v>#N/A</v>
      </c>
      <c r="AD613" s="376" t="e">
        <f t="shared" ca="1" si="287"/>
        <v>#N/A</v>
      </c>
      <c r="AE613" s="377">
        <f t="shared" ca="1" si="266"/>
        <v>2440.0346689068401</v>
      </c>
      <c r="AF613" s="344"/>
      <c r="AG613" s="359">
        <f t="shared" ca="1" si="288"/>
        <v>-10.152343518607662</v>
      </c>
      <c r="AH613" s="357">
        <f t="shared" ca="1" si="289"/>
        <v>-1.5943447694696242</v>
      </c>
    </row>
    <row r="614" spans="1:34" x14ac:dyDescent="0.25">
      <c r="A614" s="402">
        <f t="shared" ca="1" si="267"/>
        <v>0.1</v>
      </c>
      <c r="B614" s="357">
        <f t="shared" ca="1" si="268"/>
        <v>15.999999999999899</v>
      </c>
      <c r="C614" s="342"/>
      <c r="D614" s="359">
        <f t="shared" ca="1" si="269"/>
        <v>-0.76800758043726181</v>
      </c>
      <c r="E614" s="360">
        <f t="shared" ca="1" si="270"/>
        <v>-11.162318744501885</v>
      </c>
      <c r="F614" s="357">
        <f t="shared" ca="1" si="271"/>
        <v>11.188708388257655</v>
      </c>
      <c r="G614" s="359">
        <f t="shared" ca="1" si="272"/>
        <v>41.180554798266094</v>
      </c>
      <c r="H614" s="360">
        <f t="shared" ca="1" si="273"/>
        <v>71.530310540679565</v>
      </c>
      <c r="I614" s="357">
        <f t="shared" ca="1" si="274"/>
        <v>82.537406183736181</v>
      </c>
      <c r="J614" s="359">
        <f t="shared" ca="1" si="275"/>
        <v>730.51256865418861</v>
      </c>
      <c r="K614" s="360">
        <f t="shared" ca="1" si="276"/>
        <v>2447.2435115546305</v>
      </c>
      <c r="L614" s="357">
        <f t="shared" ca="1" si="261"/>
        <v>2553.9478103140596</v>
      </c>
      <c r="M614" s="359">
        <f t="shared" ca="1" si="277"/>
        <v>1.0484303098157484</v>
      </c>
      <c r="N614" s="357">
        <f t="shared" ca="1" si="278"/>
        <v>60.070631866035704</v>
      </c>
      <c r="O614" s="343"/>
      <c r="P614" s="363">
        <f t="shared" ca="1" si="279"/>
        <v>23</v>
      </c>
      <c r="Q614" s="357">
        <f t="shared" ca="1" si="280"/>
        <v>0</v>
      </c>
      <c r="R614" s="359">
        <f t="shared" ca="1" si="281"/>
        <v>0</v>
      </c>
      <c r="S614" s="360">
        <f t="shared" ca="1" si="282"/>
        <v>9.7379999999999765</v>
      </c>
      <c r="T614" s="357">
        <f t="shared" ca="1" si="262"/>
        <v>95.529779999999775</v>
      </c>
      <c r="U614" s="364">
        <f t="shared" ca="1" si="263"/>
        <v>0</v>
      </c>
      <c r="V614" s="359">
        <f t="shared" ca="1" si="264"/>
        <v>0.95789608587252317</v>
      </c>
      <c r="W614" s="357">
        <f t="shared" ca="1" si="265"/>
        <v>14.770651443020911</v>
      </c>
      <c r="X614" s="343"/>
      <c r="Y614" s="367" t="str">
        <f t="shared" ca="1" si="283"/>
        <v/>
      </c>
      <c r="Z614" s="368" t="str">
        <f t="shared" ca="1" si="284"/>
        <v/>
      </c>
      <c r="AA614" s="369" t="str">
        <f t="shared" ca="1" si="285"/>
        <v/>
      </c>
      <c r="AB614" s="344"/>
      <c r="AC614" s="363">
        <f t="shared" ca="1" si="286"/>
        <v>15.999999999999899</v>
      </c>
      <c r="AD614" s="376">
        <f t="shared" ca="1" si="287"/>
        <v>730.51256865418861</v>
      </c>
      <c r="AE614" s="377">
        <f t="shared" ca="1" si="266"/>
        <v>2447.2435115546305</v>
      </c>
      <c r="AF614" s="344"/>
      <c r="AG614" s="359">
        <f t="shared" ca="1" si="288"/>
        <v>-10.08551681846123</v>
      </c>
      <c r="AH614" s="357">
        <f t="shared" ca="1" si="289"/>
        <v>-1.5551854006324293</v>
      </c>
    </row>
    <row r="615" spans="1:34" x14ac:dyDescent="0.25">
      <c r="A615" s="402">
        <f t="shared" ca="1" si="267"/>
        <v>0.1</v>
      </c>
      <c r="B615" s="357">
        <f t="shared" ca="1" si="268"/>
        <v>16.099999999999898</v>
      </c>
      <c r="C615" s="342"/>
      <c r="D615" s="359">
        <f t="shared" ca="1" si="269"/>
        <v>-0.75678280572585821</v>
      </c>
      <c r="E615" s="360">
        <f t="shared" ca="1" si="270"/>
        <v>-11.124525978841273</v>
      </c>
      <c r="F615" s="357">
        <f t="shared" ca="1" si="271"/>
        <v>11.150237596973289</v>
      </c>
      <c r="G615" s="359">
        <f t="shared" ca="1" si="272"/>
        <v>41.104876517693505</v>
      </c>
      <c r="H615" s="360">
        <f t="shared" ca="1" si="273"/>
        <v>70.417857942795436</v>
      </c>
      <c r="I615" s="357">
        <f t="shared" ca="1" si="274"/>
        <v>81.537019756589999</v>
      </c>
      <c r="J615" s="359">
        <f t="shared" ca="1" si="275"/>
        <v>734.62684021998655</v>
      </c>
      <c r="K615" s="360">
        <f t="shared" ca="1" si="276"/>
        <v>2454.3409199788043</v>
      </c>
      <c r="L615" s="357">
        <f t="shared" ca="1" si="261"/>
        <v>2561.9262178786503</v>
      </c>
      <c r="M615" s="359">
        <f t="shared" ca="1" si="277"/>
        <v>1.0424274505909228</v>
      </c>
      <c r="N615" s="357">
        <f t="shared" ca="1" si="278"/>
        <v>59.726693367442032</v>
      </c>
      <c r="O615" s="343"/>
      <c r="P615" s="363">
        <f t="shared" ca="1" si="279"/>
        <v>23</v>
      </c>
      <c r="Q615" s="357">
        <f t="shared" ca="1" si="280"/>
        <v>0</v>
      </c>
      <c r="R615" s="359">
        <f t="shared" ca="1" si="281"/>
        <v>0</v>
      </c>
      <c r="S615" s="360">
        <f t="shared" ca="1" si="282"/>
        <v>9.7379999999999765</v>
      </c>
      <c r="T615" s="357">
        <f t="shared" ca="1" si="262"/>
        <v>95.529779999999775</v>
      </c>
      <c r="U615" s="364">
        <f t="shared" ca="1" si="263"/>
        <v>0</v>
      </c>
      <c r="V615" s="359">
        <f t="shared" ca="1" si="264"/>
        <v>0.95720611215545115</v>
      </c>
      <c r="W615" s="357">
        <f t="shared" ca="1" si="265"/>
        <v>14.404385911729682</v>
      </c>
      <c r="X615" s="343"/>
      <c r="Y615" s="367" t="str">
        <f t="shared" ca="1" si="283"/>
        <v/>
      </c>
      <c r="Z615" s="368" t="str">
        <f t="shared" ca="1" si="284"/>
        <v/>
      </c>
      <c r="AA615" s="369" t="str">
        <f t="shared" ca="1" si="285"/>
        <v/>
      </c>
      <c r="AB615" s="344"/>
      <c r="AC615" s="363" t="e">
        <f t="shared" ca="1" si="286"/>
        <v>#N/A</v>
      </c>
      <c r="AD615" s="376" t="e">
        <f t="shared" ca="1" si="287"/>
        <v>#N/A</v>
      </c>
      <c r="AE615" s="377">
        <f t="shared" ca="1" si="266"/>
        <v>2454.3409199788043</v>
      </c>
      <c r="AF615" s="344"/>
      <c r="AG615" s="359">
        <f t="shared" ca="1" si="288"/>
        <v>-10.018554882197074</v>
      </c>
      <c r="AH615" s="357">
        <f t="shared" ca="1" si="289"/>
        <v>-1.5168054470138579</v>
      </c>
    </row>
    <row r="616" spans="1:34" x14ac:dyDescent="0.25">
      <c r="A616" s="402">
        <f t="shared" ca="1" si="267"/>
        <v>0.1</v>
      </c>
      <c r="B616" s="357">
        <f t="shared" ca="1" si="268"/>
        <v>16.1999999999999</v>
      </c>
      <c r="C616" s="342"/>
      <c r="D616" s="359">
        <f t="shared" ca="1" si="269"/>
        <v>-0.74569888246102534</v>
      </c>
      <c r="E616" s="360">
        <f t="shared" ca="1" si="270"/>
        <v>-11.087476601848902</v>
      </c>
      <c r="F616" s="357">
        <f t="shared" ca="1" si="271"/>
        <v>11.112524655533976</v>
      </c>
      <c r="G616" s="359">
        <f t="shared" ca="1" si="272"/>
        <v>41.030306629447402</v>
      </c>
      <c r="H616" s="360">
        <f t="shared" ca="1" si="273"/>
        <v>69.309110282610547</v>
      </c>
      <c r="I616" s="357">
        <f t="shared" ca="1" si="274"/>
        <v>80.543397186073207</v>
      </c>
      <c r="J616" s="359">
        <f t="shared" ca="1" si="275"/>
        <v>738.73359937734358</v>
      </c>
      <c r="K616" s="360">
        <f t="shared" ca="1" si="276"/>
        <v>2461.3272683900746</v>
      </c>
      <c r="L616" s="357">
        <f t="shared" ca="1" si="261"/>
        <v>2569.7975120560668</v>
      </c>
      <c r="M616" s="359">
        <f t="shared" ca="1" si="277"/>
        <v>1.0362872818389686</v>
      </c>
      <c r="N616" s="357">
        <f t="shared" ca="1" si="278"/>
        <v>59.374887612456945</v>
      </c>
      <c r="O616" s="343"/>
      <c r="P616" s="363">
        <f t="shared" ca="1" si="279"/>
        <v>23</v>
      </c>
      <c r="Q616" s="357">
        <f t="shared" ca="1" si="280"/>
        <v>0</v>
      </c>
      <c r="R616" s="359">
        <f t="shared" ca="1" si="281"/>
        <v>0</v>
      </c>
      <c r="S616" s="360">
        <f t="shared" ca="1" si="282"/>
        <v>9.7379999999999765</v>
      </c>
      <c r="T616" s="357">
        <f t="shared" ca="1" si="262"/>
        <v>95.529779999999775</v>
      </c>
      <c r="U616" s="364">
        <f t="shared" ca="1" si="263"/>
        <v>0</v>
      </c>
      <c r="V616" s="359">
        <f t="shared" ca="1" si="264"/>
        <v>0.95652736098360125</v>
      </c>
      <c r="W616" s="357">
        <f t="shared" ca="1" si="265"/>
        <v>14.045490234486245</v>
      </c>
      <c r="X616" s="343"/>
      <c r="Y616" s="367" t="str">
        <f t="shared" ca="1" si="283"/>
        <v/>
      </c>
      <c r="Z616" s="368" t="str">
        <f t="shared" ca="1" si="284"/>
        <v/>
      </c>
      <c r="AA616" s="369" t="str">
        <f t="shared" ca="1" si="285"/>
        <v/>
      </c>
      <c r="AB616" s="344"/>
      <c r="AC616" s="363" t="e">
        <f t="shared" ca="1" si="286"/>
        <v>#N/A</v>
      </c>
      <c r="AD616" s="376" t="e">
        <f t="shared" ca="1" si="287"/>
        <v>#N/A</v>
      </c>
      <c r="AE616" s="377">
        <f t="shared" ca="1" si="266"/>
        <v>2461.3272683900746</v>
      </c>
      <c r="AF616" s="344"/>
      <c r="AG616" s="359">
        <f t="shared" ca="1" si="288"/>
        <v>-9.9514087612998257</v>
      </c>
      <c r="AH616" s="357">
        <f t="shared" ca="1" si="289"/>
        <v>-1.4791934598202625</v>
      </c>
    </row>
    <row r="617" spans="1:34" x14ac:dyDescent="0.25">
      <c r="A617" s="402">
        <f t="shared" ca="1" si="267"/>
        <v>0.1</v>
      </c>
      <c r="B617" s="357">
        <f t="shared" ca="1" si="268"/>
        <v>16.299999999999901</v>
      </c>
      <c r="C617" s="342"/>
      <c r="D617" s="359">
        <f t="shared" ca="1" si="269"/>
        <v>-0.73475398640167933</v>
      </c>
      <c r="E617" s="360">
        <f t="shared" ca="1" si="270"/>
        <v>-11.051159261470223</v>
      </c>
      <c r="F617" s="357">
        <f t="shared" ca="1" si="271"/>
        <v>11.075557974337558</v>
      </c>
      <c r="G617" s="359">
        <f t="shared" ca="1" si="272"/>
        <v>40.956831230807232</v>
      </c>
      <c r="H617" s="360">
        <f t="shared" ca="1" si="273"/>
        <v>68.203994356463525</v>
      </c>
      <c r="I617" s="357">
        <f t="shared" ca="1" si="274"/>
        <v>79.556563969576615</v>
      </c>
      <c r="J617" s="359">
        <f t="shared" ca="1" si="275"/>
        <v>742.83295627035636</v>
      </c>
      <c r="K617" s="360">
        <f t="shared" ca="1" si="276"/>
        <v>2468.2029236220283</v>
      </c>
      <c r="L617" s="357">
        <f t="shared" ca="1" si="261"/>
        <v>2577.5621181840961</v>
      </c>
      <c r="M617" s="359">
        <f t="shared" ca="1" si="277"/>
        <v>1.0300056762430416</v>
      </c>
      <c r="N617" s="357">
        <f t="shared" ca="1" si="278"/>
        <v>59.014978123244568</v>
      </c>
      <c r="O617" s="343"/>
      <c r="P617" s="363">
        <f t="shared" ca="1" si="279"/>
        <v>23</v>
      </c>
      <c r="Q617" s="357">
        <f t="shared" ca="1" si="280"/>
        <v>0</v>
      </c>
      <c r="R617" s="359">
        <f t="shared" ca="1" si="281"/>
        <v>0</v>
      </c>
      <c r="S617" s="360">
        <f t="shared" ca="1" si="282"/>
        <v>9.7379999999999765</v>
      </c>
      <c r="T617" s="357">
        <f t="shared" ca="1" si="262"/>
        <v>95.529779999999775</v>
      </c>
      <c r="U617" s="364">
        <f t="shared" ca="1" si="263"/>
        <v>0</v>
      </c>
      <c r="V617" s="359">
        <f t="shared" ca="1" si="264"/>
        <v>0.95585977621662244</v>
      </c>
      <c r="W617" s="357">
        <f t="shared" ca="1" si="265"/>
        <v>13.693858619824985</v>
      </c>
      <c r="X617" s="343"/>
      <c r="Y617" s="367" t="str">
        <f t="shared" ca="1" si="283"/>
        <v/>
      </c>
      <c r="Z617" s="368" t="str">
        <f t="shared" ca="1" si="284"/>
        <v/>
      </c>
      <c r="AA617" s="369" t="str">
        <f t="shared" ca="1" si="285"/>
        <v/>
      </c>
      <c r="AB617" s="344"/>
      <c r="AC617" s="363" t="e">
        <f t="shared" ca="1" si="286"/>
        <v>#N/A</v>
      </c>
      <c r="AD617" s="376" t="e">
        <f t="shared" ca="1" si="287"/>
        <v>#N/A</v>
      </c>
      <c r="AE617" s="377">
        <f t="shared" ca="1" si="266"/>
        <v>2468.2029236220283</v>
      </c>
      <c r="AF617" s="344"/>
      <c r="AG617" s="359">
        <f t="shared" ca="1" si="288"/>
        <v>-9.8840280541438972</v>
      </c>
      <c r="AH617" s="357">
        <f t="shared" ca="1" si="289"/>
        <v>-1.4423382865564056</v>
      </c>
    </row>
    <row r="618" spans="1:34" x14ac:dyDescent="0.25">
      <c r="A618" s="402">
        <f t="shared" ca="1" si="267"/>
        <v>0.1</v>
      </c>
      <c r="B618" s="357">
        <f t="shared" ca="1" si="268"/>
        <v>16.399999999999903</v>
      </c>
      <c r="C618" s="342"/>
      <c r="D618" s="359">
        <f t="shared" ca="1" si="269"/>
        <v>-0.72394637914965532</v>
      </c>
      <c r="E618" s="360">
        <f t="shared" ca="1" si="270"/>
        <v>-11.015562863973843</v>
      </c>
      <c r="F618" s="357">
        <f t="shared" ca="1" si="271"/>
        <v>11.039326228083103</v>
      </c>
      <c r="G618" s="359">
        <f t="shared" ca="1" si="272"/>
        <v>40.884436592892264</v>
      </c>
      <c r="H618" s="360">
        <f t="shared" ca="1" si="273"/>
        <v>67.102438070066142</v>
      </c>
      <c r="I618" s="357">
        <f t="shared" ca="1" si="274"/>
        <v>78.576550894432174</v>
      </c>
      <c r="J618" s="359">
        <f t="shared" ca="1" si="275"/>
        <v>746.92501966154134</v>
      </c>
      <c r="K618" s="360">
        <f t="shared" ca="1" si="276"/>
        <v>2474.9682452433549</v>
      </c>
      <c r="L618" s="357">
        <f t="shared" ca="1" si="261"/>
        <v>2585.2204548083255</v>
      </c>
      <c r="M618" s="359">
        <f t="shared" ca="1" si="277"/>
        <v>1.0235783644741534</v>
      </c>
      <c r="N618" s="357">
        <f t="shared" ca="1" si="278"/>
        <v>58.646720285272508</v>
      </c>
      <c r="O618" s="343"/>
      <c r="P618" s="363">
        <f t="shared" ca="1" si="279"/>
        <v>23</v>
      </c>
      <c r="Q618" s="357">
        <f t="shared" ca="1" si="280"/>
        <v>0</v>
      </c>
      <c r="R618" s="359">
        <f t="shared" ca="1" si="281"/>
        <v>0</v>
      </c>
      <c r="S618" s="360">
        <f t="shared" ca="1" si="282"/>
        <v>9.7379999999999765</v>
      </c>
      <c r="T618" s="357">
        <f t="shared" ca="1" si="262"/>
        <v>95.529779999999775</v>
      </c>
      <c r="U618" s="364">
        <f t="shared" ca="1" si="263"/>
        <v>0</v>
      </c>
      <c r="V618" s="359">
        <f t="shared" ca="1" si="264"/>
        <v>0.95520330286208321</v>
      </c>
      <c r="W618" s="357">
        <f t="shared" ca="1" si="265"/>
        <v>13.349388016405412</v>
      </c>
      <c r="X618" s="343"/>
      <c r="Y618" s="367" t="str">
        <f t="shared" ca="1" si="283"/>
        <v/>
      </c>
      <c r="Z618" s="368" t="str">
        <f t="shared" ca="1" si="284"/>
        <v/>
      </c>
      <c r="AA618" s="369" t="str">
        <f t="shared" ca="1" si="285"/>
        <v/>
      </c>
      <c r="AB618" s="344"/>
      <c r="AC618" s="363" t="e">
        <f t="shared" ca="1" si="286"/>
        <v>#N/A</v>
      </c>
      <c r="AD618" s="376" t="e">
        <f t="shared" ca="1" si="287"/>
        <v>#N/A</v>
      </c>
      <c r="AE618" s="377">
        <f t="shared" ca="1" si="266"/>
        <v>2474.9682452433549</v>
      </c>
      <c r="AF618" s="344"/>
      <c r="AG618" s="359">
        <f t="shared" ca="1" si="288"/>
        <v>-9.8163608143933256</v>
      </c>
      <c r="AH618" s="357">
        <f t="shared" ca="1" si="289"/>
        <v>-1.4062290634447543</v>
      </c>
    </row>
    <row r="619" spans="1:34" x14ac:dyDescent="0.25">
      <c r="A619" s="402">
        <f t="shared" ca="1" si="267"/>
        <v>0.1</v>
      </c>
      <c r="B619" s="357">
        <f t="shared" ca="1" si="268"/>
        <v>16.499999999999904</v>
      </c>
      <c r="C619" s="342"/>
      <c r="D619" s="359">
        <f t="shared" ca="1" si="269"/>
        <v>-0.71327440814493925</v>
      </c>
      <c r="E619" s="360">
        <f t="shared" ca="1" si="270"/>
        <v>-10.980676565170761</v>
      </c>
      <c r="F619" s="357">
        <f t="shared" ca="1" si="271"/>
        <v>11.00381834683783</v>
      </c>
      <c r="G619" s="359">
        <f t="shared" ca="1" si="272"/>
        <v>40.813109152077772</v>
      </c>
      <c r="H619" s="360">
        <f t="shared" ca="1" si="273"/>
        <v>66.004370413549069</v>
      </c>
      <c r="I619" s="357">
        <f t="shared" ca="1" si="274"/>
        <v>77.603394206364484</v>
      </c>
      <c r="J619" s="359">
        <f t="shared" ca="1" si="275"/>
        <v>751.00989694878979</v>
      </c>
      <c r="K619" s="360">
        <f t="shared" ca="1" si="276"/>
        <v>2481.6235856675357</v>
      </c>
      <c r="L619" s="357">
        <f t="shared" ca="1" si="261"/>
        <v>2592.7729338020381</v>
      </c>
      <c r="M619" s="359">
        <f t="shared" ca="1" si="277"/>
        <v>1.0170009307943624</v>
      </c>
      <c r="N619" s="357">
        <f t="shared" ca="1" si="278"/>
        <v>58.269861095393281</v>
      </c>
      <c r="O619" s="343"/>
      <c r="P619" s="363">
        <f t="shared" ca="1" si="279"/>
        <v>23</v>
      </c>
      <c r="Q619" s="357">
        <f t="shared" ca="1" si="280"/>
        <v>0</v>
      </c>
      <c r="R619" s="359">
        <f t="shared" ca="1" si="281"/>
        <v>0</v>
      </c>
      <c r="S619" s="360">
        <f t="shared" ca="1" si="282"/>
        <v>9.7379999999999765</v>
      </c>
      <c r="T619" s="357">
        <f t="shared" ca="1" si="262"/>
        <v>95.529779999999775</v>
      </c>
      <c r="U619" s="364">
        <f t="shared" ca="1" si="263"/>
        <v>0</v>
      </c>
      <c r="V619" s="359">
        <f t="shared" ca="1" si="264"/>
        <v>0.95455788705751843</v>
      </c>
      <c r="W619" s="357">
        <f t="shared" ca="1" si="265"/>
        <v>13.011978043927723</v>
      </c>
      <c r="X619" s="343"/>
      <c r="Y619" s="367" t="str">
        <f t="shared" ca="1" si="283"/>
        <v/>
      </c>
      <c r="Z619" s="368" t="str">
        <f t="shared" ca="1" si="284"/>
        <v/>
      </c>
      <c r="AA619" s="369" t="str">
        <f t="shared" ca="1" si="285"/>
        <v/>
      </c>
      <c r="AB619" s="344"/>
      <c r="AC619" s="363" t="e">
        <f t="shared" ca="1" si="286"/>
        <v>#N/A</v>
      </c>
      <c r="AD619" s="376" t="e">
        <f t="shared" ca="1" si="287"/>
        <v>#N/A</v>
      </c>
      <c r="AE619" s="377">
        <f t="shared" ca="1" si="266"/>
        <v>2481.6235856675357</v>
      </c>
      <c r="AF619" s="344"/>
      <c r="AG619" s="359">
        <f t="shared" ca="1" si="288"/>
        <v>-9.7483534562880543</v>
      </c>
      <c r="AH619" s="357">
        <f t="shared" ca="1" si="289"/>
        <v>-1.3708552080925698</v>
      </c>
    </row>
    <row r="620" spans="1:34" x14ac:dyDescent="0.25">
      <c r="A620" s="402">
        <f t="shared" ca="1" si="267"/>
        <v>0.1</v>
      </c>
      <c r="B620" s="357">
        <f t="shared" ca="1" si="268"/>
        <v>16.599999999999905</v>
      </c>
      <c r="C620" s="342"/>
      <c r="D620" s="359">
        <f t="shared" ca="1" si="269"/>
        <v>-0.70273650678048072</v>
      </c>
      <c r="E620" s="360">
        <f t="shared" ca="1" si="270"/>
        <v>-10.946489761753449</v>
      </c>
      <c r="F620" s="357">
        <f t="shared" ca="1" si="271"/>
        <v>10.96902350722867</v>
      </c>
      <c r="G620" s="359">
        <f t="shared" ca="1" si="272"/>
        <v>40.742835501399725</v>
      </c>
      <c r="H620" s="360">
        <f t="shared" ca="1" si="273"/>
        <v>64.909721437373719</v>
      </c>
      <c r="I620" s="357">
        <f t="shared" ca="1" si="274"/>
        <v>76.637135787890529</v>
      </c>
      <c r="J620" s="359">
        <f t="shared" ca="1" si="275"/>
        <v>755.08769418146369</v>
      </c>
      <c r="K620" s="360">
        <f t="shared" ca="1" si="276"/>
        <v>2488.1692902600817</v>
      </c>
      <c r="L620" s="357">
        <f t="shared" ca="1" si="261"/>
        <v>2600.2199604836583</v>
      </c>
      <c r="M620" s="359">
        <f t="shared" ca="1" si="277"/>
        <v>1.0102688086566345</v>
      </c>
      <c r="N620" s="357">
        <f t="shared" ca="1" si="278"/>
        <v>57.884138909734887</v>
      </c>
      <c r="O620" s="343"/>
      <c r="P620" s="363">
        <f t="shared" ca="1" si="279"/>
        <v>23</v>
      </c>
      <c r="Q620" s="357">
        <f t="shared" ca="1" si="280"/>
        <v>0</v>
      </c>
      <c r="R620" s="359">
        <f t="shared" ca="1" si="281"/>
        <v>0</v>
      </c>
      <c r="S620" s="360">
        <f t="shared" ca="1" si="282"/>
        <v>9.7379999999999765</v>
      </c>
      <c r="T620" s="357">
        <f t="shared" ca="1" si="262"/>
        <v>95.529779999999775</v>
      </c>
      <c r="U620" s="364">
        <f t="shared" ca="1" si="263"/>
        <v>0</v>
      </c>
      <c r="V620" s="359">
        <f t="shared" ca="1" si="264"/>
        <v>0.95392347605291916</v>
      </c>
      <c r="W620" s="357">
        <f t="shared" ca="1" si="265"/>
        <v>12.681530926285657</v>
      </c>
      <c r="X620" s="343"/>
      <c r="Y620" s="367" t="str">
        <f t="shared" ca="1" si="283"/>
        <v/>
      </c>
      <c r="Z620" s="368" t="str">
        <f t="shared" ca="1" si="284"/>
        <v/>
      </c>
      <c r="AA620" s="369" t="str">
        <f t="shared" ca="1" si="285"/>
        <v/>
      </c>
      <c r="AB620" s="344"/>
      <c r="AC620" s="363" t="e">
        <f t="shared" ca="1" si="286"/>
        <v>#N/A</v>
      </c>
      <c r="AD620" s="376" t="e">
        <f t="shared" ca="1" si="287"/>
        <v>#N/A</v>
      </c>
      <c r="AE620" s="377">
        <f t="shared" ca="1" si="266"/>
        <v>2488.1692902600817</v>
      </c>
      <c r="AF620" s="344"/>
      <c r="AG620" s="359">
        <f t="shared" ca="1" si="288"/>
        <v>-9.6799506568189617</v>
      </c>
      <c r="AH620" s="357">
        <f t="shared" ca="1" si="289"/>
        <v>-1.3362064123975923</v>
      </c>
    </row>
    <row r="621" spans="1:34" x14ac:dyDescent="0.25">
      <c r="A621" s="402">
        <f t="shared" ca="1" si="267"/>
        <v>0.1</v>
      </c>
      <c r="B621" s="357">
        <f t="shared" ca="1" si="268"/>
        <v>16.699999999999907</v>
      </c>
      <c r="C621" s="342"/>
      <c r="D621" s="359">
        <f t="shared" ca="1" si="269"/>
        <v>-0.69233119463749426</v>
      </c>
      <c r="E621" s="360">
        <f t="shared" ca="1" si="270"/>
        <v>-10.91299208273759</v>
      </c>
      <c r="F621" s="357">
        <f t="shared" ca="1" si="271"/>
        <v>10.934931123741087</v>
      </c>
      <c r="G621" s="359">
        <f t="shared" ca="1" si="272"/>
        <v>40.673602381935979</v>
      </c>
      <c r="H621" s="360">
        <f t="shared" ca="1" si="273"/>
        <v>63.818422229099959</v>
      </c>
      <c r="I621" s="357">
        <f t="shared" ca="1" si="274"/>
        <v>75.677823346972048</v>
      </c>
      <c r="J621" s="359">
        <f t="shared" ca="1" si="275"/>
        <v>759.15851607563047</v>
      </c>
      <c r="K621" s="360">
        <f t="shared" ca="1" si="276"/>
        <v>2494.6056974434055</v>
      </c>
      <c r="L621" s="357">
        <f t="shared" ca="1" si="261"/>
        <v>2607.5619337318249</v>
      </c>
      <c r="M621" s="359">
        <f t="shared" ca="1" si="277"/>
        <v>1.0033772763248148</v>
      </c>
      <c r="N621" s="357">
        <f t="shared" ca="1" si="278"/>
        <v>57.489283192743663</v>
      </c>
      <c r="O621" s="343"/>
      <c r="P621" s="363">
        <f t="shared" ca="1" si="279"/>
        <v>23</v>
      </c>
      <c r="Q621" s="357">
        <f t="shared" ca="1" si="280"/>
        <v>0</v>
      </c>
      <c r="R621" s="359">
        <f t="shared" ca="1" si="281"/>
        <v>0</v>
      </c>
      <c r="S621" s="360">
        <f t="shared" ca="1" si="282"/>
        <v>9.7379999999999765</v>
      </c>
      <c r="T621" s="357">
        <f t="shared" ca="1" si="262"/>
        <v>95.529779999999775</v>
      </c>
      <c r="U621" s="364">
        <f t="shared" ca="1" si="263"/>
        <v>0</v>
      </c>
      <c r="V621" s="359">
        <f t="shared" ca="1" si="264"/>
        <v>0.95330001819365207</v>
      </c>
      <c r="W621" s="357">
        <f t="shared" ca="1" si="265"/>
        <v>12.357951426873804</v>
      </c>
      <c r="X621" s="343"/>
      <c r="Y621" s="367" t="str">
        <f t="shared" ca="1" si="283"/>
        <v/>
      </c>
      <c r="Z621" s="368" t="str">
        <f t="shared" ca="1" si="284"/>
        <v/>
      </c>
      <c r="AA621" s="369" t="str">
        <f t="shared" ca="1" si="285"/>
        <v/>
      </c>
      <c r="AB621" s="344"/>
      <c r="AC621" s="363" t="e">
        <f t="shared" ca="1" si="286"/>
        <v>#N/A</v>
      </c>
      <c r="AD621" s="376" t="e">
        <f t="shared" ca="1" si="287"/>
        <v>#N/A</v>
      </c>
      <c r="AE621" s="377">
        <f t="shared" ca="1" si="266"/>
        <v>2494.6056974434055</v>
      </c>
      <c r="AF621" s="344"/>
      <c r="AG621" s="359">
        <f t="shared" ca="1" si="288"/>
        <v>-9.6110952548248818</v>
      </c>
      <c r="AH621" s="357">
        <f t="shared" ca="1" si="289"/>
        <v>-1.3022726356834757</v>
      </c>
    </row>
    <row r="622" spans="1:34" x14ac:dyDescent="0.25">
      <c r="A622" s="402">
        <f t="shared" ca="1" si="267"/>
        <v>0.1</v>
      </c>
      <c r="B622" s="357">
        <f t="shared" ca="1" si="268"/>
        <v>16.799999999999908</v>
      </c>
      <c r="C622" s="342"/>
      <c r="D622" s="359">
        <f t="shared" ca="1" si="269"/>
        <v>-0.68205707784216252</v>
      </c>
      <c r="E622" s="360">
        <f t="shared" ca="1" si="270"/>
        <v>-10.880173380988964</v>
      </c>
      <c r="F622" s="357">
        <f t="shared" ca="1" si="271"/>
        <v>10.901530840107522</v>
      </c>
      <c r="G622" s="359">
        <f t="shared" ca="1" si="272"/>
        <v>40.605396674151763</v>
      </c>
      <c r="H622" s="360">
        <f t="shared" ca="1" si="273"/>
        <v>62.730404891001065</v>
      </c>
      <c r="I622" s="357">
        <f t="shared" ca="1" si="274"/>
        <v>74.725510616215558</v>
      </c>
      <c r="J622" s="359">
        <f t="shared" ca="1" si="275"/>
        <v>763.22246602843484</v>
      </c>
      <c r="K622" s="360">
        <f t="shared" ca="1" si="276"/>
        <v>2500.9331387994107</v>
      </c>
      <c r="L622" s="357">
        <f t="shared" ca="1" si="261"/>
        <v>2614.7992460981777</v>
      </c>
      <c r="M622" s="359">
        <f t="shared" ca="1" si="277"/>
        <v>0.99632145254100657</v>
      </c>
      <c r="N622" s="357">
        <f t="shared" ca="1" si="278"/>
        <v>57.085014268943425</v>
      </c>
      <c r="O622" s="343"/>
      <c r="P622" s="363">
        <f t="shared" ca="1" si="279"/>
        <v>23</v>
      </c>
      <c r="Q622" s="357">
        <f t="shared" ca="1" si="280"/>
        <v>0</v>
      </c>
      <c r="R622" s="359">
        <f t="shared" ca="1" si="281"/>
        <v>0</v>
      </c>
      <c r="S622" s="360">
        <f t="shared" ca="1" si="282"/>
        <v>9.7379999999999765</v>
      </c>
      <c r="T622" s="357">
        <f t="shared" ca="1" si="262"/>
        <v>95.529779999999775</v>
      </c>
      <c r="U622" s="364">
        <f t="shared" ca="1" si="263"/>
        <v>0</v>
      </c>
      <c r="V622" s="359">
        <f t="shared" ca="1" si="264"/>
        <v>0.95268746290379458</v>
      </c>
      <c r="W622" s="357">
        <f t="shared" ca="1" si="265"/>
        <v>12.041146785969627</v>
      </c>
      <c r="X622" s="343"/>
      <c r="Y622" s="367" t="str">
        <f t="shared" ca="1" si="283"/>
        <v/>
      </c>
      <c r="Z622" s="368" t="str">
        <f t="shared" ca="1" si="284"/>
        <v/>
      </c>
      <c r="AA622" s="369" t="str">
        <f t="shared" ca="1" si="285"/>
        <v/>
      </c>
      <c r="AB622" s="344"/>
      <c r="AC622" s="363" t="e">
        <f t="shared" ca="1" si="286"/>
        <v>#N/A</v>
      </c>
      <c r="AD622" s="376" t="e">
        <f t="shared" ca="1" si="287"/>
        <v>#N/A</v>
      </c>
      <c r="AE622" s="377">
        <f t="shared" ca="1" si="266"/>
        <v>2500.9331387994107</v>
      </c>
      <c r="AF622" s="344"/>
      <c r="AG622" s="359">
        <f t="shared" ca="1" si="288"/>
        <v>-9.5417281470820345</v>
      </c>
      <c r="AH622" s="357">
        <f t="shared" ca="1" si="289"/>
        <v>-1.2690440980564628</v>
      </c>
    </row>
    <row r="623" spans="1:34" x14ac:dyDescent="0.25">
      <c r="A623" s="402">
        <f t="shared" ca="1" si="267"/>
        <v>0.1</v>
      </c>
      <c r="B623" s="357">
        <f t="shared" ca="1" si="268"/>
        <v>16.89999999999991</v>
      </c>
      <c r="C623" s="342"/>
      <c r="D623" s="359">
        <f t="shared" ca="1" si="269"/>
        <v>-0.67191284954464792</v>
      </c>
      <c r="E623" s="360">
        <f t="shared" ca="1" si="270"/>
        <v>-10.84802372481767</v>
      </c>
      <c r="F623" s="357">
        <f t="shared" ca="1" si="271"/>
        <v>10.868812520767403</v>
      </c>
      <c r="G623" s="359">
        <f t="shared" ca="1" si="272"/>
        <v>40.538205389197294</v>
      </c>
      <c r="H623" s="360">
        <f t="shared" ca="1" si="273"/>
        <v>61.645602518519297</v>
      </c>
      <c r="I623" s="357">
        <f t="shared" ca="1" si="274"/>
        <v>73.780257562901042</v>
      </c>
      <c r="J623" s="359">
        <f t="shared" ca="1" si="275"/>
        <v>767.27964613160225</v>
      </c>
      <c r="K623" s="360">
        <f t="shared" ca="1" si="276"/>
        <v>2507.1519391698866</v>
      </c>
      <c r="L623" s="357">
        <f t="shared" ca="1" si="261"/>
        <v>2621.9322839179426</v>
      </c>
      <c r="M623" s="359">
        <f t="shared" ca="1" si="277"/>
        <v>0.98909629227199503</v>
      </c>
      <c r="N623" s="357">
        <f t="shared" ca="1" si="278"/>
        <v>56.671043079223459</v>
      </c>
      <c r="O623" s="343"/>
      <c r="P623" s="363">
        <f t="shared" ca="1" si="279"/>
        <v>23</v>
      </c>
      <c r="Q623" s="357">
        <f t="shared" ca="1" si="280"/>
        <v>0</v>
      </c>
      <c r="R623" s="359">
        <f t="shared" ca="1" si="281"/>
        <v>0</v>
      </c>
      <c r="S623" s="360">
        <f t="shared" ca="1" si="282"/>
        <v>9.7379999999999765</v>
      </c>
      <c r="T623" s="357">
        <f t="shared" ca="1" si="262"/>
        <v>95.529779999999775</v>
      </c>
      <c r="U623" s="364">
        <f t="shared" ca="1" si="263"/>
        <v>0</v>
      </c>
      <c r="V623" s="359">
        <f t="shared" ca="1" si="264"/>
        <v>0.9520857606698695</v>
      </c>
      <c r="W623" s="357">
        <f t="shared" ca="1" si="265"/>
        <v>11.731026660113189</v>
      </c>
      <c r="X623" s="343"/>
      <c r="Y623" s="367" t="str">
        <f t="shared" ca="1" si="283"/>
        <v/>
      </c>
      <c r="Z623" s="368" t="str">
        <f t="shared" ca="1" si="284"/>
        <v/>
      </c>
      <c r="AA623" s="369" t="str">
        <f t="shared" ca="1" si="285"/>
        <v/>
      </c>
      <c r="AB623" s="344"/>
      <c r="AC623" s="363" t="e">
        <f t="shared" ca="1" si="286"/>
        <v>#N/A</v>
      </c>
      <c r="AD623" s="376" t="e">
        <f t="shared" ca="1" si="287"/>
        <v>#N/A</v>
      </c>
      <c r="AE623" s="377">
        <f t="shared" ca="1" si="266"/>
        <v>2507.1519391698866</v>
      </c>
      <c r="AF623" s="344"/>
      <c r="AG623" s="359">
        <f t="shared" ca="1" si="288"/>
        <v>-9.4717881814999281</v>
      </c>
      <c r="AH623" s="357">
        <f t="shared" ca="1" si="289"/>
        <v>-1.2365112739751136</v>
      </c>
    </row>
    <row r="624" spans="1:34" x14ac:dyDescent="0.25">
      <c r="A624" s="402">
        <f t="shared" ca="1" si="267"/>
        <v>0.1</v>
      </c>
      <c r="B624" s="357">
        <f t="shared" ca="1" si="268"/>
        <v>16.999999999999911</v>
      </c>
      <c r="C624" s="342"/>
      <c r="D624" s="359">
        <f t="shared" ca="1" si="269"/>
        <v>-0.6618972905212307</v>
      </c>
      <c r="E624" s="360">
        <f t="shared" ca="1" si="270"/>
        <v>-10.816533389621387</v>
      </c>
      <c r="F624" s="357">
        <f t="shared" ca="1" si="271"/>
        <v>10.836766242380319</v>
      </c>
      <c r="G624" s="359">
        <f t="shared" ca="1" si="272"/>
        <v>40.472015660145175</v>
      </c>
      <c r="H624" s="360">
        <f t="shared" ca="1" si="273"/>
        <v>60.563949179557156</v>
      </c>
      <c r="I624" s="357">
        <f t="shared" ca="1" si="274"/>
        <v>72.842130610101037</v>
      </c>
      <c r="J624" s="359">
        <f t="shared" ca="1" si="275"/>
        <v>771.33015718406932</v>
      </c>
      <c r="K624" s="360">
        <f t="shared" ca="1" si="276"/>
        <v>2513.2624167547906</v>
      </c>
      <c r="L624" s="357">
        <f t="shared" ca="1" si="261"/>
        <v>2628.9614274183887</v>
      </c>
      <c r="M624" s="359">
        <f t="shared" ca="1" si="277"/>
        <v>0.98169658257120906</v>
      </c>
      <c r="N624" s="357">
        <f t="shared" ca="1" si="278"/>
        <v>56.247070943746408</v>
      </c>
      <c r="O624" s="343"/>
      <c r="P624" s="363">
        <f t="shared" ca="1" si="279"/>
        <v>23</v>
      </c>
      <c r="Q624" s="357">
        <f t="shared" ca="1" si="280"/>
        <v>0</v>
      </c>
      <c r="R624" s="359">
        <f t="shared" ca="1" si="281"/>
        <v>0</v>
      </c>
      <c r="S624" s="360">
        <f t="shared" ca="1" si="282"/>
        <v>9.7379999999999765</v>
      </c>
      <c r="T624" s="357">
        <f t="shared" ca="1" si="262"/>
        <v>95.529779999999775</v>
      </c>
      <c r="U624" s="364">
        <f t="shared" ca="1" si="263"/>
        <v>0</v>
      </c>
      <c r="V624" s="359">
        <f t="shared" ca="1" si="264"/>
        <v>0.95149486302497344</v>
      </c>
      <c r="W624" s="357">
        <f t="shared" ca="1" si="265"/>
        <v>11.427503063410629</v>
      </c>
      <c r="X624" s="343"/>
      <c r="Y624" s="367" t="str">
        <f t="shared" ca="1" si="283"/>
        <v/>
      </c>
      <c r="Z624" s="368" t="str">
        <f t="shared" ca="1" si="284"/>
        <v/>
      </c>
      <c r="AA624" s="369" t="str">
        <f t="shared" ca="1" si="285"/>
        <v/>
      </c>
      <c r="AB624" s="344"/>
      <c r="AC624" s="363">
        <f t="shared" ca="1" si="286"/>
        <v>16.999999999999911</v>
      </c>
      <c r="AD624" s="376">
        <f t="shared" ca="1" si="287"/>
        <v>771.33015718406932</v>
      </c>
      <c r="AE624" s="377">
        <f t="shared" ca="1" si="266"/>
        <v>2513.2624167547906</v>
      </c>
      <c r="AF624" s="344"/>
      <c r="AG624" s="359">
        <f t="shared" ca="1" si="288"/>
        <v>-9.4012120475894108</v>
      </c>
      <c r="AH624" s="357">
        <f t="shared" ca="1" si="289"/>
        <v>-1.2046648860251814</v>
      </c>
    </row>
    <row r="625" spans="1:34" x14ac:dyDescent="0.25">
      <c r="A625" s="402">
        <f t="shared" ca="1" si="267"/>
        <v>0.1</v>
      </c>
      <c r="B625" s="357">
        <f t="shared" ca="1" si="268"/>
        <v>17.099999999999913</v>
      </c>
      <c r="C625" s="342"/>
      <c r="D625" s="359">
        <f t="shared" ca="1" si="269"/>
        <v>-0.65200926990030539</v>
      </c>
      <c r="E625" s="360">
        <f t="shared" ca="1" si="270"/>
        <v>-10.78569284955897</v>
      </c>
      <c r="F625" s="357">
        <f t="shared" ca="1" si="271"/>
        <v>10.805382285373499</v>
      </c>
      <c r="G625" s="359">
        <f t="shared" ca="1" si="272"/>
        <v>40.406814733155144</v>
      </c>
      <c r="H625" s="360">
        <f t="shared" ca="1" si="273"/>
        <v>59.485379894601259</v>
      </c>
      <c r="I625" s="357">
        <f t="shared" ca="1" si="274"/>
        <v>71.911202869125717</v>
      </c>
      <c r="J625" s="359">
        <f t="shared" ca="1" si="275"/>
        <v>775.37409870373438</v>
      </c>
      <c r="K625" s="360">
        <f t="shared" ca="1" si="276"/>
        <v>2519.2648832084983</v>
      </c>
      <c r="L625" s="357">
        <f t="shared" ca="1" si="261"/>
        <v>2635.8870508252353</v>
      </c>
      <c r="M625" s="359">
        <f t="shared" ca="1" si="277"/>
        <v>0.97411693859815907</v>
      </c>
      <c r="N625" s="357">
        <f t="shared" ca="1" si="278"/>
        <v>55.812789333878875</v>
      </c>
      <c r="O625" s="343"/>
      <c r="P625" s="363">
        <f t="shared" ca="1" si="279"/>
        <v>23</v>
      </c>
      <c r="Q625" s="357">
        <f t="shared" ca="1" si="280"/>
        <v>0</v>
      </c>
      <c r="R625" s="359">
        <f t="shared" ca="1" si="281"/>
        <v>0</v>
      </c>
      <c r="S625" s="360">
        <f t="shared" ca="1" si="282"/>
        <v>9.7379999999999765</v>
      </c>
      <c r="T625" s="357">
        <f t="shared" ca="1" si="262"/>
        <v>95.529779999999775</v>
      </c>
      <c r="U625" s="364">
        <f t="shared" ca="1" si="263"/>
        <v>0</v>
      </c>
      <c r="V625" s="359">
        <f t="shared" ca="1" si="264"/>
        <v>0.95091472253327747</v>
      </c>
      <c r="W625" s="357">
        <f t="shared" ca="1" si="265"/>
        <v>11.130490310689801</v>
      </c>
      <c r="X625" s="343"/>
      <c r="Y625" s="367" t="str">
        <f t="shared" ca="1" si="283"/>
        <v/>
      </c>
      <c r="Z625" s="368" t="str">
        <f t="shared" ca="1" si="284"/>
        <v/>
      </c>
      <c r="AA625" s="369" t="str">
        <f t="shared" ca="1" si="285"/>
        <v/>
      </c>
      <c r="AB625" s="344"/>
      <c r="AC625" s="363" t="e">
        <f t="shared" ca="1" si="286"/>
        <v>#N/A</v>
      </c>
      <c r="AD625" s="376" t="e">
        <f t="shared" ca="1" si="287"/>
        <v>#N/A</v>
      </c>
      <c r="AE625" s="377">
        <f t="shared" ca="1" si="266"/>
        <v>2519.2648832084983</v>
      </c>
      <c r="AF625" s="344"/>
      <c r="AG625" s="359">
        <f t="shared" ca="1" si="288"/>
        <v>-9.3299341644288116</v>
      </c>
      <c r="AH625" s="357">
        <f t="shared" ca="1" si="289"/>
        <v>-1.173495898892037</v>
      </c>
    </row>
    <row r="626" spans="1:34" x14ac:dyDescent="0.25">
      <c r="A626" s="402">
        <f t="shared" ca="1" si="267"/>
        <v>0.1</v>
      </c>
      <c r="B626" s="357">
        <f t="shared" ca="1" si="268"/>
        <v>17.199999999999914</v>
      </c>
      <c r="C626" s="342"/>
      <c r="D626" s="359">
        <f t="shared" ca="1" si="269"/>
        <v>-0.64224774601277268</v>
      </c>
      <c r="E626" s="360">
        <f t="shared" ca="1" si="270"/>
        <v>-10.755492769235117</v>
      </c>
      <c r="F626" s="357">
        <f t="shared" ca="1" si="271"/>
        <v>10.774651125504128</v>
      </c>
      <c r="G626" s="359">
        <f t="shared" ca="1" si="272"/>
        <v>40.342589958553866</v>
      </c>
      <c r="H626" s="360">
        <f t="shared" ca="1" si="273"/>
        <v>58.409830617677748</v>
      </c>
      <c r="I626" s="357">
        <f t="shared" ca="1" si="274"/>
        <v>70.987554383496089</v>
      </c>
      <c r="J626" s="359">
        <f t="shared" ca="1" si="275"/>
        <v>779.41156893831987</v>
      </c>
      <c r="K626" s="360">
        <f t="shared" ca="1" si="276"/>
        <v>2525.1596437341123</v>
      </c>
      <c r="L626" s="357">
        <f t="shared" ca="1" si="261"/>
        <v>2642.7095224670989</v>
      </c>
      <c r="M626" s="359">
        <f t="shared" ca="1" si="277"/>
        <v>0.96635179984334507</v>
      </c>
      <c r="N626" s="357">
        <f t="shared" ca="1" si="278"/>
        <v>55.367879655894562</v>
      </c>
      <c r="O626" s="343"/>
      <c r="P626" s="363">
        <f t="shared" ca="1" si="279"/>
        <v>23</v>
      </c>
      <c r="Q626" s="357">
        <f t="shared" ca="1" si="280"/>
        <v>0</v>
      </c>
      <c r="R626" s="359">
        <f t="shared" ca="1" si="281"/>
        <v>0</v>
      </c>
      <c r="S626" s="360">
        <f t="shared" ca="1" si="282"/>
        <v>9.7379999999999765</v>
      </c>
      <c r="T626" s="357">
        <f t="shared" ca="1" si="262"/>
        <v>95.529779999999775</v>
      </c>
      <c r="U626" s="364">
        <f t="shared" ca="1" si="263"/>
        <v>0</v>
      </c>
      <c r="V626" s="359">
        <f t="shared" ca="1" si="264"/>
        <v>0.95034529277489344</v>
      </c>
      <c r="W626" s="357">
        <f t="shared" ca="1" si="265"/>
        <v>10.839904962439059</v>
      </c>
      <c r="X626" s="343"/>
      <c r="Y626" s="367" t="str">
        <f t="shared" ca="1" si="283"/>
        <v/>
      </c>
      <c r="Z626" s="368" t="str">
        <f t="shared" ca="1" si="284"/>
        <v/>
      </c>
      <c r="AA626" s="369" t="str">
        <f t="shared" ca="1" si="285"/>
        <v/>
      </c>
      <c r="AB626" s="344"/>
      <c r="AC626" s="363" t="e">
        <f t="shared" ca="1" si="286"/>
        <v>#N/A</v>
      </c>
      <c r="AD626" s="376" t="e">
        <f t="shared" ca="1" si="287"/>
        <v>#N/A</v>
      </c>
      <c r="AE626" s="377">
        <f t="shared" ca="1" si="266"/>
        <v>2525.1596437341123</v>
      </c>
      <c r="AF626" s="344"/>
      <c r="AG626" s="359">
        <f t="shared" ca="1" si="288"/>
        <v>-9.25788656642459</v>
      </c>
      <c r="AH626" s="357">
        <f t="shared" ca="1" si="289"/>
        <v>-1.142995513523293</v>
      </c>
    </row>
    <row r="627" spans="1:34" x14ac:dyDescent="0.25">
      <c r="A627" s="402">
        <f t="shared" ca="1" si="267"/>
        <v>0.1</v>
      </c>
      <c r="B627" s="357">
        <f t="shared" ca="1" si="268"/>
        <v>17.299999999999915</v>
      </c>
      <c r="C627" s="342"/>
      <c r="D627" s="359">
        <f t="shared" ca="1" si="269"/>
        <v>-0.6326117673671513</v>
      </c>
      <c r="E627" s="360">
        <f t="shared" ca="1" si="270"/>
        <v>-10.725923995376267</v>
      </c>
      <c r="F627" s="357">
        <f t="shared" ca="1" si="271"/>
        <v>10.744563425416583</v>
      </c>
      <c r="G627" s="359">
        <f t="shared" ca="1" si="272"/>
        <v>40.279328781817149</v>
      </c>
      <c r="H627" s="360">
        <f t="shared" ca="1" si="273"/>
        <v>57.337238218140122</v>
      </c>
      <c r="I627" s="357">
        <f t="shared" ca="1" si="274"/>
        <v>70.071272384604754</v>
      </c>
      <c r="J627" s="359">
        <f t="shared" ca="1" si="275"/>
        <v>783.44266487533844</v>
      </c>
      <c r="K627" s="360">
        <f t="shared" ca="1" si="276"/>
        <v>2530.9469971759031</v>
      </c>
      <c r="L627" s="357">
        <f t="shared" ca="1" si="261"/>
        <v>2649.4292048780417</v>
      </c>
      <c r="M627" s="359">
        <f t="shared" ca="1" si="277"/>
        <v>0.95839542661339117</v>
      </c>
      <c r="N627" s="357">
        <f t="shared" ca="1" si="278"/>
        <v>54.91201304958733</v>
      </c>
      <c r="O627" s="343"/>
      <c r="P627" s="363">
        <f t="shared" ca="1" si="279"/>
        <v>23</v>
      </c>
      <c r="Q627" s="357">
        <f t="shared" ca="1" si="280"/>
        <v>0</v>
      </c>
      <c r="R627" s="359">
        <f t="shared" ca="1" si="281"/>
        <v>0</v>
      </c>
      <c r="S627" s="360">
        <f t="shared" ca="1" si="282"/>
        <v>9.7379999999999765</v>
      </c>
      <c r="T627" s="357">
        <f t="shared" ca="1" si="262"/>
        <v>95.529779999999775</v>
      </c>
      <c r="U627" s="364">
        <f t="shared" ca="1" si="263"/>
        <v>0</v>
      </c>
      <c r="V627" s="359">
        <f t="shared" ca="1" si="264"/>
        <v>0.94978652833109112</v>
      </c>
      <c r="W627" s="357">
        <f t="shared" ca="1" si="265"/>
        <v>10.555665771462483</v>
      </c>
      <c r="X627" s="343"/>
      <c r="Y627" s="367" t="str">
        <f t="shared" ca="1" si="283"/>
        <v/>
      </c>
      <c r="Z627" s="368" t="str">
        <f t="shared" ca="1" si="284"/>
        <v/>
      </c>
      <c r="AA627" s="369" t="str">
        <f t="shared" ca="1" si="285"/>
        <v/>
      </c>
      <c r="AB627" s="344"/>
      <c r="AC627" s="363" t="e">
        <f t="shared" ca="1" si="286"/>
        <v>#N/A</v>
      </c>
      <c r="AD627" s="376" t="e">
        <f t="shared" ca="1" si="287"/>
        <v>#N/A</v>
      </c>
      <c r="AE627" s="377">
        <f t="shared" ca="1" si="266"/>
        <v>2530.9469971759031</v>
      </c>
      <c r="AF627" s="344"/>
      <c r="AG627" s="359">
        <f t="shared" ca="1" si="288"/>
        <v>-9.1849987872444636</v>
      </c>
      <c r="AH627" s="357">
        <f t="shared" ca="1" si="289"/>
        <v>-1.1131551614745414</v>
      </c>
    </row>
    <row r="628" spans="1:34" x14ac:dyDescent="0.25">
      <c r="A628" s="402">
        <f t="shared" ca="1" si="267"/>
        <v>0.1</v>
      </c>
      <c r="B628" s="357">
        <f t="shared" ca="1" si="268"/>
        <v>17.399999999999917</v>
      </c>
      <c r="C628" s="342"/>
      <c r="D628" s="359">
        <f t="shared" ca="1" si="269"/>
        <v>-0.62310047374940536</v>
      </c>
      <c r="E628" s="360">
        <f t="shared" ca="1" si="270"/>
        <v>-10.696977548477259</v>
      </c>
      <c r="F628" s="357">
        <f t="shared" ca="1" si="271"/>
        <v>10.71511002617394</v>
      </c>
      <c r="G628" s="359">
        <f t="shared" ca="1" si="272"/>
        <v>40.217018734442206</v>
      </c>
      <c r="H628" s="360">
        <f t="shared" ca="1" si="273"/>
        <v>56.267540463292399</v>
      </c>
      <c r="I628" s="357">
        <f t="shared" ca="1" si="274"/>
        <v>69.162451559171345</v>
      </c>
      <c r="J628" s="359">
        <f t="shared" ca="1" si="275"/>
        <v>787.46748225115141</v>
      </c>
      <c r="K628" s="360">
        <f t="shared" ca="1" si="276"/>
        <v>2536.6272361099745</v>
      </c>
      <c r="L628" s="357">
        <f t="shared" ca="1" si="261"/>
        <v>2656.0464548983127</v>
      </c>
      <c r="M628" s="359">
        <f t="shared" ca="1" si="277"/>
        <v>0.95024189683864568</v>
      </c>
      <c r="N628" s="357">
        <f t="shared" ca="1" si="278"/>
        <v>54.444850205360162</v>
      </c>
      <c r="O628" s="343"/>
      <c r="P628" s="363">
        <f t="shared" ca="1" si="279"/>
        <v>23</v>
      </c>
      <c r="Q628" s="357">
        <f t="shared" ca="1" si="280"/>
        <v>0</v>
      </c>
      <c r="R628" s="359">
        <f t="shared" ca="1" si="281"/>
        <v>0</v>
      </c>
      <c r="S628" s="360">
        <f t="shared" ca="1" si="282"/>
        <v>9.7379999999999765</v>
      </c>
      <c r="T628" s="357">
        <f t="shared" ca="1" si="262"/>
        <v>95.529779999999775</v>
      </c>
      <c r="U628" s="364">
        <f t="shared" ca="1" si="263"/>
        <v>0</v>
      </c>
      <c r="V628" s="359">
        <f t="shared" ca="1" si="264"/>
        <v>0.94923838476985167</v>
      </c>
      <c r="W628" s="357">
        <f t="shared" ca="1" si="265"/>
        <v>10.277693631186956</v>
      </c>
      <c r="X628" s="343"/>
      <c r="Y628" s="367" t="str">
        <f t="shared" ca="1" si="283"/>
        <v/>
      </c>
      <c r="Z628" s="368" t="str">
        <f t="shared" ca="1" si="284"/>
        <v/>
      </c>
      <c r="AA628" s="369" t="str">
        <f t="shared" ca="1" si="285"/>
        <v/>
      </c>
      <c r="AB628" s="344"/>
      <c r="AC628" s="363" t="e">
        <f t="shared" ca="1" si="286"/>
        <v>#N/A</v>
      </c>
      <c r="AD628" s="376" t="e">
        <f t="shared" ca="1" si="287"/>
        <v>#N/A</v>
      </c>
      <c r="AE628" s="377">
        <f t="shared" ca="1" si="266"/>
        <v>2536.6272361099745</v>
      </c>
      <c r="AF628" s="344"/>
      <c r="AG628" s="359">
        <f t="shared" ca="1" si="288"/>
        <v>-9.1111977423955643</v>
      </c>
      <c r="AH628" s="357">
        <f t="shared" ca="1" si="289"/>
        <v>-1.0839664994313523</v>
      </c>
    </row>
    <row r="629" spans="1:34" x14ac:dyDescent="0.25">
      <c r="A629" s="402">
        <f t="shared" ca="1" si="267"/>
        <v>0.1</v>
      </c>
      <c r="B629" s="357">
        <f t="shared" ca="1" si="268"/>
        <v>17.499999999999918</v>
      </c>
      <c r="C629" s="342"/>
      <c r="D629" s="359">
        <f t="shared" ca="1" si="269"/>
        <v>-0.61371309744709723</v>
      </c>
      <c r="E629" s="360">
        <f t="shared" ca="1" si="270"/>
        <v>-10.668644614397621</v>
      </c>
      <c r="F629" s="357">
        <f t="shared" ca="1" si="271"/>
        <v>10.686281938742468</v>
      </c>
      <c r="G629" s="359">
        <f t="shared" ca="1" si="272"/>
        <v>40.155647424697499</v>
      </c>
      <c r="H629" s="360">
        <f t="shared" ca="1" si="273"/>
        <v>55.200676001852635</v>
      </c>
      <c r="I629" s="357">
        <f t="shared" ca="1" si="274"/>
        <v>68.261194328535765</v>
      </c>
      <c r="J629" s="359">
        <f t="shared" ca="1" si="275"/>
        <v>791.48611555910838</v>
      </c>
      <c r="K629" s="360">
        <f t="shared" ca="1" si="276"/>
        <v>2542.2006469332318</v>
      </c>
      <c r="L629" s="357">
        <f t="shared" ca="1" si="261"/>
        <v>2662.561623773352</v>
      </c>
      <c r="M629" s="359">
        <f t="shared" ca="1" si="277"/>
        <v>0.94188510327377906</v>
      </c>
      <c r="N629" s="357">
        <f t="shared" ca="1" si="278"/>
        <v>53.966041203831217</v>
      </c>
      <c r="O629" s="343"/>
      <c r="P629" s="363">
        <f t="shared" ca="1" si="279"/>
        <v>23</v>
      </c>
      <c r="Q629" s="357">
        <f t="shared" ca="1" si="280"/>
        <v>0</v>
      </c>
      <c r="R629" s="359">
        <f t="shared" ca="1" si="281"/>
        <v>0</v>
      </c>
      <c r="S629" s="360">
        <f t="shared" ca="1" si="282"/>
        <v>9.7379999999999765</v>
      </c>
      <c r="T629" s="357">
        <f t="shared" ca="1" si="262"/>
        <v>95.529779999999775</v>
      </c>
      <c r="U629" s="364">
        <f t="shared" ca="1" si="263"/>
        <v>0</v>
      </c>
      <c r="V629" s="359">
        <f t="shared" ca="1" si="264"/>
        <v>0.94870081863175293</v>
      </c>
      <c r="W629" s="357">
        <f t="shared" ca="1" si="265"/>
        <v>10.005911525558766</v>
      </c>
      <c r="X629" s="343"/>
      <c r="Y629" s="367" t="str">
        <f t="shared" ca="1" si="283"/>
        <v/>
      </c>
      <c r="Z629" s="368" t="str">
        <f t="shared" ca="1" si="284"/>
        <v/>
      </c>
      <c r="AA629" s="369" t="str">
        <f t="shared" ca="1" si="285"/>
        <v/>
      </c>
      <c r="AB629" s="344"/>
      <c r="AC629" s="363" t="e">
        <f t="shared" ca="1" si="286"/>
        <v>#N/A</v>
      </c>
      <c r="AD629" s="376" t="e">
        <f t="shared" ca="1" si="287"/>
        <v>#N/A</v>
      </c>
      <c r="AE629" s="377">
        <f t="shared" ca="1" si="266"/>
        <v>2542.2006469332318</v>
      </c>
      <c r="AF629" s="344"/>
      <c r="AG629" s="359">
        <f t="shared" ca="1" si="288"/>
        <v>-9.0364076110288085</v>
      </c>
      <c r="AH629" s="357">
        <f t="shared" ca="1" si="289"/>
        <v>-1.0554214039009018</v>
      </c>
    </row>
    <row r="630" spans="1:34" x14ac:dyDescent="0.25">
      <c r="A630" s="402">
        <f t="shared" ca="1" si="267"/>
        <v>0.1</v>
      </c>
      <c r="B630" s="357">
        <f t="shared" ca="1" si="268"/>
        <v>17.59999999999992</v>
      </c>
      <c r="C630" s="342"/>
      <c r="D630" s="359">
        <f t="shared" ca="1" si="269"/>
        <v>-0.60444896459698982</v>
      </c>
      <c r="E630" s="360">
        <f t="shared" ca="1" si="270"/>
        <v>-10.640916535885614</v>
      </c>
      <c r="F630" s="357">
        <f t="shared" ca="1" si="271"/>
        <v>10.658070335407167</v>
      </c>
      <c r="G630" s="359">
        <f t="shared" ca="1" si="272"/>
        <v>40.095202528237799</v>
      </c>
      <c r="H630" s="360">
        <f t="shared" ca="1" si="273"/>
        <v>54.136584348264073</v>
      </c>
      <c r="I630" s="357">
        <f t="shared" ca="1" si="274"/>
        <v>67.367611139754075</v>
      </c>
      <c r="J630" s="359">
        <f t="shared" ca="1" si="275"/>
        <v>795.49865805675518</v>
      </c>
      <c r="K630" s="360">
        <f t="shared" ca="1" si="276"/>
        <v>2547.6675099507379</v>
      </c>
      <c r="L630" s="357">
        <f t="shared" ca="1" si="261"/>
        <v>2668.9750572511334</v>
      </c>
      <c r="M630" s="359">
        <f t="shared" ca="1" si="277"/>
        <v>0.93331875117105678</v>
      </c>
      <c r="N630" s="357">
        <f t="shared" ca="1" si="278"/>
        <v>53.475225382522211</v>
      </c>
      <c r="O630" s="343"/>
      <c r="P630" s="363">
        <f t="shared" ca="1" si="279"/>
        <v>23</v>
      </c>
      <c r="Q630" s="357">
        <f t="shared" ca="1" si="280"/>
        <v>0</v>
      </c>
      <c r="R630" s="359">
        <f t="shared" ca="1" si="281"/>
        <v>0</v>
      </c>
      <c r="S630" s="360">
        <f t="shared" ca="1" si="282"/>
        <v>9.7379999999999765</v>
      </c>
      <c r="T630" s="357">
        <f t="shared" ca="1" si="262"/>
        <v>95.529779999999775</v>
      </c>
      <c r="U630" s="364">
        <f t="shared" ca="1" si="263"/>
        <v>0</v>
      </c>
      <c r="V630" s="359">
        <f t="shared" ca="1" si="264"/>
        <v>0.94817378741616265</v>
      </c>
      <c r="W630" s="357">
        <f t="shared" ca="1" si="265"/>
        <v>9.7402444804689541</v>
      </c>
      <c r="X630" s="343"/>
      <c r="Y630" s="367" t="str">
        <f t="shared" ca="1" si="283"/>
        <v/>
      </c>
      <c r="Z630" s="368" t="str">
        <f t="shared" ca="1" si="284"/>
        <v/>
      </c>
      <c r="AA630" s="369" t="str">
        <f t="shared" ca="1" si="285"/>
        <v/>
      </c>
      <c r="AB630" s="344"/>
      <c r="AC630" s="363" t="e">
        <f t="shared" ca="1" si="286"/>
        <v>#N/A</v>
      </c>
      <c r="AD630" s="376" t="e">
        <f t="shared" ca="1" si="287"/>
        <v>#N/A</v>
      </c>
      <c r="AE630" s="377">
        <f t="shared" ca="1" si="266"/>
        <v>2547.6675099507379</v>
      </c>
      <c r="AF630" s="344"/>
      <c r="AG630" s="359">
        <f t="shared" ca="1" si="288"/>
        <v>-8.9605497176755655</v>
      </c>
      <c r="AH630" s="357">
        <f t="shared" ca="1" si="289"/>
        <v>-1.0275119660668299</v>
      </c>
    </row>
    <row r="631" spans="1:34" x14ac:dyDescent="0.25">
      <c r="A631" s="402">
        <f t="shared" ca="1" si="267"/>
        <v>0.1</v>
      </c>
      <c r="B631" s="357">
        <f t="shared" ca="1" si="268"/>
        <v>17.699999999999921</v>
      </c>
      <c r="C631" s="342"/>
      <c r="D631" s="359">
        <f t="shared" ca="1" si="269"/>
        <v>-0.59530749665459848</v>
      </c>
      <c r="E631" s="360">
        <f t="shared" ca="1" si="270"/>
        <v>-10.613784804007375</v>
      </c>
      <c r="F631" s="357">
        <f t="shared" ca="1" si="271"/>
        <v>10.630466541095506</v>
      </c>
      <c r="G631" s="359">
        <f t="shared" ca="1" si="272"/>
        <v>40.035671778572336</v>
      </c>
      <c r="H631" s="360">
        <f t="shared" ca="1" si="273"/>
        <v>53.075205867863332</v>
      </c>
      <c r="I631" s="357">
        <f t="shared" ca="1" si="274"/>
        <v>66.481820768369815</v>
      </c>
      <c r="J631" s="359">
        <f t="shared" ca="1" si="275"/>
        <v>799.50520177209569</v>
      </c>
      <c r="K631" s="360">
        <f t="shared" ca="1" si="276"/>
        <v>2553.0280994615441</v>
      </c>
      <c r="L631" s="357">
        <f t="shared" ca="1" si="261"/>
        <v>2675.287095677932</v>
      </c>
      <c r="M631" s="359">
        <f t="shared" ca="1" si="277"/>
        <v>0.92453635651601418</v>
      </c>
      <c r="N631" s="357">
        <f t="shared" ca="1" si="278"/>
        <v>52.972031234770022</v>
      </c>
      <c r="O631" s="343"/>
      <c r="P631" s="363">
        <f t="shared" ca="1" si="279"/>
        <v>23</v>
      </c>
      <c r="Q631" s="357">
        <f t="shared" ca="1" si="280"/>
        <v>0</v>
      </c>
      <c r="R631" s="359">
        <f t="shared" ca="1" si="281"/>
        <v>0</v>
      </c>
      <c r="S631" s="360">
        <f t="shared" ca="1" si="282"/>
        <v>9.7379999999999765</v>
      </c>
      <c r="T631" s="357">
        <f t="shared" ca="1" si="262"/>
        <v>95.529779999999775</v>
      </c>
      <c r="U631" s="364">
        <f t="shared" ca="1" si="263"/>
        <v>0</v>
      </c>
      <c r="V631" s="359">
        <f t="shared" ca="1" si="264"/>
        <v>0.94765724956773667</v>
      </c>
      <c r="W631" s="357">
        <f t="shared" ca="1" si="265"/>
        <v>9.4806195166487726</v>
      </c>
      <c r="X631" s="343"/>
      <c r="Y631" s="367" t="str">
        <f t="shared" ca="1" si="283"/>
        <v/>
      </c>
      <c r="Z631" s="368" t="str">
        <f t="shared" ca="1" si="284"/>
        <v/>
      </c>
      <c r="AA631" s="369" t="str">
        <f t="shared" ca="1" si="285"/>
        <v/>
      </c>
      <c r="AB631" s="344"/>
      <c r="AC631" s="363" t="e">
        <f t="shared" ca="1" si="286"/>
        <v>#N/A</v>
      </c>
      <c r="AD631" s="376" t="e">
        <f t="shared" ca="1" si="287"/>
        <v>#N/A</v>
      </c>
      <c r="AE631" s="377">
        <f t="shared" ca="1" si="266"/>
        <v>2553.0280994615441</v>
      </c>
      <c r="AF631" s="344"/>
      <c r="AG631" s="359">
        <f t="shared" ca="1" si="288"/>
        <v>-8.8835424147651878</v>
      </c>
      <c r="AH631" s="357">
        <f t="shared" ca="1" si="289"/>
        <v>-1.0002304868010863</v>
      </c>
    </row>
    <row r="632" spans="1:34" x14ac:dyDescent="0.25">
      <c r="A632" s="402">
        <f t="shared" ca="1" si="267"/>
        <v>0.1</v>
      </c>
      <c r="B632" s="357">
        <f t="shared" ca="1" si="268"/>
        <v>17.799999999999923</v>
      </c>
      <c r="C632" s="342"/>
      <c r="D632" s="359">
        <f t="shared" ca="1" si="269"/>
        <v>-0.58628821198347503</v>
      </c>
      <c r="E632" s="360">
        <f t="shared" ca="1" si="270"/>
        <v>-10.587241049457772</v>
      </c>
      <c r="F632" s="357">
        <f t="shared" ca="1" si="271"/>
        <v>10.603462024585861</v>
      </c>
      <c r="G632" s="359">
        <f t="shared" ca="1" si="272"/>
        <v>39.977042957373989</v>
      </c>
      <c r="H632" s="360">
        <f t="shared" ca="1" si="273"/>
        <v>52.016481762917557</v>
      </c>
      <c r="I632" s="357">
        <f t="shared" ca="1" si="274"/>
        <v>65.603950632623182</v>
      </c>
      <c r="J632" s="359">
        <f t="shared" ca="1" si="275"/>
        <v>803.50583750889302</v>
      </c>
      <c r="K632" s="360">
        <f t="shared" ca="1" si="276"/>
        <v>2558.2826838430833</v>
      </c>
      <c r="L632" s="357">
        <f t="shared" ca="1" si="261"/>
        <v>2681.4980740925839</v>
      </c>
      <c r="M632" s="359">
        <f t="shared" ca="1" si="277"/>
        <v>0.91553124492627003</v>
      </c>
      <c r="N632" s="357">
        <f t="shared" ca="1" si="278"/>
        <v>52.456076346633338</v>
      </c>
      <c r="O632" s="343"/>
      <c r="P632" s="363">
        <f t="shared" ca="1" si="279"/>
        <v>23</v>
      </c>
      <c r="Q632" s="357">
        <f t="shared" ca="1" si="280"/>
        <v>0</v>
      </c>
      <c r="R632" s="359">
        <f t="shared" ca="1" si="281"/>
        <v>0</v>
      </c>
      <c r="S632" s="360">
        <f t="shared" ca="1" si="282"/>
        <v>9.7379999999999765</v>
      </c>
      <c r="T632" s="357">
        <f t="shared" ca="1" si="262"/>
        <v>95.529779999999775</v>
      </c>
      <c r="U632" s="364">
        <f t="shared" ca="1" si="263"/>
        <v>0</v>
      </c>
      <c r="V632" s="359">
        <f t="shared" ca="1" si="264"/>
        <v>0.94715116446320913</v>
      </c>
      <c r="W632" s="357">
        <f t="shared" ca="1" si="265"/>
        <v>9.2269656039781793</v>
      </c>
      <c r="X632" s="343"/>
      <c r="Y632" s="367" t="str">
        <f t="shared" ca="1" si="283"/>
        <v/>
      </c>
      <c r="Z632" s="368" t="str">
        <f t="shared" ca="1" si="284"/>
        <v/>
      </c>
      <c r="AA632" s="369" t="str">
        <f t="shared" ca="1" si="285"/>
        <v/>
      </c>
      <c r="AB632" s="344"/>
      <c r="AC632" s="363" t="e">
        <f t="shared" ca="1" si="286"/>
        <v>#N/A</v>
      </c>
      <c r="AD632" s="376" t="e">
        <f t="shared" ca="1" si="287"/>
        <v>#N/A</v>
      </c>
      <c r="AE632" s="377">
        <f t="shared" ca="1" si="266"/>
        <v>2558.2826838430833</v>
      </c>
      <c r="AF632" s="344"/>
      <c r="AG632" s="359">
        <f t="shared" ca="1" si="288"/>
        <v>-8.8053009669343236</v>
      </c>
      <c r="AH632" s="357">
        <f t="shared" ca="1" si="289"/>
        <v>-0.97356947182674014</v>
      </c>
    </row>
    <row r="633" spans="1:34" x14ac:dyDescent="0.25">
      <c r="A633" s="402">
        <f t="shared" ca="1" si="267"/>
        <v>0.1</v>
      </c>
      <c r="B633" s="357">
        <f t="shared" ca="1" si="268"/>
        <v>17.899999999999924</v>
      </c>
      <c r="C633" s="342"/>
      <c r="D633" s="359">
        <f t="shared" ca="1" si="269"/>
        <v>-0.57739072756113741</v>
      </c>
      <c r="E633" s="360">
        <f t="shared" ca="1" si="270"/>
        <v>-10.561277033728722</v>
      </c>
      <c r="F633" s="357">
        <f t="shared" ca="1" si="271"/>
        <v>10.577048389576333</v>
      </c>
      <c r="G633" s="359">
        <f t="shared" ca="1" si="272"/>
        <v>39.919303884617875</v>
      </c>
      <c r="H633" s="360">
        <f t="shared" ca="1" si="273"/>
        <v>50.960354059544684</v>
      </c>
      <c r="I633" s="357">
        <f t="shared" ca="1" si="274"/>
        <v>64.734137118730644</v>
      </c>
      <c r="J633" s="359">
        <f t="shared" ca="1" si="275"/>
        <v>807.50065485099265</v>
      </c>
      <c r="K633" s="360">
        <f t="shared" ca="1" si="276"/>
        <v>2563.4315256342065</v>
      </c>
      <c r="L633" s="357">
        <f t="shared" ca="1" si="261"/>
        <v>2687.608322319325</v>
      </c>
      <c r="M633" s="359">
        <f t="shared" ca="1" si="277"/>
        <v>0.90629655132622278</v>
      </c>
      <c r="N633" s="357">
        <f t="shared" ca="1" si="278"/>
        <v>51.926967378254155</v>
      </c>
      <c r="O633" s="343"/>
      <c r="P633" s="363">
        <f t="shared" ca="1" si="279"/>
        <v>23</v>
      </c>
      <c r="Q633" s="357">
        <f t="shared" ca="1" si="280"/>
        <v>0</v>
      </c>
      <c r="R633" s="359">
        <f t="shared" ca="1" si="281"/>
        <v>0</v>
      </c>
      <c r="S633" s="360">
        <f t="shared" ca="1" si="282"/>
        <v>9.7379999999999765</v>
      </c>
      <c r="T633" s="357">
        <f t="shared" ca="1" si="262"/>
        <v>95.529779999999775</v>
      </c>
      <c r="U633" s="364">
        <f t="shared" ca="1" si="263"/>
        <v>0</v>
      </c>
      <c r="V633" s="359">
        <f t="shared" ca="1" si="264"/>
        <v>0.94665549239845637</v>
      </c>
      <c r="W633" s="357">
        <f t="shared" ca="1" si="265"/>
        <v>8.9792136171517001</v>
      </c>
      <c r="X633" s="343"/>
      <c r="Y633" s="367" t="str">
        <f t="shared" ca="1" si="283"/>
        <v/>
      </c>
      <c r="Z633" s="368" t="str">
        <f t="shared" ca="1" si="284"/>
        <v/>
      </c>
      <c r="AA633" s="369" t="str">
        <f t="shared" ca="1" si="285"/>
        <v/>
      </c>
      <c r="AB633" s="344"/>
      <c r="AC633" s="363" t="e">
        <f t="shared" ca="1" si="286"/>
        <v>#N/A</v>
      </c>
      <c r="AD633" s="376" t="e">
        <f t="shared" ca="1" si="287"/>
        <v>#N/A</v>
      </c>
      <c r="AE633" s="377">
        <f t="shared" ca="1" si="266"/>
        <v>2563.4315256342065</v>
      </c>
      <c r="AF633" s="344"/>
      <c r="AG633" s="359">
        <f t="shared" ca="1" si="288"/>
        <v>-8.7257374383229553</v>
      </c>
      <c r="AH633" s="357">
        <f t="shared" ca="1" si="289"/>
        <v>-0.94752162702589871</v>
      </c>
    </row>
    <row r="634" spans="1:34" x14ac:dyDescent="0.25">
      <c r="A634" s="402">
        <f t="shared" ca="1" si="267"/>
        <v>0.1</v>
      </c>
      <c r="B634" s="357">
        <f t="shared" ca="1" si="268"/>
        <v>17.999999999999925</v>
      </c>
      <c r="C634" s="342"/>
      <c r="D634" s="359">
        <f t="shared" ca="1" si="269"/>
        <v>-0.5686147607975014</v>
      </c>
      <c r="E634" s="360">
        <f t="shared" ca="1" si="270"/>
        <v>-10.535884640109911</v>
      </c>
      <c r="F634" s="357">
        <f t="shared" ca="1" si="271"/>
        <v>10.551217365588709</v>
      </c>
      <c r="G634" s="359">
        <f t="shared" ca="1" si="272"/>
        <v>39.862442408538122</v>
      </c>
      <c r="H634" s="360">
        <f t="shared" ca="1" si="273"/>
        <v>49.906765595533692</v>
      </c>
      <c r="I634" s="357">
        <f t="shared" ca="1" si="274"/>
        <v>63.872525916716057</v>
      </c>
      <c r="J634" s="359">
        <f t="shared" ca="1" si="275"/>
        <v>811.48974216565045</v>
      </c>
      <c r="K634" s="360">
        <f t="shared" ca="1" si="276"/>
        <v>2568.4748816169604</v>
      </c>
      <c r="L634" s="357">
        <f t="shared" ca="1" si="261"/>
        <v>2693.6181650592816</v>
      </c>
      <c r="M634" s="359">
        <f t="shared" ca="1" si="277"/>
        <v>0.89682522052340718</v>
      </c>
      <c r="N634" s="357">
        <f t="shared" ca="1" si="278"/>
        <v>51.384300096880573</v>
      </c>
      <c r="O634" s="343"/>
      <c r="P634" s="363">
        <f t="shared" ca="1" si="279"/>
        <v>23</v>
      </c>
      <c r="Q634" s="357">
        <f t="shared" ca="1" si="280"/>
        <v>0</v>
      </c>
      <c r="R634" s="359">
        <f t="shared" ca="1" si="281"/>
        <v>0</v>
      </c>
      <c r="S634" s="360">
        <f t="shared" ca="1" si="282"/>
        <v>9.7379999999999765</v>
      </c>
      <c r="T634" s="357">
        <f t="shared" ca="1" si="262"/>
        <v>95.529779999999775</v>
      </c>
      <c r="U634" s="364">
        <f t="shared" ca="1" si="263"/>
        <v>0</v>
      </c>
      <c r="V634" s="359">
        <f t="shared" ca="1" si="264"/>
        <v>0.94617019457582896</v>
      </c>
      <c r="W634" s="357">
        <f t="shared" ca="1" si="265"/>
        <v>8.7372962926476152</v>
      </c>
      <c r="X634" s="343"/>
      <c r="Y634" s="367" t="str">
        <f t="shared" ca="1" si="283"/>
        <v/>
      </c>
      <c r="Z634" s="368" t="str">
        <f t="shared" ca="1" si="284"/>
        <v/>
      </c>
      <c r="AA634" s="369" t="str">
        <f t="shared" ca="1" si="285"/>
        <v/>
      </c>
      <c r="AB634" s="344"/>
      <c r="AC634" s="363">
        <f t="shared" ca="1" si="286"/>
        <v>17.999999999999925</v>
      </c>
      <c r="AD634" s="376">
        <f t="shared" ca="1" si="287"/>
        <v>811.48974216565045</v>
      </c>
      <c r="AE634" s="377">
        <f t="shared" ca="1" si="266"/>
        <v>2568.4748816169604</v>
      </c>
      <c r="AF634" s="344"/>
      <c r="AG634" s="359">
        <f t="shared" ca="1" si="288"/>
        <v>-8.6447605842598385</v>
      </c>
      <c r="AH634" s="357">
        <f t="shared" ca="1" si="289"/>
        <v>-0.92207985388701186</v>
      </c>
    </row>
    <row r="635" spans="1:34" x14ac:dyDescent="0.25">
      <c r="A635" s="402">
        <f t="shared" ca="1" si="267"/>
        <v>0.1</v>
      </c>
      <c r="B635" s="357">
        <f t="shared" ca="1" si="268"/>
        <v>18.099999999999927</v>
      </c>
      <c r="C635" s="342"/>
      <c r="D635" s="359">
        <f t="shared" ca="1" si="269"/>
        <v>-0.55996013146047263</v>
      </c>
      <c r="E635" s="360">
        <f t="shared" ca="1" si="270"/>
        <v>-10.511055864496059</v>
      </c>
      <c r="F635" s="357">
        <f t="shared" ca="1" si="271"/>
        <v>10.525960798681622</v>
      </c>
      <c r="G635" s="359">
        <f t="shared" ca="1" si="272"/>
        <v>39.806446395392072</v>
      </c>
      <c r="H635" s="360">
        <f t="shared" ca="1" si="273"/>
        <v>48.855660009084083</v>
      </c>
      <c r="I635" s="357">
        <f t="shared" ca="1" si="274"/>
        <v>63.019272366097979</v>
      </c>
      <c r="J635" s="359">
        <f t="shared" ca="1" si="275"/>
        <v>815.47318660584699</v>
      </c>
      <c r="K635" s="360">
        <f t="shared" ca="1" si="276"/>
        <v>2573.4130028971913</v>
      </c>
      <c r="L635" s="357">
        <f t="shared" ca="1" si="261"/>
        <v>2699.5279219806998</v>
      </c>
      <c r="M635" s="359">
        <f t="shared" ca="1" si="277"/>
        <v>0.88711000882637003</v>
      </c>
      <c r="N635" s="357">
        <f t="shared" ca="1" si="278"/>
        <v>50.82765946956421</v>
      </c>
      <c r="O635" s="343"/>
      <c r="P635" s="363">
        <f t="shared" ca="1" si="279"/>
        <v>23</v>
      </c>
      <c r="Q635" s="357">
        <f t="shared" ca="1" si="280"/>
        <v>0</v>
      </c>
      <c r="R635" s="359">
        <f t="shared" ca="1" si="281"/>
        <v>0</v>
      </c>
      <c r="S635" s="360">
        <f t="shared" ca="1" si="282"/>
        <v>9.7379999999999765</v>
      </c>
      <c r="T635" s="357">
        <f t="shared" ca="1" si="262"/>
        <v>95.529779999999775</v>
      </c>
      <c r="U635" s="364">
        <f t="shared" ca="1" si="263"/>
        <v>0</v>
      </c>
      <c r="V635" s="359">
        <f t="shared" ca="1" si="264"/>
        <v>0.94569523309173842</v>
      </c>
      <c r="W635" s="357">
        <f t="shared" ca="1" si="265"/>
        <v>8.5011481869476775</v>
      </c>
      <c r="X635" s="343"/>
      <c r="Y635" s="367" t="str">
        <f t="shared" ca="1" si="283"/>
        <v/>
      </c>
      <c r="Z635" s="368" t="str">
        <f t="shared" ca="1" si="284"/>
        <v/>
      </c>
      <c r="AA635" s="369" t="str">
        <f t="shared" ca="1" si="285"/>
        <v/>
      </c>
      <c r="AB635" s="344"/>
      <c r="AC635" s="363" t="e">
        <f t="shared" ca="1" si="286"/>
        <v>#N/A</v>
      </c>
      <c r="AD635" s="376" t="e">
        <f t="shared" ca="1" si="287"/>
        <v>#N/A</v>
      </c>
      <c r="AE635" s="377">
        <f t="shared" ca="1" si="266"/>
        <v>2573.4130028971913</v>
      </c>
      <c r="AF635" s="344"/>
      <c r="AG635" s="359">
        <f t="shared" ca="1" si="288"/>
        <v>-8.5622757489735921</v>
      </c>
      <c r="AH635" s="357">
        <f t="shared" ca="1" si="289"/>
        <v>-0.89723724508601732</v>
      </c>
    </row>
    <row r="636" spans="1:34" x14ac:dyDescent="0.25">
      <c r="A636" s="402">
        <f t="shared" ca="1" si="267"/>
        <v>0.1</v>
      </c>
      <c r="B636" s="357">
        <f t="shared" ca="1" si="268"/>
        <v>18.199999999999928</v>
      </c>
      <c r="C636" s="342"/>
      <c r="D636" s="359">
        <f t="shared" ca="1" si="269"/>
        <v>-0.55142676370193244</v>
      </c>
      <c r="E636" s="360">
        <f t="shared" ca="1" si="270"/>
        <v>-10.486782805974103</v>
      </c>
      <c r="F636" s="357">
        <f t="shared" ca="1" si="271"/>
        <v>10.501270641946187</v>
      </c>
      <c r="G636" s="359">
        <f t="shared" ca="1" si="272"/>
        <v>39.751303719021877</v>
      </c>
      <c r="H636" s="360">
        <f t="shared" ca="1" si="273"/>
        <v>47.806981728486676</v>
      </c>
      <c r="I636" s="357">
        <f t="shared" ca="1" si="274"/>
        <v>62.174541810533526</v>
      </c>
      <c r="J636" s="359">
        <f t="shared" ca="1" si="275"/>
        <v>819.45107411156766</v>
      </c>
      <c r="K636" s="360">
        <f t="shared" ca="1" si="276"/>
        <v>2578.2461349840696</v>
      </c>
      <c r="L636" s="357">
        <f t="shared" ca="1" si="261"/>
        <v>2705.337907807987</v>
      </c>
      <c r="M636" s="359">
        <f t="shared" ca="1" si="277"/>
        <v>0.8771434868590432</v>
      </c>
      <c r="N636" s="357">
        <f t="shared" ca="1" si="278"/>
        <v>50.256619824411963</v>
      </c>
      <c r="O636" s="343"/>
      <c r="P636" s="363">
        <f t="shared" ca="1" si="279"/>
        <v>23</v>
      </c>
      <c r="Q636" s="357">
        <f t="shared" ca="1" si="280"/>
        <v>0</v>
      </c>
      <c r="R636" s="359">
        <f t="shared" ca="1" si="281"/>
        <v>0</v>
      </c>
      <c r="S636" s="360">
        <f t="shared" ca="1" si="282"/>
        <v>9.7379999999999765</v>
      </c>
      <c r="T636" s="357">
        <f t="shared" ca="1" si="262"/>
        <v>95.529779999999775</v>
      </c>
      <c r="U636" s="364">
        <f t="shared" ca="1" si="263"/>
        <v>0</v>
      </c>
      <c r="V636" s="359">
        <f t="shared" ca="1" si="264"/>
        <v>0.94523057092448393</v>
      </c>
      <c r="W636" s="357">
        <f t="shared" ca="1" si="265"/>
        <v>8.270705635955677</v>
      </c>
      <c r="X636" s="343"/>
      <c r="Y636" s="367" t="str">
        <f t="shared" ca="1" si="283"/>
        <v/>
      </c>
      <c r="Z636" s="368" t="str">
        <f t="shared" ca="1" si="284"/>
        <v/>
      </c>
      <c r="AA636" s="369" t="str">
        <f t="shared" ca="1" si="285"/>
        <v/>
      </c>
      <c r="AB636" s="344"/>
      <c r="AC636" s="363" t="e">
        <f t="shared" ca="1" si="286"/>
        <v>#N/A</v>
      </c>
      <c r="AD636" s="376" t="e">
        <f t="shared" ca="1" si="287"/>
        <v>#N/A</v>
      </c>
      <c r="AE636" s="377">
        <f t="shared" ca="1" si="266"/>
        <v>2578.2461349840696</v>
      </c>
      <c r="AF636" s="344"/>
      <c r="AG636" s="359">
        <f t="shared" ca="1" si="288"/>
        <v>-8.4781847712271059</v>
      </c>
      <c r="AH636" s="357">
        <f t="shared" ca="1" si="289"/>
        <v>-0.87298708019590243</v>
      </c>
    </row>
    <row r="637" spans="1:34" x14ac:dyDescent="0.25">
      <c r="A637" s="402">
        <f t="shared" ca="1" si="267"/>
        <v>0.1</v>
      </c>
      <c r="B637" s="357">
        <f t="shared" ca="1" si="268"/>
        <v>18.29999999999993</v>
      </c>
      <c r="C637" s="342"/>
      <c r="D637" s="359">
        <f t="shared" ca="1" si="269"/>
        <v>-0.54301468817569187</v>
      </c>
      <c r="E637" s="360">
        <f t="shared" ca="1" si="270"/>
        <v>-10.463057657162897</v>
      </c>
      <c r="F637" s="357">
        <f t="shared" ca="1" si="271"/>
        <v>10.477138945756598</v>
      </c>
      <c r="G637" s="359">
        <f t="shared" ca="1" si="272"/>
        <v>39.697002250204307</v>
      </c>
      <c r="H637" s="360">
        <f t="shared" ca="1" si="273"/>
        <v>46.760675962770385</v>
      </c>
      <c r="I637" s="357">
        <f t="shared" ca="1" si="274"/>
        <v>61.33850996028464</v>
      </c>
      <c r="J637" s="359">
        <f t="shared" ca="1" si="275"/>
        <v>823.42348941002899</v>
      </c>
      <c r="K637" s="360">
        <f t="shared" ca="1" si="276"/>
        <v>2582.9745178686326</v>
      </c>
      <c r="L637" s="357">
        <f t="shared" ca="1" si="261"/>
        <v>2711.0484324096615</v>
      </c>
      <c r="M637" s="359">
        <f t="shared" ca="1" si="277"/>
        <v>0.86691804374271542</v>
      </c>
      <c r="N637" s="357">
        <f t="shared" ca="1" si="278"/>
        <v>49.670745090195283</v>
      </c>
      <c r="O637" s="343"/>
      <c r="P637" s="363">
        <f t="shared" ca="1" si="279"/>
        <v>23</v>
      </c>
      <c r="Q637" s="357">
        <f t="shared" ca="1" si="280"/>
        <v>0</v>
      </c>
      <c r="R637" s="359">
        <f t="shared" ca="1" si="281"/>
        <v>0</v>
      </c>
      <c r="S637" s="360">
        <f t="shared" ca="1" si="282"/>
        <v>9.7379999999999765</v>
      </c>
      <c r="T637" s="357">
        <f t="shared" ca="1" si="262"/>
        <v>95.529779999999775</v>
      </c>
      <c r="U637" s="364">
        <f t="shared" ca="1" si="263"/>
        <v>0</v>
      </c>
      <c r="V637" s="359">
        <f t="shared" ca="1" si="264"/>
        <v>0.9447761719223069</v>
      </c>
      <c r="W637" s="357">
        <f t="shared" ca="1" si="265"/>
        <v>8.0459067155643886</v>
      </c>
      <c r="X637" s="343"/>
      <c r="Y637" s="367" t="str">
        <f t="shared" ca="1" si="283"/>
        <v/>
      </c>
      <c r="Z637" s="368" t="str">
        <f t="shared" ca="1" si="284"/>
        <v/>
      </c>
      <c r="AA637" s="369" t="str">
        <f t="shared" ca="1" si="285"/>
        <v/>
      </c>
      <c r="AB637" s="344"/>
      <c r="AC637" s="363" t="e">
        <f t="shared" ca="1" si="286"/>
        <v>#N/A</v>
      </c>
      <c r="AD637" s="376" t="e">
        <f t="shared" ca="1" si="287"/>
        <v>#N/A</v>
      </c>
      <c r="AE637" s="377">
        <f t="shared" ca="1" si="266"/>
        <v>2582.9745178686326</v>
      </c>
      <c r="AF637" s="344"/>
      <c r="AG637" s="359">
        <f t="shared" ca="1" si="288"/>
        <v>-8.3923859000638394</v>
      </c>
      <c r="AH637" s="357">
        <f t="shared" ca="1" si="289"/>
        <v>-0.84932282151937744</v>
      </c>
    </row>
    <row r="638" spans="1:34" x14ac:dyDescent="0.25">
      <c r="A638" s="402">
        <f t="shared" ca="1" si="267"/>
        <v>0.1</v>
      </c>
      <c r="B638" s="357">
        <f t="shared" ca="1" si="268"/>
        <v>18.399999999999931</v>
      </c>
      <c r="C638" s="342"/>
      <c r="D638" s="359">
        <f t="shared" ca="1" si="269"/>
        <v>-0.53472404423710895</v>
      </c>
      <c r="E638" s="360">
        <f t="shared" ca="1" si="270"/>
        <v>-10.439872694277435</v>
      </c>
      <c r="F638" s="357">
        <f t="shared" ca="1" si="271"/>
        <v>10.453557847747573</v>
      </c>
      <c r="G638" s="359">
        <f t="shared" ca="1" si="272"/>
        <v>39.643529845780598</v>
      </c>
      <c r="H638" s="360">
        <f t="shared" ca="1" si="273"/>
        <v>45.71668869334264</v>
      </c>
      <c r="I638" s="357">
        <f t="shared" ca="1" si="274"/>
        <v>60.511363261104108</v>
      </c>
      <c r="J638" s="359">
        <f t="shared" ca="1" si="275"/>
        <v>827.39051601482822</v>
      </c>
      <c r="K638" s="360">
        <f t="shared" ca="1" si="276"/>
        <v>2587.5983861014383</v>
      </c>
      <c r="L638" s="357">
        <f t="shared" ca="1" si="261"/>
        <v>2716.6598008852807</v>
      </c>
      <c r="M638" s="359">
        <f t="shared" ca="1" si="277"/>
        <v>0.85642589283378179</v>
      </c>
      <c r="N638" s="357">
        <f t="shared" ca="1" si="278"/>
        <v>49.069589125099029</v>
      </c>
      <c r="O638" s="343"/>
      <c r="P638" s="363">
        <f t="shared" ca="1" si="279"/>
        <v>23</v>
      </c>
      <c r="Q638" s="357">
        <f t="shared" ca="1" si="280"/>
        <v>0</v>
      </c>
      <c r="R638" s="359">
        <f t="shared" ca="1" si="281"/>
        <v>0</v>
      </c>
      <c r="S638" s="360">
        <f t="shared" ca="1" si="282"/>
        <v>9.7379999999999765</v>
      </c>
      <c r="T638" s="357">
        <f t="shared" ca="1" si="262"/>
        <v>95.529779999999775</v>
      </c>
      <c r="U638" s="364">
        <f t="shared" ca="1" si="263"/>
        <v>0</v>
      </c>
      <c r="V638" s="359">
        <f t="shared" ca="1" si="264"/>
        <v>0.94433200079166424</v>
      </c>
      <c r="W638" s="357">
        <f t="shared" ca="1" si="265"/>
        <v>7.8266912033213281</v>
      </c>
      <c r="X638" s="343"/>
      <c r="Y638" s="367" t="str">
        <f t="shared" ca="1" si="283"/>
        <v/>
      </c>
      <c r="Z638" s="368" t="str">
        <f t="shared" ca="1" si="284"/>
        <v/>
      </c>
      <c r="AA638" s="369" t="str">
        <f t="shared" ca="1" si="285"/>
        <v/>
      </c>
      <c r="AB638" s="344"/>
      <c r="AC638" s="363" t="e">
        <f t="shared" ca="1" si="286"/>
        <v>#N/A</v>
      </c>
      <c r="AD638" s="376" t="e">
        <f t="shared" ca="1" si="287"/>
        <v>#N/A</v>
      </c>
      <c r="AE638" s="377">
        <f t="shared" ca="1" si="266"/>
        <v>2587.5983861014383</v>
      </c>
      <c r="AF638" s="344"/>
      <c r="AG638" s="359">
        <f t="shared" ca="1" si="288"/>
        <v>-8.304773723176968</v>
      </c>
      <c r="AH638" s="357">
        <f t="shared" ca="1" si="289"/>
        <v>-0.826238110039475</v>
      </c>
    </row>
    <row r="639" spans="1:34" x14ac:dyDescent="0.25">
      <c r="A639" s="402">
        <f t="shared" ca="1" si="267"/>
        <v>0.1</v>
      </c>
      <c r="B639" s="357">
        <f t="shared" ca="1" si="268"/>
        <v>18.499999999999932</v>
      </c>
      <c r="C639" s="342"/>
      <c r="D639" s="359">
        <f t="shared" ca="1" si="269"/>
        <v>-0.52655508221187752</v>
      </c>
      <c r="E639" s="360">
        <f t="shared" ca="1" si="270"/>
        <v>-10.417220266889023</v>
      </c>
      <c r="F639" s="357">
        <f t="shared" ca="1" si="271"/>
        <v>10.43051956249</v>
      </c>
      <c r="G639" s="359">
        <f t="shared" ca="1" si="272"/>
        <v>39.590874337559413</v>
      </c>
      <c r="H639" s="360">
        <f t="shared" ca="1" si="273"/>
        <v>44.674966666653738</v>
      </c>
      <c r="I639" s="357">
        <f t="shared" ca="1" si="274"/>
        <v>59.693299267832757</v>
      </c>
      <c r="J639" s="359">
        <f t="shared" ca="1" si="275"/>
        <v>831.35223622399519</v>
      </c>
      <c r="K639" s="360">
        <f t="shared" ca="1" si="276"/>
        <v>2592.1179688694383</v>
      </c>
      <c r="L639" s="357">
        <f t="shared" ca="1" si="261"/>
        <v>2722.1723136514452</v>
      </c>
      <c r="M639" s="359">
        <f t="shared" ca="1" si="277"/>
        <v>0.84565907922334849</v>
      </c>
      <c r="N639" s="357">
        <f t="shared" ca="1" si="278"/>
        <v>48.452696146417189</v>
      </c>
      <c r="O639" s="343"/>
      <c r="P639" s="363">
        <f t="shared" ca="1" si="279"/>
        <v>23</v>
      </c>
      <c r="Q639" s="357">
        <f t="shared" ca="1" si="280"/>
        <v>0</v>
      </c>
      <c r="R639" s="359">
        <f t="shared" ca="1" si="281"/>
        <v>0</v>
      </c>
      <c r="S639" s="360">
        <f t="shared" ca="1" si="282"/>
        <v>9.7379999999999765</v>
      </c>
      <c r="T639" s="357">
        <f t="shared" ca="1" si="262"/>
        <v>95.529779999999775</v>
      </c>
      <c r="U639" s="364">
        <f t="shared" ca="1" si="263"/>
        <v>0</v>
      </c>
      <c r="V639" s="359">
        <f t="shared" ca="1" si="264"/>
        <v>0.94389802308570692</v>
      </c>
      <c r="W639" s="357">
        <f t="shared" ca="1" si="265"/>
        <v>7.6130005411446904</v>
      </c>
      <c r="X639" s="343"/>
      <c r="Y639" s="367" t="str">
        <f t="shared" ca="1" si="283"/>
        <v/>
      </c>
      <c r="Z639" s="368" t="str">
        <f t="shared" ca="1" si="284"/>
        <v/>
      </c>
      <c r="AA639" s="369" t="str">
        <f t="shared" ca="1" si="285"/>
        <v/>
      </c>
      <c r="AB639" s="344"/>
      <c r="AC639" s="363" t="e">
        <f t="shared" ca="1" si="286"/>
        <v>#N/A</v>
      </c>
      <c r="AD639" s="376" t="e">
        <f t="shared" ca="1" si="287"/>
        <v>#N/A</v>
      </c>
      <c r="AE639" s="377">
        <f t="shared" ca="1" si="266"/>
        <v>2592.1179688694383</v>
      </c>
      <c r="AF639" s="344"/>
      <c r="AG639" s="359">
        <f t="shared" ca="1" si="288"/>
        <v>-8.2152391107671221</v>
      </c>
      <c r="AH639" s="357">
        <f t="shared" ca="1" si="289"/>
        <v>-0.80372676148298905</v>
      </c>
    </row>
    <row r="640" spans="1:34" x14ac:dyDescent="0.25">
      <c r="A640" s="402">
        <f t="shared" ca="1" si="267"/>
        <v>0.1</v>
      </c>
      <c r="B640" s="357">
        <f t="shared" ca="1" si="268"/>
        <v>18.599999999999934</v>
      </c>
      <c r="C640" s="342"/>
      <c r="D640" s="359">
        <f t="shared" ca="1" si="269"/>
        <v>-0.51850816571903069</v>
      </c>
      <c r="E640" s="360">
        <f t="shared" ca="1" si="270"/>
        <v>-10.395092787352507</v>
      </c>
      <c r="F640" s="357">
        <f t="shared" ca="1" si="271"/>
        <v>10.408016370835771</v>
      </c>
      <c r="G640" s="359">
        <f t="shared" ca="1" si="272"/>
        <v>39.539023520987513</v>
      </c>
      <c r="H640" s="360">
        <f t="shared" ca="1" si="273"/>
        <v>43.635457387918485</v>
      </c>
      <c r="I640" s="357">
        <f t="shared" ca="1" si="274"/>
        <v>58.884527020653344</v>
      </c>
      <c r="J640" s="359">
        <f t="shared" ca="1" si="275"/>
        <v>835.30873111692256</v>
      </c>
      <c r="K640" s="360">
        <f t="shared" ca="1" si="276"/>
        <v>2596.5334900721668</v>
      </c>
      <c r="L640" s="357">
        <f t="shared" ca="1" si="261"/>
        <v>2727.5862665269656</v>
      </c>
      <c r="M640" s="359">
        <f t="shared" ca="1" si="277"/>
        <v>0.83460948922336242</v>
      </c>
      <c r="N640" s="357">
        <f t="shared" ca="1" si="278"/>
        <v>47.819601274068027</v>
      </c>
      <c r="O640" s="343"/>
      <c r="P640" s="363">
        <f t="shared" ca="1" si="279"/>
        <v>23</v>
      </c>
      <c r="Q640" s="357">
        <f t="shared" ca="1" si="280"/>
        <v>0</v>
      </c>
      <c r="R640" s="359">
        <f t="shared" ca="1" si="281"/>
        <v>0</v>
      </c>
      <c r="S640" s="360">
        <f t="shared" ca="1" si="282"/>
        <v>9.7379999999999765</v>
      </c>
      <c r="T640" s="357">
        <f t="shared" ca="1" si="262"/>
        <v>95.529779999999775</v>
      </c>
      <c r="U640" s="364">
        <f t="shared" ca="1" si="263"/>
        <v>0</v>
      </c>
      <c r="V640" s="359">
        <f t="shared" ca="1" si="264"/>
        <v>0.94347420519294467</v>
      </c>
      <c r="W640" s="357">
        <f t="shared" ca="1" si="265"/>
        <v>7.4047777990414536</v>
      </c>
      <c r="X640" s="343"/>
      <c r="Y640" s="367" t="str">
        <f t="shared" ca="1" si="283"/>
        <v/>
      </c>
      <c r="Z640" s="368" t="str">
        <f t="shared" ca="1" si="284"/>
        <v/>
      </c>
      <c r="AA640" s="369" t="str">
        <f t="shared" ca="1" si="285"/>
        <v/>
      </c>
      <c r="AB640" s="344"/>
      <c r="AC640" s="363" t="e">
        <f t="shared" ca="1" si="286"/>
        <v>#N/A</v>
      </c>
      <c r="AD640" s="376" t="e">
        <f t="shared" ca="1" si="287"/>
        <v>#N/A</v>
      </c>
      <c r="AE640" s="377">
        <f t="shared" ca="1" si="266"/>
        <v>2596.5334900721668</v>
      </c>
      <c r="AF640" s="344"/>
      <c r="AG640" s="359">
        <f t="shared" ca="1" si="288"/>
        <v>-8.1236691781424533</v>
      </c>
      <c r="AH640" s="357">
        <f t="shared" ca="1" si="289"/>
        <v>-0.78178276249175482</v>
      </c>
    </row>
    <row r="641" spans="1:34" x14ac:dyDescent="0.25">
      <c r="A641" s="402">
        <f t="shared" ca="1" si="267"/>
        <v>0.1</v>
      </c>
      <c r="B641" s="357">
        <f t="shared" ca="1" si="268"/>
        <v>18.699999999999935</v>
      </c>
      <c r="C641" s="342"/>
      <c r="D641" s="359">
        <f t="shared" ca="1" si="269"/>
        <v>-0.51058377403038768</v>
      </c>
      <c r="E641" s="360">
        <f t="shared" ca="1" si="270"/>
        <v>-10.373482719871408</v>
      </c>
      <c r="F641" s="357">
        <f t="shared" ca="1" si="271"/>
        <v>10.386040608902597</v>
      </c>
      <c r="G641" s="359">
        <f t="shared" ca="1" si="272"/>
        <v>39.487965143584475</v>
      </c>
      <c r="H641" s="360">
        <f t="shared" ca="1" si="273"/>
        <v>42.598109115931344</v>
      </c>
      <c r="I641" s="357">
        <f t="shared" ca="1" si="274"/>
        <v>58.085267421556523</v>
      </c>
      <c r="J641" s="359">
        <f t="shared" ca="1" si="275"/>
        <v>839.2600805501512</v>
      </c>
      <c r="K641" s="360">
        <f t="shared" ca="1" si="276"/>
        <v>2600.8451683973594</v>
      </c>
      <c r="L641" s="357">
        <f t="shared" ca="1" si="261"/>
        <v>2732.9019508172873</v>
      </c>
      <c r="M641" s="359">
        <f t="shared" ca="1" si="277"/>
        <v>0.82326886208296834</v>
      </c>
      <c r="N641" s="357">
        <f t="shared" ca="1" si="278"/>
        <v>47.169831201891931</v>
      </c>
      <c r="O641" s="343"/>
      <c r="P641" s="363">
        <f t="shared" ca="1" si="279"/>
        <v>23</v>
      </c>
      <c r="Q641" s="357">
        <f t="shared" ca="1" si="280"/>
        <v>0</v>
      </c>
      <c r="R641" s="359">
        <f t="shared" ca="1" si="281"/>
        <v>0</v>
      </c>
      <c r="S641" s="360">
        <f t="shared" ca="1" si="282"/>
        <v>9.7379999999999765</v>
      </c>
      <c r="T641" s="357">
        <f t="shared" ca="1" si="262"/>
        <v>95.529779999999775</v>
      </c>
      <c r="U641" s="364">
        <f t="shared" ca="1" si="263"/>
        <v>0</v>
      </c>
      <c r="V641" s="359">
        <f t="shared" ca="1" si="264"/>
        <v>0.94306051432609439</v>
      </c>
      <c r="W641" s="357">
        <f t="shared" ca="1" si="265"/>
        <v>7.2019676397804968</v>
      </c>
      <c r="X641" s="343"/>
      <c r="Y641" s="367" t="str">
        <f t="shared" ca="1" si="283"/>
        <v/>
      </c>
      <c r="Z641" s="368" t="str">
        <f t="shared" ca="1" si="284"/>
        <v/>
      </c>
      <c r="AA641" s="369" t="str">
        <f t="shared" ca="1" si="285"/>
        <v/>
      </c>
      <c r="AB641" s="344"/>
      <c r="AC641" s="363" t="e">
        <f t="shared" ca="1" si="286"/>
        <v>#N/A</v>
      </c>
      <c r="AD641" s="376" t="e">
        <f t="shared" ca="1" si="287"/>
        <v>#N/A</v>
      </c>
      <c r="AE641" s="377">
        <f t="shared" ca="1" si="266"/>
        <v>2600.8451683973594</v>
      </c>
      <c r="AF641" s="344"/>
      <c r="AG641" s="359">
        <f t="shared" ca="1" si="288"/>
        <v>-8.0299472707360682</v>
      </c>
      <c r="AH641" s="357">
        <f t="shared" ca="1" si="289"/>
        <v>-0.76040026689684448</v>
      </c>
    </row>
    <row r="642" spans="1:34" x14ac:dyDescent="0.25">
      <c r="A642" s="402">
        <f t="shared" ca="1" si="267"/>
        <v>0.1</v>
      </c>
      <c r="B642" s="357">
        <f t="shared" ca="1" si="268"/>
        <v>18.799999999999937</v>
      </c>
      <c r="C642" s="342"/>
      <c r="D642" s="359">
        <f t="shared" ca="1" si="269"/>
        <v>-0.50278250444552586</v>
      </c>
      <c r="E642" s="360">
        <f t="shared" ca="1" si="270"/>
        <v>-10.352382569172001</v>
      </c>
      <c r="F642" s="357">
        <f t="shared" ca="1" si="271"/>
        <v>10.364584656669692</v>
      </c>
      <c r="G642" s="359">
        <f t="shared" ca="1" si="272"/>
        <v>39.437686893139926</v>
      </c>
      <c r="H642" s="360">
        <f t="shared" ca="1" si="273"/>
        <v>41.56287085901414</v>
      </c>
      <c r="I642" s="357">
        <f t="shared" ca="1" si="274"/>
        <v>57.295753608137723</v>
      </c>
      <c r="J642" s="359">
        <f t="shared" ca="1" si="275"/>
        <v>843.20636315198738</v>
      </c>
      <c r="K642" s="360">
        <f t="shared" ca="1" si="276"/>
        <v>2605.0532173961069</v>
      </c>
      <c r="L642" s="357">
        <f t="shared" ca="1" si="261"/>
        <v>2738.1196533982602</v>
      </c>
      <c r="M642" s="359">
        <f t="shared" ca="1" si="277"/>
        <v>0.81162880419799066</v>
      </c>
      <c r="N642" s="357">
        <f t="shared" ca="1" si="278"/>
        <v>46.502905011794738</v>
      </c>
      <c r="O642" s="343"/>
      <c r="P642" s="363">
        <f t="shared" ca="1" si="279"/>
        <v>23</v>
      </c>
      <c r="Q642" s="357">
        <f t="shared" ca="1" si="280"/>
        <v>0</v>
      </c>
      <c r="R642" s="359">
        <f t="shared" ca="1" si="281"/>
        <v>0</v>
      </c>
      <c r="S642" s="360">
        <f t="shared" ca="1" si="282"/>
        <v>9.7379999999999765</v>
      </c>
      <c r="T642" s="357">
        <f t="shared" ca="1" si="262"/>
        <v>95.529779999999775</v>
      </c>
      <c r="U642" s="364">
        <f t="shared" ca="1" si="263"/>
        <v>0</v>
      </c>
      <c r="V642" s="359">
        <f t="shared" ca="1" si="264"/>
        <v>0.94265691851108802</v>
      </c>
      <c r="W642" s="357">
        <f t="shared" ca="1" si="265"/>
        <v>7.0045162844739428</v>
      </c>
      <c r="X642" s="343"/>
      <c r="Y642" s="367" t="str">
        <f t="shared" ca="1" si="283"/>
        <v/>
      </c>
      <c r="Z642" s="368" t="str">
        <f t="shared" ca="1" si="284"/>
        <v/>
      </c>
      <c r="AA642" s="369" t="str">
        <f t="shared" ca="1" si="285"/>
        <v/>
      </c>
      <c r="AB642" s="344"/>
      <c r="AC642" s="363" t="e">
        <f t="shared" ca="1" si="286"/>
        <v>#N/A</v>
      </c>
      <c r="AD642" s="376" t="e">
        <f t="shared" ca="1" si="287"/>
        <v>#N/A</v>
      </c>
      <c r="AE642" s="377">
        <f t="shared" ca="1" si="266"/>
        <v>2605.0532173961069</v>
      </c>
      <c r="AF642" s="344"/>
      <c r="AG642" s="359">
        <f t="shared" ca="1" si="288"/>
        <v>-7.9339529756692686</v>
      </c>
      <c r="AH642" s="357">
        <f t="shared" ca="1" si="289"/>
        <v>-0.73957359209083118</v>
      </c>
    </row>
    <row r="643" spans="1:34" x14ac:dyDescent="0.25">
      <c r="A643" s="402">
        <f t="shared" ca="1" si="267"/>
        <v>0.1</v>
      </c>
      <c r="B643" s="357">
        <f t="shared" ca="1" si="268"/>
        <v>18.899999999999938</v>
      </c>
      <c r="C643" s="342"/>
      <c r="D643" s="359">
        <f t="shared" ca="1" si="269"/>
        <v>-0.49510507465781817</v>
      </c>
      <c r="E643" s="360">
        <f t="shared" ca="1" si="270"/>
        <v>-10.33178486875773</v>
      </c>
      <c r="F643" s="357">
        <f t="shared" ca="1" si="271"/>
        <v>10.343640926155699</v>
      </c>
      <c r="G643" s="359">
        <f t="shared" ca="1" si="272"/>
        <v>39.388176385674143</v>
      </c>
      <c r="H643" s="360">
        <f t="shared" ca="1" si="273"/>
        <v>40.529692372138371</v>
      </c>
      <c r="I643" s="357">
        <f t="shared" ca="1" si="274"/>
        <v>56.516231321357132</v>
      </c>
      <c r="J643" s="359">
        <f t="shared" ca="1" si="275"/>
        <v>847.14765631592809</v>
      </c>
      <c r="K643" s="360">
        <f t="shared" ca="1" si="276"/>
        <v>2609.1578455576646</v>
      </c>
      <c r="L643" s="357">
        <f t="shared" ca="1" si="261"/>
        <v>2743.2396567993624</v>
      </c>
      <c r="M643" s="359">
        <f t="shared" ca="1" si="277"/>
        <v>0.7996808060953956</v>
      </c>
      <c r="N643" s="357">
        <f t="shared" ca="1" si="278"/>
        <v>45.818335146885723</v>
      </c>
      <c r="O643" s="343"/>
      <c r="P643" s="363">
        <f t="shared" ca="1" si="279"/>
        <v>23</v>
      </c>
      <c r="Q643" s="357">
        <f t="shared" ca="1" si="280"/>
        <v>0</v>
      </c>
      <c r="R643" s="359">
        <f t="shared" ca="1" si="281"/>
        <v>0</v>
      </c>
      <c r="S643" s="360">
        <f t="shared" ca="1" si="282"/>
        <v>9.7379999999999765</v>
      </c>
      <c r="T643" s="357">
        <f t="shared" ca="1" si="262"/>
        <v>95.529779999999775</v>
      </c>
      <c r="U643" s="364">
        <f t="shared" ca="1" si="263"/>
        <v>0</v>
      </c>
      <c r="V643" s="359">
        <f t="shared" ca="1" si="264"/>
        <v>0.94226338657623709</v>
      </c>
      <c r="W643" s="357">
        <f t="shared" ca="1" si="265"/>
        <v>6.8123714790205678</v>
      </c>
      <c r="X643" s="343"/>
      <c r="Y643" s="367" t="str">
        <f t="shared" ca="1" si="283"/>
        <v/>
      </c>
      <c r="Z643" s="368" t="str">
        <f t="shared" ca="1" si="284"/>
        <v/>
      </c>
      <c r="AA643" s="369" t="str">
        <f t="shared" ca="1" si="285"/>
        <v/>
      </c>
      <c r="AB643" s="344"/>
      <c r="AC643" s="363" t="e">
        <f t="shared" ca="1" si="286"/>
        <v>#N/A</v>
      </c>
      <c r="AD643" s="376" t="e">
        <f t="shared" ca="1" si="287"/>
        <v>#N/A</v>
      </c>
      <c r="AE643" s="377">
        <f t="shared" ca="1" si="266"/>
        <v>2609.1578455576646</v>
      </c>
      <c r="AF643" s="344"/>
      <c r="AG643" s="359">
        <f t="shared" ca="1" si="288"/>
        <v>-7.835562164472341</v>
      </c>
      <c r="AH643" s="357">
        <f t="shared" ca="1" si="289"/>
        <v>-0.71929721549332093</v>
      </c>
    </row>
    <row r="644" spans="1:34" x14ac:dyDescent="0.25">
      <c r="A644" s="402">
        <f t="shared" ca="1" si="267"/>
        <v>0.1</v>
      </c>
      <c r="B644" s="357">
        <f t="shared" ca="1" si="268"/>
        <v>18.99999999999994</v>
      </c>
      <c r="C644" s="342"/>
      <c r="D644" s="359">
        <f t="shared" ca="1" si="269"/>
        <v>-0.48755232508314023</v>
      </c>
      <c r="E644" s="360">
        <f t="shared" ca="1" si="270"/>
        <v>-10.311682168716182</v>
      </c>
      <c r="F644" s="357">
        <f t="shared" ca="1" si="271"/>
        <v>10.323201849150932</v>
      </c>
      <c r="G644" s="359">
        <f t="shared" ca="1" si="272"/>
        <v>39.33942115316583</v>
      </c>
      <c r="H644" s="360">
        <f t="shared" ca="1" si="273"/>
        <v>39.49852415526675</v>
      </c>
      <c r="I644" s="357">
        <f t="shared" ca="1" si="274"/>
        <v>55.746959263356622</v>
      </c>
      <c r="J644" s="359">
        <f t="shared" ca="1" si="275"/>
        <v>851.08403619287014</v>
      </c>
      <c r="K644" s="360">
        <f t="shared" ca="1" si="276"/>
        <v>2613.159256384035</v>
      </c>
      <c r="L644" s="357">
        <f t="shared" ref="L644:L707" ca="1" si="290">SQRT(pos_x^2+pos_z^2)</f>
        <v>2748.2622392864746</v>
      </c>
      <c r="M644" s="359">
        <f t="shared" ca="1" si="277"/>
        <v>0.78741626249280416</v>
      </c>
      <c r="N644" s="357">
        <f t="shared" ca="1" si="278"/>
        <v>45.11562856080306</v>
      </c>
      <c r="O644" s="343"/>
      <c r="P644" s="363">
        <f t="shared" ca="1" si="279"/>
        <v>23</v>
      </c>
      <c r="Q644" s="357">
        <f t="shared" ca="1" si="280"/>
        <v>0</v>
      </c>
      <c r="R644" s="359">
        <f t="shared" ca="1" si="281"/>
        <v>0</v>
      </c>
      <c r="S644" s="360">
        <f t="shared" ca="1" si="282"/>
        <v>9.7379999999999765</v>
      </c>
      <c r="T644" s="357">
        <f t="shared" ref="T644:T707" ca="1" si="291">m*g</f>
        <v>95.529779999999775</v>
      </c>
      <c r="U644" s="364">
        <f t="shared" ref="U644:U707" ca="1" si="292">IF(pos_xz&lt;L_rampe,Poids*COS(Beta),0)</f>
        <v>0</v>
      </c>
      <c r="V644" s="359">
        <f t="shared" ref="V644:V707" ca="1" si="293">Rho_moyen*(20000-Alt_rampe-pos_z)/(20000+Alt_rampe+pos_z)</f>
        <v>0.94187988814152823</v>
      </c>
      <c r="W644" s="357">
        <f t="shared" ref="W644:W707" ca="1" si="294">1/2*Rho*Sref*Cx*vit_xz^2</f>
        <v>6.6254824613652739</v>
      </c>
      <c r="X644" s="343"/>
      <c r="Y644" s="367" t="str">
        <f t="shared" ca="1" si="283"/>
        <v/>
      </c>
      <c r="Z644" s="368" t="str">
        <f t="shared" ca="1" si="284"/>
        <v/>
      </c>
      <c r="AA644" s="369" t="str">
        <f t="shared" ca="1" si="285"/>
        <v/>
      </c>
      <c r="AB644" s="344"/>
      <c r="AC644" s="363">
        <f t="shared" ca="1" si="286"/>
        <v>18.99999999999994</v>
      </c>
      <c r="AD644" s="376">
        <f t="shared" ca="1" si="287"/>
        <v>851.08403619287014</v>
      </c>
      <c r="AE644" s="377">
        <f t="shared" ref="AE644:AE707" ca="1" si="295">IF(t&lt;T_para, pos_z, NA())</f>
        <v>2613.159256384035</v>
      </c>
      <c r="AF644" s="344"/>
      <c r="AG644" s="359">
        <f t="shared" ca="1" si="288"/>
        <v>-7.7346470720839067</v>
      </c>
      <c r="AH644" s="357">
        <f t="shared" ca="1" si="289"/>
        <v>-0.69956577110500973</v>
      </c>
    </row>
    <row r="645" spans="1:34" x14ac:dyDescent="0.25">
      <c r="A645" s="402">
        <f t="shared" ref="A645:A708" ca="1" si="296">IF(B644+0.01&lt;=T_ini+ROUNDUP(Temps_fin_propu,0), 0.01, IF(K644&gt;0, 0.1, 0.0001))</f>
        <v>0.1</v>
      </c>
      <c r="B645" s="357">
        <f t="shared" ref="B645:B708" ca="1" si="297">B644+pas</f>
        <v>19.099999999999941</v>
      </c>
      <c r="C645" s="342"/>
      <c r="D645" s="359">
        <f t="shared" ref="D645:D708" ca="1" si="298">IF(AND(L644&lt;L_rampe,Poussee&lt;Poids*SIN(M644)),0,(-W644+Poussee)/m*COS(M644)-U644/m*SIN(M644))</f>
        <v>-0.48012522111849748</v>
      </c>
      <c r="E645" s="360">
        <f t="shared" ref="E645:E708" ca="1" si="299">IF(AND(L644&lt;L_rampe,Poussee&lt;Poids*SIN(M644)),0,(-W644+Poussee)/m*SIN(M644)+U644/m*COS(M644)-Poids/m)</f>
        <v>-10.292067023052159</v>
      </c>
      <c r="F645" s="357">
        <f t="shared" ref="F645:F708" ca="1" si="300">SQRT(acc_x^2+acc_z^2)</f>
        <v>10.303259864477447</v>
      </c>
      <c r="G645" s="359">
        <f t="shared" ref="G645:G708" ca="1" si="301">G644+acc_x*pas</f>
        <v>39.291408631053983</v>
      </c>
      <c r="H645" s="360">
        <f t="shared" ref="H645:H708" ca="1" si="302">H644+acc_z*pas</f>
        <v>38.469317452961533</v>
      </c>
      <c r="I645" s="357">
        <f t="shared" ref="I645:I708" ca="1" si="303">SQRT(vit_x^2+vit_z^2)</f>
        <v>54.988209440835533</v>
      </c>
      <c r="J645" s="359">
        <f t="shared" ref="J645:J708" ca="1" si="304">J644+0.5*(vit_x+G644)*pas*(K644&gt;=0)</f>
        <v>855.01557768208113</v>
      </c>
      <c r="K645" s="360">
        <f t="shared" ref="K645:K708" ca="1" si="305">K644+0.5*(vit_z+H644)*pas</f>
        <v>2617.0576484644462</v>
      </c>
      <c r="L645" s="357">
        <f t="shared" ca="1" si="290"/>
        <v>2753.1876749443145</v>
      </c>
      <c r="M645" s="359">
        <f t="shared" ref="M645:M708" ca="1" si="306">IF(AND(L644&gt;L_rampe,G645&gt;0),ATAN2(G645,H645),$M$4)</f>
        <v>0.77482649574999851</v>
      </c>
      <c r="N645" s="357">
        <f t="shared" ref="N645:N708" ca="1" si="307">DEGREES(Beta)</f>
        <v>44.394288061386135</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9.7379999999999765</v>
      </c>
      <c r="T645" s="357">
        <f t="shared" ca="1" si="291"/>
        <v>95.529779999999775</v>
      </c>
      <c r="U645" s="364">
        <f t="shared" ca="1" si="292"/>
        <v>0</v>
      </c>
      <c r="V645" s="359">
        <f t="shared" ca="1" si="293"/>
        <v>0.94150639360804667</v>
      </c>
      <c r="W645" s="357">
        <f t="shared" ca="1" si="294"/>
        <v>6.4437999295291091</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f t="shared" ca="1" si="295"/>
        <v>2617.0576484644462</v>
      </c>
      <c r="AF645" s="344"/>
      <c r="AG645" s="359">
        <f t="shared" ref="AG645:AG708" ca="1" si="317">IF(AND(L644&lt;L_rampe,Poussee&lt;Poids*SIN(M644)),0,(-W644+Poussee)/m-Poids*SIN(M644)/m)</f>
        <v>-7.6310764177790045</v>
      </c>
      <c r="AH645" s="357">
        <f t="shared" ref="AH645:AH708" ca="1" si="318">IF(AND(L644&lt;L_rampe,Poussee&lt;Poids*SIN(M644)), g*SIN(M644), (-W644+Poussee)/m)</f>
        <v>-0.6803740461455422</v>
      </c>
    </row>
    <row r="646" spans="1:34" x14ac:dyDescent="0.25">
      <c r="A646" s="402">
        <f t="shared" ca="1" si="296"/>
        <v>0.1</v>
      </c>
      <c r="B646" s="357">
        <f t="shared" ca="1" si="297"/>
        <v>19.199999999999942</v>
      </c>
      <c r="C646" s="342"/>
      <c r="D646" s="359">
        <f t="shared" ca="1" si="298"/>
        <v>-0.47282485529304585</v>
      </c>
      <c r="E646" s="360">
        <f t="shared" ca="1" si="299"/>
        <v>-10.27293197652229</v>
      </c>
      <c r="F646" s="357">
        <f t="shared" ca="1" si="300"/>
        <v>10.283807404752242</v>
      </c>
      <c r="G646" s="359">
        <f t="shared" ca="1" si="301"/>
        <v>39.244126145524682</v>
      </c>
      <c r="H646" s="360">
        <f t="shared" ca="1" si="302"/>
        <v>37.442024255309306</v>
      </c>
      <c r="I646" s="357">
        <f t="shared" ca="1" si="303"/>
        <v>54.24026748884102</v>
      </c>
      <c r="J646" s="359">
        <f t="shared" ca="1" si="304"/>
        <v>858.94235442091008</v>
      </c>
      <c r="K646" s="360">
        <f t="shared" ca="1" si="305"/>
        <v>2620.8532155498597</v>
      </c>
      <c r="L646" s="357">
        <f t="shared" ca="1" si="290"/>
        <v>2758.0162337586366</v>
      </c>
      <c r="M646" s="359">
        <f t="shared" ca="1" si="306"/>
        <v>0.76190278304410519</v>
      </c>
      <c r="N646" s="357">
        <f t="shared" ca="1" si="307"/>
        <v>43.653813867698851</v>
      </c>
      <c r="O646" s="343"/>
      <c r="P646" s="363">
        <f t="shared" ca="1" si="308"/>
        <v>23</v>
      </c>
      <c r="Q646" s="357">
        <f t="shared" ca="1" si="309"/>
        <v>0</v>
      </c>
      <c r="R646" s="359">
        <f t="shared" ca="1" si="310"/>
        <v>0</v>
      </c>
      <c r="S646" s="360">
        <f t="shared" ca="1" si="311"/>
        <v>9.7379999999999765</v>
      </c>
      <c r="T646" s="357">
        <f t="shared" ca="1" si="291"/>
        <v>95.529779999999775</v>
      </c>
      <c r="U646" s="364">
        <f t="shared" ca="1" si="292"/>
        <v>0</v>
      </c>
      <c r="V646" s="359">
        <f t="shared" ca="1" si="293"/>
        <v>0.94114287414750475</v>
      </c>
      <c r="W646" s="357">
        <f t="shared" ca="1" si="294"/>
        <v>6.2672760103643537</v>
      </c>
      <c r="X646" s="343"/>
      <c r="Y646" s="367" t="str">
        <f t="shared" ca="1" si="312"/>
        <v/>
      </c>
      <c r="Z646" s="368" t="str">
        <f t="shared" ca="1" si="313"/>
        <v/>
      </c>
      <c r="AA646" s="369" t="str">
        <f t="shared" ca="1" si="314"/>
        <v/>
      </c>
      <c r="AB646" s="344"/>
      <c r="AC646" s="363" t="e">
        <f t="shared" ca="1" si="315"/>
        <v>#N/A</v>
      </c>
      <c r="AD646" s="376" t="e">
        <f t="shared" ca="1" si="316"/>
        <v>#N/A</v>
      </c>
      <c r="AE646" s="377">
        <f t="shared" ca="1" si="295"/>
        <v>2620.8532155498597</v>
      </c>
      <c r="AF646" s="344"/>
      <c r="AG646" s="359">
        <f t="shared" ca="1" si="317"/>
        <v>-7.5247155742168577</v>
      </c>
      <c r="AH646" s="357">
        <f t="shared" ca="1" si="318"/>
        <v>-0.66171697777049954</v>
      </c>
    </row>
    <row r="647" spans="1:34" x14ac:dyDescent="0.25">
      <c r="A647" s="402">
        <f t="shared" ca="1" si="296"/>
        <v>0.1</v>
      </c>
      <c r="B647" s="357">
        <f t="shared" ca="1" si="297"/>
        <v>19.299999999999944</v>
      </c>
      <c r="C647" s="342"/>
      <c r="D647" s="359">
        <f t="shared" ca="1" si="298"/>
        <v>-0.46565244926875948</v>
      </c>
      <c r="E647" s="360">
        <f t="shared" ca="1" si="299"/>
        <v>-10.254269550949177</v>
      </c>
      <c r="F647" s="357">
        <f t="shared" ca="1" si="300"/>
        <v>10.26483688263157</v>
      </c>
      <c r="G647" s="359">
        <f t="shared" ca="1" si="301"/>
        <v>39.197560900597807</v>
      </c>
      <c r="H647" s="360">
        <f t="shared" ca="1" si="302"/>
        <v>36.416597300214391</v>
      </c>
      <c r="I647" s="357">
        <f t="shared" ca="1" si="303"/>
        <v>53.503432969128774</v>
      </c>
      <c r="J647" s="359">
        <f t="shared" ca="1" si="304"/>
        <v>862.86443877321619</v>
      </c>
      <c r="K647" s="360">
        <f t="shared" ca="1" si="305"/>
        <v>2624.5461466276361</v>
      </c>
      <c r="L647" s="357">
        <f t="shared" ca="1" si="290"/>
        <v>2762.7481816983232</v>
      </c>
      <c r="M647" s="359">
        <f t="shared" ca="1" si="306"/>
        <v>0.74863638761184648</v>
      </c>
      <c r="N647" s="357">
        <f t="shared" ca="1" si="307"/>
        <v>42.893705400078787</v>
      </c>
      <c r="O647" s="343"/>
      <c r="P647" s="363">
        <f t="shared" ca="1" si="308"/>
        <v>23</v>
      </c>
      <c r="Q647" s="357">
        <f t="shared" ca="1" si="309"/>
        <v>0</v>
      </c>
      <c r="R647" s="359">
        <f t="shared" ca="1" si="310"/>
        <v>0</v>
      </c>
      <c r="S647" s="360">
        <f t="shared" ca="1" si="311"/>
        <v>9.7379999999999765</v>
      </c>
      <c r="T647" s="357">
        <f t="shared" ca="1" si="291"/>
        <v>95.529779999999775</v>
      </c>
      <c r="U647" s="364">
        <f t="shared" ca="1" si="292"/>
        <v>0</v>
      </c>
      <c r="V647" s="359">
        <f t="shared" ca="1" si="293"/>
        <v>0.94078930169186326</v>
      </c>
      <c r="W647" s="357">
        <f t="shared" ca="1" si="294"/>
        <v>6.0958642289892788</v>
      </c>
      <c r="X647" s="343"/>
      <c r="Y647" s="367" t="str">
        <f t="shared" ca="1" si="312"/>
        <v/>
      </c>
      <c r="Z647" s="368" t="str">
        <f t="shared" ca="1" si="313"/>
        <v/>
      </c>
      <c r="AA647" s="369" t="str">
        <f t="shared" ca="1" si="314"/>
        <v/>
      </c>
      <c r="AB647" s="344"/>
      <c r="AC647" s="363" t="e">
        <f t="shared" ca="1" si="315"/>
        <v>#N/A</v>
      </c>
      <c r="AD647" s="376" t="e">
        <f t="shared" ca="1" si="316"/>
        <v>#N/A</v>
      </c>
      <c r="AE647" s="377">
        <f t="shared" ca="1" si="295"/>
        <v>2624.5461466276361</v>
      </c>
      <c r="AF647" s="344"/>
      <c r="AG647" s="359">
        <f t="shared" ca="1" si="317"/>
        <v>-7.415426791339903</v>
      </c>
      <c r="AH647" s="357">
        <f t="shared" ca="1" si="318"/>
        <v>-0.64358964986284339</v>
      </c>
    </row>
    <row r="648" spans="1:34" x14ac:dyDescent="0.25">
      <c r="A648" s="402">
        <f t="shared" ca="1" si="296"/>
        <v>0.1</v>
      </c>
      <c r="B648" s="357">
        <f t="shared" ca="1" si="297"/>
        <v>19.399999999999945</v>
      </c>
      <c r="C648" s="342"/>
      <c r="D648" s="359">
        <f t="shared" ca="1" si="298"/>
        <v>-0.45860935564236027</v>
      </c>
      <c r="E648" s="360">
        <f t="shared" ca="1" si="299"/>
        <v>-10.236072230996495</v>
      </c>
      <c r="F648" s="357">
        <f t="shared" ca="1" si="300"/>
        <v>10.246340676517654</v>
      </c>
      <c r="G648" s="359">
        <f t="shared" ca="1" si="301"/>
        <v>39.151699965033572</v>
      </c>
      <c r="H648" s="360">
        <f t="shared" ca="1" si="302"/>
        <v>35.392990077114739</v>
      </c>
      <c r="I648" s="357">
        <f t="shared" ca="1" si="303"/>
        <v>52.778019636499742</v>
      </c>
      <c r="J648" s="359">
        <f t="shared" ca="1" si="304"/>
        <v>866.78190181649779</v>
      </c>
      <c r="K648" s="360">
        <f t="shared" ca="1" si="305"/>
        <v>2628.1366259965025</v>
      </c>
      <c r="L648" s="357">
        <f t="shared" ca="1" si="290"/>
        <v>2767.383780797471</v>
      </c>
      <c r="M648" s="359">
        <f t="shared" ca="1" si="306"/>
        <v>0.73501859440982231</v>
      </c>
      <c r="N648" s="357">
        <f t="shared" ca="1" si="307"/>
        <v>42.113463323320865</v>
      </c>
      <c r="O648" s="343"/>
      <c r="P648" s="363">
        <f t="shared" ca="1" si="308"/>
        <v>23</v>
      </c>
      <c r="Q648" s="357">
        <f t="shared" ca="1" si="309"/>
        <v>0</v>
      </c>
      <c r="R648" s="359">
        <f t="shared" ca="1" si="310"/>
        <v>0</v>
      </c>
      <c r="S648" s="360">
        <f t="shared" ca="1" si="311"/>
        <v>9.7379999999999765</v>
      </c>
      <c r="T648" s="357">
        <f t="shared" ca="1" si="291"/>
        <v>95.529779999999775</v>
      </c>
      <c r="U648" s="364">
        <f t="shared" ca="1" si="292"/>
        <v>0</v>
      </c>
      <c r="V648" s="359">
        <f t="shared" ca="1" si="293"/>
        <v>0.94044564892303095</v>
      </c>
      <c r="W648" s="357">
        <f t="shared" ca="1" si="294"/>
        <v>5.929519478857336</v>
      </c>
      <c r="X648" s="343"/>
      <c r="Y648" s="367" t="str">
        <f t="shared" ca="1" si="312"/>
        <v/>
      </c>
      <c r="Z648" s="368" t="str">
        <f t="shared" ca="1" si="313"/>
        <v/>
      </c>
      <c r="AA648" s="369" t="str">
        <f t="shared" ca="1" si="314"/>
        <v/>
      </c>
      <c r="AB648" s="344"/>
      <c r="AC648" s="363" t="e">
        <f t="shared" ca="1" si="315"/>
        <v>#N/A</v>
      </c>
      <c r="AD648" s="376" t="e">
        <f t="shared" ca="1" si="316"/>
        <v>#N/A</v>
      </c>
      <c r="AE648" s="377">
        <f t="shared" ca="1" si="295"/>
        <v>2628.1366259965025</v>
      </c>
      <c r="AF648" s="344"/>
      <c r="AG648" s="359">
        <f t="shared" ca="1" si="317"/>
        <v>-7.303069482381372</v>
      </c>
      <c r="AH648" s="357">
        <f t="shared" ca="1" si="318"/>
        <v>-0.6259872898941562</v>
      </c>
    </row>
    <row r="649" spans="1:34" x14ac:dyDescent="0.25">
      <c r="A649" s="402">
        <f t="shared" ca="1" si="296"/>
        <v>0.1</v>
      </c>
      <c r="B649" s="357">
        <f t="shared" ca="1" si="297"/>
        <v>19.499999999999947</v>
      </c>
      <c r="C649" s="342"/>
      <c r="D649" s="359">
        <f t="shared" ca="1" si="298"/>
        <v>-0.45169705949409639</v>
      </c>
      <c r="E649" s="360">
        <f t="shared" ca="1" si="299"/>
        <v>-10.218332449390816</v>
      </c>
      <c r="F649" s="357">
        <f t="shared" ca="1" si="300"/>
        <v>10.228311115713529</v>
      </c>
      <c r="G649" s="359">
        <f t="shared" ca="1" si="301"/>
        <v>39.10653025908416</v>
      </c>
      <c r="H649" s="360">
        <f t="shared" ca="1" si="302"/>
        <v>34.371156832175657</v>
      </c>
      <c r="I649" s="357">
        <f t="shared" ca="1" si="303"/>
        <v>52.064355665720868</v>
      </c>
      <c r="J649" s="359">
        <f t="shared" ca="1" si="304"/>
        <v>870.69481332770363</v>
      </c>
      <c r="K649" s="360">
        <f t="shared" ca="1" si="305"/>
        <v>2631.6248333419671</v>
      </c>
      <c r="L649" s="357">
        <f t="shared" ca="1" si="290"/>
        <v>2771.923289237619</v>
      </c>
      <c r="M649" s="359">
        <f t="shared" ca="1" si="306"/>
        <v>0.72104075054594186</v>
      </c>
      <c r="N649" s="357">
        <f t="shared" ca="1" si="307"/>
        <v>41.312591863227674</v>
      </c>
      <c r="O649" s="343"/>
      <c r="P649" s="363">
        <f t="shared" ca="1" si="308"/>
        <v>23</v>
      </c>
      <c r="Q649" s="357">
        <f t="shared" ca="1" si="309"/>
        <v>0</v>
      </c>
      <c r="R649" s="359">
        <f t="shared" ca="1" si="310"/>
        <v>0</v>
      </c>
      <c r="S649" s="360">
        <f t="shared" ca="1" si="311"/>
        <v>9.7379999999999765</v>
      </c>
      <c r="T649" s="357">
        <f t="shared" ca="1" si="291"/>
        <v>95.529779999999775</v>
      </c>
      <c r="U649" s="364">
        <f t="shared" ca="1" si="292"/>
        <v>0</v>
      </c>
      <c r="V649" s="359">
        <f t="shared" ca="1" si="293"/>
        <v>0.94011188926262634</v>
      </c>
      <c r="W649" s="357">
        <f t="shared" ca="1" si="294"/>
        <v>5.7681979924153524</v>
      </c>
      <c r="X649" s="343"/>
      <c r="Y649" s="367" t="str">
        <f t="shared" ca="1" si="312"/>
        <v/>
      </c>
      <c r="Z649" s="368" t="str">
        <f t="shared" ca="1" si="313"/>
        <v/>
      </c>
      <c r="AA649" s="369" t="str">
        <f t="shared" ca="1" si="314"/>
        <v/>
      </c>
      <c r="AB649" s="344"/>
      <c r="AC649" s="363" t="e">
        <f t="shared" ca="1" si="315"/>
        <v>#N/A</v>
      </c>
      <c r="AD649" s="376" t="e">
        <f t="shared" ca="1" si="316"/>
        <v>#N/A</v>
      </c>
      <c r="AE649" s="377">
        <f t="shared" ca="1" si="295"/>
        <v>2631.6248333419671</v>
      </c>
      <c r="AF649" s="344"/>
      <c r="AG649" s="359">
        <f t="shared" ca="1" si="317"/>
        <v>-7.187500579730119</v>
      </c>
      <c r="AH649" s="357">
        <f t="shared" ca="1" si="318"/>
        <v>-0.60890526585103211</v>
      </c>
    </row>
    <row r="650" spans="1:34" x14ac:dyDescent="0.25">
      <c r="A650" s="402">
        <f t="shared" ca="1" si="296"/>
        <v>0.1</v>
      </c>
      <c r="B650" s="357">
        <f t="shared" ca="1" si="297"/>
        <v>19.599999999999948</v>
      </c>
      <c r="C650" s="342"/>
      <c r="D650" s="359">
        <f t="shared" ca="1" si="298"/>
        <v>-0.44491717962254168</v>
      </c>
      <c r="E650" s="360">
        <f t="shared" ca="1" si="299"/>
        <v>-10.201042571581338</v>
      </c>
      <c r="F650" s="357">
        <f t="shared" ca="1" si="300"/>
        <v>10.210740465017121</v>
      </c>
      <c r="G650" s="359">
        <f t="shared" ca="1" si="301"/>
        <v>39.062038541121908</v>
      </c>
      <c r="H650" s="360">
        <f t="shared" ca="1" si="302"/>
        <v>33.351052575017526</v>
      </c>
      <c r="I650" s="357">
        <f t="shared" ca="1" si="303"/>
        <v>51.362783830801817</v>
      </c>
      <c r="J650" s="359">
        <f t="shared" ca="1" si="304"/>
        <v>874.60324176771394</v>
      </c>
      <c r="K650" s="360">
        <f t="shared" ca="1" si="305"/>
        <v>2635.0109438123268</v>
      </c>
      <c r="L650" s="357">
        <f t="shared" ca="1" si="290"/>
        <v>2776.3669614302289</v>
      </c>
      <c r="M650" s="359">
        <f t="shared" ca="1" si="306"/>
        <v>0.70669431083038425</v>
      </c>
      <c r="N650" s="357">
        <f t="shared" ca="1" si="307"/>
        <v>40.490601416487358</v>
      </c>
      <c r="O650" s="343"/>
      <c r="P650" s="363">
        <f t="shared" ca="1" si="308"/>
        <v>23</v>
      </c>
      <c r="Q650" s="357">
        <f t="shared" ca="1" si="309"/>
        <v>0</v>
      </c>
      <c r="R650" s="359">
        <f t="shared" ca="1" si="310"/>
        <v>0</v>
      </c>
      <c r="S650" s="360">
        <f t="shared" ca="1" si="311"/>
        <v>9.7379999999999765</v>
      </c>
      <c r="T650" s="357">
        <f t="shared" ca="1" si="291"/>
        <v>95.529779999999775</v>
      </c>
      <c r="U650" s="364">
        <f t="shared" ca="1" si="292"/>
        <v>0</v>
      </c>
      <c r="V650" s="359">
        <f t="shared" ca="1" si="293"/>
        <v>0.93978799686178227</v>
      </c>
      <c r="W650" s="357">
        <f t="shared" ca="1" si="294"/>
        <v>5.6118573123052604</v>
      </c>
      <c r="X650" s="343"/>
      <c r="Y650" s="367" t="str">
        <f t="shared" ca="1" si="312"/>
        <v/>
      </c>
      <c r="Z650" s="368" t="str">
        <f t="shared" ca="1" si="313"/>
        <v/>
      </c>
      <c r="AA650" s="369" t="str">
        <f t="shared" ca="1" si="314"/>
        <v/>
      </c>
      <c r="AB650" s="344"/>
      <c r="AC650" s="363" t="e">
        <f t="shared" ca="1" si="315"/>
        <v>#N/A</v>
      </c>
      <c r="AD650" s="376" t="e">
        <f t="shared" ca="1" si="316"/>
        <v>#N/A</v>
      </c>
      <c r="AE650" s="377">
        <f t="shared" ca="1" si="295"/>
        <v>2635.0109438123268</v>
      </c>
      <c r="AF650" s="344"/>
      <c r="AG650" s="359">
        <f t="shared" ca="1" si="317"/>
        <v>-7.0685749688346302</v>
      </c>
      <c r="AH650" s="357">
        <f t="shared" ca="1" si="318"/>
        <v>-0.59233908322195172</v>
      </c>
    </row>
    <row r="651" spans="1:34" x14ac:dyDescent="0.25">
      <c r="A651" s="402">
        <f t="shared" ca="1" si="296"/>
        <v>0.1</v>
      </c>
      <c r="B651" s="357">
        <f t="shared" ca="1" si="297"/>
        <v>19.69999999999995</v>
      </c>
      <c r="C651" s="342"/>
      <c r="D651" s="359">
        <f t="shared" ca="1" si="298"/>
        <v>-0.43827146939789813</v>
      </c>
      <c r="E651" s="360">
        <f t="shared" ca="1" si="299"/>
        <v>-10.184194879835365</v>
      </c>
      <c r="F651" s="357">
        <f t="shared" ca="1" si="300"/>
        <v>10.193620908752349</v>
      </c>
      <c r="G651" s="359">
        <f t="shared" ca="1" si="301"/>
        <v>39.018211394182117</v>
      </c>
      <c r="H651" s="360">
        <f t="shared" ca="1" si="302"/>
        <v>32.33263308703399</v>
      </c>
      <c r="I651" s="357">
        <f t="shared" ca="1" si="303"/>
        <v>50.673661627534365</v>
      </c>
      <c r="J651" s="359">
        <f t="shared" ca="1" si="304"/>
        <v>878.50725426447912</v>
      </c>
      <c r="K651" s="360">
        <f t="shared" ca="1" si="305"/>
        <v>2638.2951280954294</v>
      </c>
      <c r="L651" s="357">
        <f t="shared" ca="1" si="290"/>
        <v>2780.7150480995697</v>
      </c>
      <c r="M651" s="359">
        <f t="shared" ca="1" si="306"/>
        <v>0.69197088878116098</v>
      </c>
      <c r="N651" s="357">
        <f t="shared" ca="1" si="307"/>
        <v>39.647011473077008</v>
      </c>
      <c r="O651" s="343"/>
      <c r="P651" s="363">
        <f t="shared" ca="1" si="308"/>
        <v>23</v>
      </c>
      <c r="Q651" s="357">
        <f t="shared" ca="1" si="309"/>
        <v>0</v>
      </c>
      <c r="R651" s="359">
        <f t="shared" ca="1" si="310"/>
        <v>0</v>
      </c>
      <c r="S651" s="360">
        <f t="shared" ca="1" si="311"/>
        <v>9.7379999999999765</v>
      </c>
      <c r="T651" s="357">
        <f t="shared" ca="1" si="291"/>
        <v>95.529779999999775</v>
      </c>
      <c r="U651" s="364">
        <f t="shared" ca="1" si="292"/>
        <v>0</v>
      </c>
      <c r="V651" s="359">
        <f t="shared" ca="1" si="293"/>
        <v>0.93947394659097705</v>
      </c>
      <c r="W651" s="357">
        <f t="shared" ca="1" si="294"/>
        <v>5.4604562630637092</v>
      </c>
      <c r="X651" s="343"/>
      <c r="Y651" s="367" t="str">
        <f t="shared" ca="1" si="312"/>
        <v/>
      </c>
      <c r="Z651" s="368" t="str">
        <f t="shared" ca="1" si="313"/>
        <v/>
      </c>
      <c r="AA651" s="369" t="str">
        <f t="shared" ca="1" si="314"/>
        <v/>
      </c>
      <c r="AB651" s="344"/>
      <c r="AC651" s="363" t="e">
        <f t="shared" ca="1" si="315"/>
        <v>#N/A</v>
      </c>
      <c r="AD651" s="376" t="e">
        <f t="shared" ca="1" si="316"/>
        <v>#N/A</v>
      </c>
      <c r="AE651" s="377">
        <f t="shared" ca="1" si="295"/>
        <v>2638.2951280954294</v>
      </c>
      <c r="AF651" s="344"/>
      <c r="AG651" s="359">
        <f t="shared" ca="1" si="317"/>
        <v>-6.9461460086739786</v>
      </c>
      <c r="AH651" s="357">
        <f t="shared" ca="1" si="318"/>
        <v>-0.57628438203997479</v>
      </c>
    </row>
    <row r="652" spans="1:34" x14ac:dyDescent="0.25">
      <c r="A652" s="402">
        <f t="shared" ca="1" si="296"/>
        <v>0.1</v>
      </c>
      <c r="B652" s="357">
        <f t="shared" ca="1" si="297"/>
        <v>19.799999999999951</v>
      </c>
      <c r="C652" s="342"/>
      <c r="D652" s="359">
        <f t="shared" ca="1" si="298"/>
        <v>-0.43176181715936229</v>
      </c>
      <c r="E652" s="360">
        <f t="shared" ca="1" si="299"/>
        <v>-10.167781556775466</v>
      </c>
      <c r="F652" s="357">
        <f t="shared" ca="1" si="300"/>
        <v>10.176944534243079</v>
      </c>
      <c r="G652" s="359">
        <f t="shared" ca="1" si="301"/>
        <v>38.975035212466182</v>
      </c>
      <c r="H652" s="360">
        <f t="shared" ca="1" si="302"/>
        <v>31.315854931356444</v>
      </c>
      <c r="I652" s="357">
        <f t="shared" ca="1" si="303"/>
        <v>49.997361329321578</v>
      </c>
      <c r="J652" s="359">
        <f t="shared" ca="1" si="304"/>
        <v>882.40691659481149</v>
      </c>
      <c r="K652" s="360">
        <f t="shared" ca="1" si="305"/>
        <v>2641.4775524963488</v>
      </c>
      <c r="L652" s="357">
        <f t="shared" ca="1" si="290"/>
        <v>2784.9677963661379</v>
      </c>
      <c r="M652" s="359">
        <f t="shared" ca="1" si="306"/>
        <v>0.67686231339561187</v>
      </c>
      <c r="N652" s="357">
        <f t="shared" ca="1" si="307"/>
        <v>38.781353869029807</v>
      </c>
      <c r="O652" s="343"/>
      <c r="P652" s="363">
        <f t="shared" ca="1" si="308"/>
        <v>23</v>
      </c>
      <c r="Q652" s="357">
        <f t="shared" ca="1" si="309"/>
        <v>0</v>
      </c>
      <c r="R652" s="359">
        <f t="shared" ca="1" si="310"/>
        <v>0</v>
      </c>
      <c r="S652" s="360">
        <f t="shared" ca="1" si="311"/>
        <v>9.7379999999999765</v>
      </c>
      <c r="T652" s="357">
        <f t="shared" ca="1" si="291"/>
        <v>95.529779999999775</v>
      </c>
      <c r="U652" s="364">
        <f t="shared" ca="1" si="292"/>
        <v>0</v>
      </c>
      <c r="V652" s="359">
        <f t="shared" ca="1" si="293"/>
        <v>0.93916971402988136</v>
      </c>
      <c r="W652" s="357">
        <f t="shared" ca="1" si="294"/>
        <v>5.313954923273811</v>
      </c>
      <c r="X652" s="343"/>
      <c r="Y652" s="367" t="str">
        <f t="shared" ca="1" si="312"/>
        <v/>
      </c>
      <c r="Z652" s="368" t="str">
        <f t="shared" ca="1" si="313"/>
        <v/>
      </c>
      <c r="AA652" s="369" t="str">
        <f t="shared" ca="1" si="314"/>
        <v/>
      </c>
      <c r="AB652" s="344"/>
      <c r="AC652" s="363" t="e">
        <f t="shared" ca="1" si="315"/>
        <v>#N/A</v>
      </c>
      <c r="AD652" s="376" t="e">
        <f t="shared" ca="1" si="316"/>
        <v>#N/A</v>
      </c>
      <c r="AE652" s="377">
        <f t="shared" ca="1" si="295"/>
        <v>2641.4775524963488</v>
      </c>
      <c r="AF652" s="344"/>
      <c r="AG652" s="359">
        <f t="shared" ca="1" si="317"/>
        <v>-6.8200661475468829</v>
      </c>
      <c r="AH652" s="357">
        <f t="shared" ca="1" si="318"/>
        <v>-0.56073693397655811</v>
      </c>
    </row>
    <row r="653" spans="1:34" x14ac:dyDescent="0.25">
      <c r="A653" s="402">
        <f t="shared" ca="1" si="296"/>
        <v>0.1</v>
      </c>
      <c r="B653" s="357">
        <f t="shared" ca="1" si="297"/>
        <v>19.899999999999952</v>
      </c>
      <c r="C653" s="342"/>
      <c r="D653" s="359">
        <f t="shared" ca="1" si="298"/>
        <v>-0.42539024607512393</v>
      </c>
      <c r="E653" s="360">
        <f t="shared" ca="1" si="299"/>
        <v>-10.151794668373814</v>
      </c>
      <c r="F653" s="357">
        <f t="shared" ca="1" si="300"/>
        <v>10.160703314745435</v>
      </c>
      <c r="G653" s="359">
        <f t="shared" ca="1" si="301"/>
        <v>38.932496187858668</v>
      </c>
      <c r="H653" s="360">
        <f t="shared" ca="1" si="302"/>
        <v>30.300675464519063</v>
      </c>
      <c r="I653" s="357">
        <f t="shared" ca="1" si="303"/>
        <v>49.334269965448328</v>
      </c>
      <c r="J653" s="359">
        <f t="shared" ca="1" si="304"/>
        <v>886.30229316482769</v>
      </c>
      <c r="K653" s="360">
        <f t="shared" ca="1" si="305"/>
        <v>2644.5583790161427</v>
      </c>
      <c r="L653" s="357">
        <f t="shared" ca="1" si="290"/>
        <v>2789.1254498307744</v>
      </c>
      <c r="M653" s="359">
        <f t="shared" ca="1" si="306"/>
        <v>0.66136069196294756</v>
      </c>
      <c r="N653" s="357">
        <f t="shared" ca="1" si="307"/>
        <v>37.893176385328601</v>
      </c>
      <c r="O653" s="343"/>
      <c r="P653" s="363">
        <f t="shared" ca="1" si="308"/>
        <v>23</v>
      </c>
      <c r="Q653" s="357">
        <f t="shared" ca="1" si="309"/>
        <v>0</v>
      </c>
      <c r="R653" s="359">
        <f t="shared" ca="1" si="310"/>
        <v>0</v>
      </c>
      <c r="S653" s="360">
        <f t="shared" ca="1" si="311"/>
        <v>9.7379999999999765</v>
      </c>
      <c r="T653" s="357">
        <f t="shared" ca="1" si="291"/>
        <v>95.529779999999775</v>
      </c>
      <c r="U653" s="364">
        <f t="shared" ca="1" si="292"/>
        <v>0</v>
      </c>
      <c r="V653" s="359">
        <f t="shared" ca="1" si="293"/>
        <v>0.93887527545719107</v>
      </c>
      <c r="W653" s="357">
        <f t="shared" ca="1" si="294"/>
        <v>5.1723145981229042</v>
      </c>
      <c r="X653" s="343"/>
      <c r="Y653" s="367" t="str">
        <f t="shared" ca="1" si="312"/>
        <v/>
      </c>
      <c r="Z653" s="368" t="str">
        <f t="shared" ca="1" si="313"/>
        <v/>
      </c>
      <c r="AA653" s="369" t="str">
        <f t="shared" ca="1" si="314"/>
        <v/>
      </c>
      <c r="AB653" s="344"/>
      <c r="AC653" s="363" t="e">
        <f t="shared" ca="1" si="315"/>
        <v>#N/A</v>
      </c>
      <c r="AD653" s="376" t="e">
        <f t="shared" ca="1" si="316"/>
        <v>#N/A</v>
      </c>
      <c r="AE653" s="377">
        <f t="shared" ca="1" si="295"/>
        <v>2644.5583790161427</v>
      </c>
      <c r="AF653" s="344"/>
      <c r="AG653" s="359">
        <f t="shared" ca="1" si="317"/>
        <v>-6.6901876429899305</v>
      </c>
      <c r="AH653" s="357">
        <f t="shared" ca="1" si="318"/>
        <v>-0.54569263948180569</v>
      </c>
    </row>
    <row r="654" spans="1:34" x14ac:dyDescent="0.25">
      <c r="A654" s="402">
        <f t="shared" ca="1" si="296"/>
        <v>0.1</v>
      </c>
      <c r="B654" s="357">
        <f t="shared" ca="1" si="297"/>
        <v>19.999999999999954</v>
      </c>
      <c r="C654" s="342"/>
      <c r="D654" s="359">
        <f t="shared" ca="1" si="298"/>
        <v>-0.41915891337660466</v>
      </c>
      <c r="E654" s="360">
        <f t="shared" ca="1" si="299"/>
        <v>-10.136226146430493</v>
      </c>
      <c r="F654" s="357">
        <f t="shared" ca="1" si="300"/>
        <v>10.144889091865135</v>
      </c>
      <c r="G654" s="359">
        <f t="shared" ca="1" si="301"/>
        <v>38.890580296521009</v>
      </c>
      <c r="H654" s="360">
        <f t="shared" ca="1" si="302"/>
        <v>29.287052849876012</v>
      </c>
      <c r="I654" s="357">
        <f t="shared" ca="1" si="303"/>
        <v>48.684789210097016</v>
      </c>
      <c r="J654" s="359">
        <f t="shared" ca="1" si="304"/>
        <v>890.19344698904672</v>
      </c>
      <c r="K654" s="360">
        <f t="shared" ca="1" si="305"/>
        <v>2647.5377654318622</v>
      </c>
      <c r="L654" s="357">
        <f t="shared" ca="1" si="290"/>
        <v>2793.1882486596173</v>
      </c>
      <c r="M654" s="359">
        <f t="shared" ca="1" si="306"/>
        <v>0.64545847914210153</v>
      </c>
      <c r="N654" s="357">
        <f t="shared" ca="1" si="307"/>
        <v>36.982046705775296</v>
      </c>
      <c r="O654" s="343"/>
      <c r="P654" s="363">
        <f t="shared" ca="1" si="308"/>
        <v>23</v>
      </c>
      <c r="Q654" s="357">
        <f t="shared" ca="1" si="309"/>
        <v>0</v>
      </c>
      <c r="R654" s="359">
        <f t="shared" ca="1" si="310"/>
        <v>0</v>
      </c>
      <c r="S654" s="360">
        <f t="shared" ca="1" si="311"/>
        <v>9.7379999999999765</v>
      </c>
      <c r="T654" s="357">
        <f t="shared" ca="1" si="291"/>
        <v>95.529779999999775</v>
      </c>
      <c r="U654" s="364">
        <f t="shared" ca="1" si="292"/>
        <v>0</v>
      </c>
      <c r="V654" s="359">
        <f t="shared" ca="1" si="293"/>
        <v>0.93859060784043824</v>
      </c>
      <c r="W654" s="357">
        <f t="shared" ca="1" si="294"/>
        <v>5.0354977923201725</v>
      </c>
      <c r="X654" s="343"/>
      <c r="Y654" s="367" t="str">
        <f t="shared" ca="1" si="312"/>
        <v/>
      </c>
      <c r="Z654" s="368" t="str">
        <f t="shared" ca="1" si="313"/>
        <v>Para</v>
      </c>
      <c r="AA654" s="369" t="str">
        <f t="shared" ca="1" si="314"/>
        <v/>
      </c>
      <c r="AB654" s="344"/>
      <c r="AC654" s="363">
        <f t="shared" ca="1" si="315"/>
        <v>19.999999999999954</v>
      </c>
      <c r="AD654" s="376">
        <f t="shared" ca="1" si="316"/>
        <v>890.19344698904672</v>
      </c>
      <c r="AE654" s="377" t="e">
        <f t="shared" ca="1" si="295"/>
        <v>#N/A</v>
      </c>
      <c r="AF654" s="344"/>
      <c r="AG654" s="359">
        <f t="shared" ca="1" si="317"/>
        <v>-6.5563633944849693</v>
      </c>
      <c r="AH654" s="357">
        <f t="shared" ca="1" si="318"/>
        <v>-0.5311475249664116</v>
      </c>
    </row>
    <row r="655" spans="1:34" x14ac:dyDescent="0.25">
      <c r="A655" s="402">
        <f t="shared" ca="1" si="296"/>
        <v>0.1</v>
      </c>
      <c r="B655" s="357">
        <f t="shared" ca="1" si="297"/>
        <v>20.099999999999955</v>
      </c>
      <c r="C655" s="342"/>
      <c r="D655" s="359">
        <f t="shared" ca="1" si="298"/>
        <v>-0.41307010887187423</v>
      </c>
      <c r="E655" s="360">
        <f t="shared" ca="1" si="299"/>
        <v>-10.121067770575715</v>
      </c>
      <c r="F655" s="357">
        <f t="shared" ca="1" si="300"/>
        <v>10.129493557499798</v>
      </c>
      <c r="G655" s="359">
        <f t="shared" ca="1" si="301"/>
        <v>38.849273285633821</v>
      </c>
      <c r="H655" s="360">
        <f t="shared" ca="1" si="302"/>
        <v>28.274946072818441</v>
      </c>
      <c r="I655" s="357">
        <f t="shared" ca="1" si="303"/>
        <v>48.049335169621784</v>
      </c>
      <c r="J655" s="359">
        <f t="shared" ca="1" si="304"/>
        <v>894.08043966815444</v>
      </c>
      <c r="K655" s="360">
        <f t="shared" ca="1" si="305"/>
        <v>2650.4158653779969</v>
      </c>
      <c r="L655" s="357">
        <f t="shared" ca="1" si="290"/>
        <v>2797.1564296700672</v>
      </c>
      <c r="M655" s="359">
        <f t="shared" ca="1" si="306"/>
        <v>0.62914855246140955</v>
      </c>
      <c r="N655" s="357">
        <f t="shared" ca="1" si="307"/>
        <v>36.047556742803827</v>
      </c>
      <c r="O655" s="343"/>
      <c r="P655" s="363">
        <f t="shared" ca="1" si="308"/>
        <v>23</v>
      </c>
      <c r="Q655" s="357">
        <f t="shared" ca="1" si="309"/>
        <v>0</v>
      </c>
      <c r="R655" s="359">
        <f t="shared" ca="1" si="310"/>
        <v>0</v>
      </c>
      <c r="S655" s="360">
        <f t="shared" ca="1" si="311"/>
        <v>9.7379999999999765</v>
      </c>
      <c r="T655" s="357">
        <f t="shared" ca="1" si="291"/>
        <v>95.529779999999775</v>
      </c>
      <c r="U655" s="364">
        <f t="shared" ca="1" si="292"/>
        <v>0</v>
      </c>
      <c r="V655" s="359">
        <f t="shared" ca="1" si="293"/>
        <v>0.93831568882575467</v>
      </c>
      <c r="W655" s="357">
        <f t="shared" ca="1" si="294"/>
        <v>4.9034681833276732</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-6.4184478972006085</v>
      </c>
      <c r="AH655" s="357">
        <f t="shared" ca="1" si="318"/>
        <v>-0.51709774002055708</v>
      </c>
    </row>
    <row r="656" spans="1:34" x14ac:dyDescent="0.25">
      <c r="A656" s="402">
        <f t="shared" ca="1" si="296"/>
        <v>0.1</v>
      </c>
      <c r="B656" s="357">
        <f t="shared" ca="1" si="297"/>
        <v>20.199999999999957</v>
      </c>
      <c r="C656" s="342"/>
      <c r="D656" s="359">
        <f t="shared" ca="1" si="298"/>
        <v>-0.40712625263698476</v>
      </c>
      <c r="E656" s="360">
        <f t="shared" ca="1" si="299"/>
        <v>-10.106311149850937</v>
      </c>
      <c r="F656" s="357">
        <f t="shared" ca="1" si="300"/>
        <v>10.114508235361104</v>
      </c>
      <c r="G656" s="359">
        <f t="shared" ca="1" si="301"/>
        <v>38.808560660370119</v>
      </c>
      <c r="H656" s="360">
        <f t="shared" ca="1" si="302"/>
        <v>27.264314957833346</v>
      </c>
      <c r="I656" s="357">
        <f t="shared" ca="1" si="303"/>
        <v>47.428338054896699</v>
      </c>
      <c r="J656" s="359">
        <f t="shared" ca="1" si="304"/>
        <v>897.96333136545468</v>
      </c>
      <c r="K656" s="360">
        <f t="shared" ca="1" si="305"/>
        <v>2653.1928284295295</v>
      </c>
      <c r="L656" s="357">
        <f t="shared" ca="1" si="290"/>
        <v>2801.0302264179213</v>
      </c>
      <c r="M656" s="359">
        <f t="shared" ca="1" si="306"/>
        <v>0.61242429430976897</v>
      </c>
      <c r="N656" s="357">
        <f t="shared" ca="1" si="307"/>
        <v>35.089327335227559</v>
      </c>
      <c r="O656" s="343"/>
      <c r="P656" s="363">
        <f t="shared" ca="1" si="308"/>
        <v>23</v>
      </c>
      <c r="Q656" s="357">
        <f t="shared" ca="1" si="309"/>
        <v>0</v>
      </c>
      <c r="R656" s="359">
        <f t="shared" ca="1" si="310"/>
        <v>0</v>
      </c>
      <c r="S656" s="360">
        <f t="shared" ca="1" si="311"/>
        <v>9.7379999999999765</v>
      </c>
      <c r="T656" s="357">
        <f t="shared" ca="1" si="291"/>
        <v>95.529779999999775</v>
      </c>
      <c r="U656" s="364">
        <f t="shared" ca="1" si="292"/>
        <v>0</v>
      </c>
      <c r="V656" s="359">
        <f t="shared" ca="1" si="293"/>
        <v>0.93805049672757368</v>
      </c>
      <c r="W656" s="357">
        <f t="shared" ca="1" si="294"/>
        <v>4.776190594858269</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-6.2762983242746708</v>
      </c>
      <c r="AH656" s="357">
        <f t="shared" ca="1" si="318"/>
        <v>-0.50353955466499123</v>
      </c>
    </row>
    <row r="657" spans="1:34" x14ac:dyDescent="0.25">
      <c r="A657" s="402">
        <f t="shared" ca="1" si="296"/>
        <v>0.1</v>
      </c>
      <c r="B657" s="357">
        <f t="shared" ca="1" si="297"/>
        <v>20.299999999999958</v>
      </c>
      <c r="C657" s="342"/>
      <c r="D657" s="359">
        <f t="shared" ca="1" si="298"/>
        <v>-0.4013298917785777</v>
      </c>
      <c r="E657" s="360">
        <f t="shared" ca="1" si="299"/>
        <v>-10.091947703940948</v>
      </c>
      <c r="F657" s="357">
        <f t="shared" ca="1" si="300"/>
        <v>10.099924462148911</v>
      </c>
      <c r="G657" s="359">
        <f t="shared" ca="1" si="301"/>
        <v>38.768427671192264</v>
      </c>
      <c r="H657" s="360">
        <f t="shared" ca="1" si="302"/>
        <v>26.25512018743925</v>
      </c>
      <c r="I657" s="357">
        <f t="shared" ca="1" si="303"/>
        <v>46.822241724989482</v>
      </c>
      <c r="J657" s="359">
        <f t="shared" ca="1" si="304"/>
        <v>901.84218078203276</v>
      </c>
      <c r="K657" s="360">
        <f t="shared" ca="1" si="305"/>
        <v>2655.8688001867931</v>
      </c>
      <c r="L657" s="357">
        <f t="shared" ca="1" si="290"/>
        <v>2804.8098692858539</v>
      </c>
      <c r="M657" s="359">
        <f t="shared" ca="1" si="306"/>
        <v>0.59527968038082923</v>
      </c>
      <c r="N657" s="357">
        <f t="shared" ca="1" si="307"/>
        <v>34.107013315718106</v>
      </c>
      <c r="O657" s="343"/>
      <c r="P657" s="363">
        <f t="shared" ca="1" si="308"/>
        <v>23</v>
      </c>
      <c r="Q657" s="357">
        <f t="shared" ca="1" si="309"/>
        <v>0</v>
      </c>
      <c r="R657" s="359">
        <f t="shared" ca="1" si="310"/>
        <v>0</v>
      </c>
      <c r="S657" s="360">
        <f t="shared" ca="1" si="311"/>
        <v>9.7379999999999765</v>
      </c>
      <c r="T657" s="357">
        <f t="shared" ca="1" si="291"/>
        <v>95.529779999999775</v>
      </c>
      <c r="U657" s="364">
        <f t="shared" ca="1" si="292"/>
        <v>0</v>
      </c>
      <c r="V657" s="359">
        <f t="shared" ca="1" si="293"/>
        <v>0.93779501051824621</v>
      </c>
      <c r="W657" s="357">
        <f t="shared" ca="1" si="294"/>
        <v>4.6536309705938246</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-6.1297757440210816</v>
      </c>
      <c r="AH657" s="357">
        <f t="shared" ca="1" si="318"/>
        <v>-0.49046935662952151</v>
      </c>
    </row>
    <row r="658" spans="1:34" x14ac:dyDescent="0.25">
      <c r="A658" s="402">
        <f t="shared" ca="1" si="296"/>
        <v>0.1</v>
      </c>
      <c r="B658" s="357">
        <f t="shared" ca="1" si="297"/>
        <v>20.399999999999959</v>
      </c>
      <c r="C658" s="342"/>
      <c r="D658" s="359">
        <f t="shared" ca="1" si="298"/>
        <v>-0.39568369615683818</v>
      </c>
      <c r="E658" s="360">
        <f t="shared" ca="1" si="299"/>
        <v>-10.077968644148227</v>
      </c>
      <c r="F658" s="357">
        <f t="shared" ca="1" si="300"/>
        <v>10.08573336846851</v>
      </c>
      <c r="G658" s="359">
        <f t="shared" ca="1" si="301"/>
        <v>38.728859301576577</v>
      </c>
      <c r="H658" s="360">
        <f t="shared" ca="1" si="302"/>
        <v>25.247323323024428</v>
      </c>
      <c r="I658" s="357">
        <f t="shared" ca="1" si="303"/>
        <v>46.231503088031296</v>
      </c>
      <c r="J658" s="359">
        <f t="shared" ca="1" si="304"/>
        <v>905.71704513067118</v>
      </c>
      <c r="K658" s="360">
        <f t="shared" ca="1" si="305"/>
        <v>2658.4439223623162</v>
      </c>
      <c r="L658" s="357">
        <f t="shared" ca="1" si="290"/>
        <v>2808.495585573417</v>
      </c>
      <c r="M658" s="359">
        <f t="shared" ca="1" si="306"/>
        <v>0.57770937440055747</v>
      </c>
      <c r="N658" s="357">
        <f t="shared" ca="1" si="307"/>
        <v>33.100308938295065</v>
      </c>
      <c r="O658" s="343"/>
      <c r="P658" s="363">
        <f t="shared" ca="1" si="308"/>
        <v>23</v>
      </c>
      <c r="Q658" s="357">
        <f t="shared" ca="1" si="309"/>
        <v>0</v>
      </c>
      <c r="R658" s="359">
        <f t="shared" ca="1" si="310"/>
        <v>0</v>
      </c>
      <c r="S658" s="360">
        <f t="shared" ca="1" si="311"/>
        <v>9.7379999999999765</v>
      </c>
      <c r="T658" s="357">
        <f t="shared" ca="1" si="291"/>
        <v>95.529779999999775</v>
      </c>
      <c r="U658" s="364">
        <f t="shared" ca="1" si="292"/>
        <v>0</v>
      </c>
      <c r="V658" s="359">
        <f t="shared" ca="1" si="293"/>
        <v>0.93754920981755463</v>
      </c>
      <c r="W658" s="357">
        <f t="shared" ca="1" si="294"/>
        <v>4.5357563480771033</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-5.9787464768709802</v>
      </c>
      <c r="AH658" s="357">
        <f t="shared" ca="1" si="318"/>
        <v>-0.47788364865412158</v>
      </c>
    </row>
    <row r="659" spans="1:34" x14ac:dyDescent="0.25">
      <c r="A659" s="402">
        <f t="shared" ca="1" si="296"/>
        <v>0.1</v>
      </c>
      <c r="B659" s="357">
        <f t="shared" ca="1" si="297"/>
        <v>20.499999999999961</v>
      </c>
      <c r="C659" s="342"/>
      <c r="D659" s="359">
        <f t="shared" ca="1" si="298"/>
        <v>-0.3901904529551401</v>
      </c>
      <c r="E659" s="360">
        <f t="shared" ca="1" si="299"/>
        <v>-10.064364954222</v>
      </c>
      <c r="F659" s="357">
        <f t="shared" ca="1" si="300"/>
        <v>10.071925859603482</v>
      </c>
      <c r="G659" s="359">
        <f t="shared" ca="1" si="301"/>
        <v>38.689840256281066</v>
      </c>
      <c r="H659" s="360">
        <f t="shared" ca="1" si="302"/>
        <v>24.240886827602228</v>
      </c>
      <c r="I659" s="357">
        <f t="shared" ca="1" si="303"/>
        <v>45.656591345009168</v>
      </c>
      <c r="J659" s="359">
        <f t="shared" ca="1" si="304"/>
        <v>909.58798010856401</v>
      </c>
      <c r="K659" s="360">
        <f t="shared" ca="1" si="305"/>
        <v>2660.9183328698477</v>
      </c>
      <c r="L659" s="357">
        <f t="shared" ca="1" si="290"/>
        <v>2812.0875995887518</v>
      </c>
      <c r="M659" s="359">
        <f t="shared" ca="1" si="306"/>
        <v>0.55970882881282391</v>
      </c>
      <c r="N659" s="357">
        <f t="shared" ca="1" si="307"/>
        <v>32.068953647185097</v>
      </c>
      <c r="O659" s="343"/>
      <c r="P659" s="363">
        <f t="shared" ca="1" si="308"/>
        <v>23</v>
      </c>
      <c r="Q659" s="357">
        <f t="shared" ca="1" si="309"/>
        <v>0</v>
      </c>
      <c r="R659" s="359">
        <f t="shared" ca="1" si="310"/>
        <v>0</v>
      </c>
      <c r="S659" s="360">
        <f t="shared" ca="1" si="311"/>
        <v>9.7379999999999765</v>
      </c>
      <c r="T659" s="357">
        <f t="shared" ca="1" si="291"/>
        <v>95.529779999999775</v>
      </c>
      <c r="U659" s="364">
        <f t="shared" ca="1" si="292"/>
        <v>0</v>
      </c>
      <c r="V659" s="359">
        <f t="shared" ca="1" si="293"/>
        <v>0.93731307488210203</v>
      </c>
      <c r="W659" s="357">
        <f t="shared" ca="1" si="294"/>
        <v>4.4225348327310252</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-5.8230835947700692</v>
      </c>
      <c r="AH659" s="357">
        <f t="shared" ca="1" si="318"/>
        <v>-0.46577904580787782</v>
      </c>
    </row>
    <row r="660" spans="1:34" x14ac:dyDescent="0.25">
      <c r="A660" s="402">
        <f t="shared" ca="1" si="296"/>
        <v>0.1</v>
      </c>
      <c r="B660" s="357">
        <f t="shared" ca="1" si="297"/>
        <v>20.599999999999962</v>
      </c>
      <c r="C660" s="342"/>
      <c r="D660" s="359">
        <f t="shared" ca="1" si="298"/>
        <v>-0.38485305998194613</v>
      </c>
      <c r="E660" s="360">
        <f t="shared" ca="1" si="299"/>
        <v>-10.051127371177612</v>
      </c>
      <c r="F660" s="357">
        <f t="shared" ca="1" si="300"/>
        <v>10.058492596279686</v>
      </c>
      <c r="G660" s="359">
        <f t="shared" ca="1" si="301"/>
        <v>38.651354950282872</v>
      </c>
      <c r="H660" s="360">
        <f t="shared" ca="1" si="302"/>
        <v>23.235774090484465</v>
      </c>
      <c r="I660" s="357">
        <f t="shared" ca="1" si="303"/>
        <v>45.097987062359948</v>
      </c>
      <c r="J660" s="359">
        <f t="shared" ca="1" si="304"/>
        <v>913.45503986889219</v>
      </c>
      <c r="K660" s="360">
        <f t="shared" ca="1" si="305"/>
        <v>2663.2921659157519</v>
      </c>
      <c r="L660" s="357">
        <f t="shared" ca="1" si="290"/>
        <v>2815.5861327421858</v>
      </c>
      <c r="M660" s="359">
        <f t="shared" ca="1" si="306"/>
        <v>0.54127439091669649</v>
      </c>
      <c r="N660" s="357">
        <f t="shared" ca="1" si="307"/>
        <v>31.012738158040971</v>
      </c>
      <c r="O660" s="343"/>
      <c r="P660" s="363">
        <f t="shared" ca="1" si="308"/>
        <v>23</v>
      </c>
      <c r="Q660" s="357">
        <f t="shared" ca="1" si="309"/>
        <v>0</v>
      </c>
      <c r="R660" s="359">
        <f t="shared" ca="1" si="310"/>
        <v>0</v>
      </c>
      <c r="S660" s="360">
        <f t="shared" ca="1" si="311"/>
        <v>9.7379999999999765</v>
      </c>
      <c r="T660" s="357">
        <f t="shared" ca="1" si="291"/>
        <v>95.529779999999775</v>
      </c>
      <c r="U660" s="364">
        <f t="shared" ca="1" si="292"/>
        <v>0</v>
      </c>
      <c r="V660" s="359">
        <f t="shared" ca="1" si="293"/>
        <v>0.93708658659455923</v>
      </c>
      <c r="W660" s="357">
        <f t="shared" ca="1" si="294"/>
        <v>4.3139355719591981</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-5.6626685630931464</v>
      </c>
      <c r="AH660" s="357">
        <f t="shared" ca="1" si="318"/>
        <v>-0.45415227282101417</v>
      </c>
    </row>
    <row r="661" spans="1:34" x14ac:dyDescent="0.25">
      <c r="A661" s="402">
        <f t="shared" ca="1" si="296"/>
        <v>0.1</v>
      </c>
      <c r="B661" s="357">
        <f t="shared" ca="1" si="297"/>
        <v>20.699999999999964</v>
      </c>
      <c r="C661" s="342"/>
      <c r="D661" s="359">
        <f t="shared" ca="1" si="298"/>
        <v>-0.37967451759219217</v>
      </c>
      <c r="E661" s="360">
        <f t="shared" ca="1" si="299"/>
        <v>-10.038246366266684</v>
      </c>
      <c r="F661" s="357">
        <f t="shared" ca="1" si="300"/>
        <v>10.045423975580878</v>
      </c>
      <c r="G661" s="359">
        <f t="shared" ca="1" si="301"/>
        <v>38.61338749852365</v>
      </c>
      <c r="H661" s="360">
        <f t="shared" ca="1" si="302"/>
        <v>22.231949453857798</v>
      </c>
      <c r="I661" s="357">
        <f t="shared" ca="1" si="303"/>
        <v>44.556181059759041</v>
      </c>
      <c r="J661" s="359">
        <f t="shared" ca="1" si="304"/>
        <v>917.31827699133248</v>
      </c>
      <c r="K661" s="360">
        <f t="shared" ca="1" si="305"/>
        <v>2665.565552092969</v>
      </c>
      <c r="L661" s="357">
        <f t="shared" ca="1" si="290"/>
        <v>2818.99140364192</v>
      </c>
      <c r="M661" s="359">
        <f t="shared" ca="1" si="306"/>
        <v>0.52240341374307342</v>
      </c>
      <c r="N661" s="357">
        <f t="shared" ca="1" si="307"/>
        <v>29.931510810704655</v>
      </c>
      <c r="O661" s="343"/>
      <c r="P661" s="363">
        <f t="shared" ca="1" si="308"/>
        <v>23</v>
      </c>
      <c r="Q661" s="357">
        <f t="shared" ca="1" si="309"/>
        <v>0</v>
      </c>
      <c r="R661" s="359">
        <f t="shared" ca="1" si="310"/>
        <v>0</v>
      </c>
      <c r="S661" s="360">
        <f t="shared" ca="1" si="311"/>
        <v>9.7379999999999765</v>
      </c>
      <c r="T661" s="357">
        <f t="shared" ca="1" si="291"/>
        <v>95.529779999999775</v>
      </c>
      <c r="U661" s="364">
        <f t="shared" ca="1" si="292"/>
        <v>0</v>
      </c>
      <c r="V661" s="359">
        <f t="shared" ca="1" si="293"/>
        <v>0.93686972645274569</v>
      </c>
      <c r="W661" s="357">
        <f t="shared" ca="1" si="294"/>
        <v>4.20992872928234</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-5.4973930218529565</v>
      </c>
      <c r="AH661" s="357">
        <f t="shared" ca="1" si="318"/>
        <v>-0.44300016142526272</v>
      </c>
    </row>
    <row r="662" spans="1:34" x14ac:dyDescent="0.25">
      <c r="A662" s="402">
        <f t="shared" ca="1" si="296"/>
        <v>0.1</v>
      </c>
      <c r="B662" s="357">
        <f t="shared" ca="1" si="297"/>
        <v>20.799999999999965</v>
      </c>
      <c r="C662" s="342"/>
      <c r="D662" s="359">
        <f t="shared" ca="1" si="298"/>
        <v>-0.37465791912003937</v>
      </c>
      <c r="E662" s="360">
        <f t="shared" ca="1" si="299"/>
        <v>-10.02571212628477</v>
      </c>
      <c r="F662" s="357">
        <f t="shared" ca="1" si="300"/>
        <v>10.032710112202627</v>
      </c>
      <c r="G662" s="359">
        <f t="shared" ca="1" si="301"/>
        <v>38.575921706611645</v>
      </c>
      <c r="H662" s="360">
        <f t="shared" ca="1" si="302"/>
        <v>21.22937824122932</v>
      </c>
      <c r="I662" s="357">
        <f t="shared" ca="1" si="303"/>
        <v>44.031673100437736</v>
      </c>
      <c r="J662" s="359">
        <f t="shared" ca="1" si="304"/>
        <v>921.17774245158921</v>
      </c>
      <c r="K662" s="360">
        <f t="shared" ca="1" si="305"/>
        <v>2667.7386184777233</v>
      </c>
      <c r="L662" s="357">
        <f t="shared" ca="1" si="290"/>
        <v>2822.3036281919844</v>
      </c>
      <c r="M662" s="359">
        <f t="shared" ca="1" si="306"/>
        <v>0.50309437072847019</v>
      </c>
      <c r="N662" s="357">
        <f t="shared" ca="1" si="307"/>
        <v>28.825184139531324</v>
      </c>
      <c r="O662" s="343"/>
      <c r="P662" s="363">
        <f t="shared" ca="1" si="308"/>
        <v>23</v>
      </c>
      <c r="Q662" s="357">
        <f t="shared" ca="1" si="309"/>
        <v>0</v>
      </c>
      <c r="R662" s="359">
        <f t="shared" ca="1" si="310"/>
        <v>0</v>
      </c>
      <c r="S662" s="360">
        <f t="shared" ca="1" si="311"/>
        <v>9.7379999999999765</v>
      </c>
      <c r="T662" s="357">
        <f t="shared" ca="1" si="291"/>
        <v>95.529779999999775</v>
      </c>
      <c r="U662" s="364">
        <f t="shared" ca="1" si="292"/>
        <v>0</v>
      </c>
      <c r="V662" s="359">
        <f t="shared" ca="1" si="293"/>
        <v>0.93666247655853063</v>
      </c>
      <c r="W662" s="357">
        <f t="shared" ca="1" si="294"/>
        <v>4.1104854584659583</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-5.3271606990401352</v>
      </c>
      <c r="AH662" s="357">
        <f t="shared" ca="1" si="318"/>
        <v>-0.43231964769792053</v>
      </c>
    </row>
    <row r="663" spans="1:34" x14ac:dyDescent="0.25">
      <c r="A663" s="402">
        <f t="shared" ca="1" si="296"/>
        <v>0.1</v>
      </c>
      <c r="B663" s="357">
        <f t="shared" ca="1" si="297"/>
        <v>20.899999999999967</v>
      </c>
      <c r="C663" s="342"/>
      <c r="D663" s="359">
        <f t="shared" ca="1" si="298"/>
        <v>-0.36980643972300459</v>
      </c>
      <c r="E663" s="360">
        <f t="shared" ca="1" si="299"/>
        <v>-10.013514535430438</v>
      </c>
      <c r="F663" s="357">
        <f t="shared" ca="1" si="300"/>
        <v>10.020340820258424</v>
      </c>
      <c r="G663" s="359">
        <f t="shared" ca="1" si="301"/>
        <v>38.538941062639346</v>
      </c>
      <c r="H663" s="360">
        <f t="shared" ca="1" si="302"/>
        <v>20.228026787686275</v>
      </c>
      <c r="I663" s="357">
        <f t="shared" ca="1" si="303"/>
        <v>43.524970372797988</v>
      </c>
      <c r="J663" s="359">
        <f t="shared" ca="1" si="304"/>
        <v>925.03348559005178</v>
      </c>
      <c r="K663" s="360">
        <f t="shared" ca="1" si="305"/>
        <v>2669.811488729169</v>
      </c>
      <c r="L663" s="357">
        <f t="shared" ca="1" si="290"/>
        <v>2825.5230196926627</v>
      </c>
      <c r="M663" s="359">
        <f t="shared" ca="1" si="306"/>
        <v>0.48334697299297619</v>
      </c>
      <c r="N663" s="357">
        <f t="shared" ca="1" si="307"/>
        <v>27.69374159292132</v>
      </c>
      <c r="O663" s="343"/>
      <c r="P663" s="363">
        <f t="shared" ca="1" si="308"/>
        <v>23</v>
      </c>
      <c r="Q663" s="357">
        <f t="shared" ca="1" si="309"/>
        <v>0</v>
      </c>
      <c r="R663" s="359">
        <f t="shared" ca="1" si="310"/>
        <v>0</v>
      </c>
      <c r="S663" s="360">
        <f t="shared" ca="1" si="311"/>
        <v>9.7379999999999765</v>
      </c>
      <c r="T663" s="357">
        <f t="shared" ca="1" si="291"/>
        <v>95.529779999999775</v>
      </c>
      <c r="U663" s="364">
        <f t="shared" ca="1" si="292"/>
        <v>0</v>
      </c>
      <c r="V663" s="359">
        <f t="shared" ca="1" si="293"/>
        <v>0.9364648196065285</v>
      </c>
      <c r="W663" s="357">
        <f t="shared" ca="1" si="294"/>
        <v>4.015577877595792</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-5.1518894443236753</v>
      </c>
      <c r="AH663" s="357">
        <f t="shared" ca="1" si="318"/>
        <v>-0.42210776940500805</v>
      </c>
    </row>
    <row r="664" spans="1:34" x14ac:dyDescent="0.25">
      <c r="A664" s="402">
        <f t="shared" ca="1" si="296"/>
        <v>0.1</v>
      </c>
      <c r="B664" s="357">
        <f t="shared" ca="1" si="297"/>
        <v>20.999999999999968</v>
      </c>
      <c r="C664" s="342"/>
      <c r="D664" s="359">
        <f t="shared" ca="1" si="298"/>
        <v>-0.36512332354965116</v>
      </c>
      <c r="E664" s="360">
        <f t="shared" ca="1" si="299"/>
        <v>-10.00164315795722</v>
      </c>
      <c r="F664" s="357">
        <f t="shared" ca="1" si="300"/>
        <v>10.008305595879476</v>
      </c>
      <c r="G664" s="359">
        <f t="shared" ca="1" si="301"/>
        <v>38.502428730284379</v>
      </c>
      <c r="H664" s="360">
        <f t="shared" ca="1" si="302"/>
        <v>19.227862471890553</v>
      </c>
      <c r="I664" s="357">
        <f t="shared" ca="1" si="303"/>
        <v>43.036585754083298</v>
      </c>
      <c r="J664" s="359">
        <f t="shared" ca="1" si="304"/>
        <v>928.88555407969795</v>
      </c>
      <c r="K664" s="360">
        <f t="shared" ca="1" si="305"/>
        <v>2671.784283192148</v>
      </c>
      <c r="L664" s="357">
        <f t="shared" ca="1" si="290"/>
        <v>2828.6497889435745</v>
      </c>
      <c r="M664" s="359">
        <f t="shared" ca="1" si="306"/>
        <v>0.46316228776215429</v>
      </c>
      <c r="N664" s="357">
        <f t="shared" ca="1" si="307"/>
        <v>26.537244318395178</v>
      </c>
      <c r="O664" s="343"/>
      <c r="P664" s="363">
        <f t="shared" ca="1" si="308"/>
        <v>23</v>
      </c>
      <c r="Q664" s="357">
        <f t="shared" ca="1" si="309"/>
        <v>0</v>
      </c>
      <c r="R664" s="359">
        <f t="shared" ca="1" si="310"/>
        <v>0</v>
      </c>
      <c r="S664" s="360">
        <f t="shared" ca="1" si="311"/>
        <v>9.7379999999999765</v>
      </c>
      <c r="T664" s="357">
        <f t="shared" ca="1" si="291"/>
        <v>95.529779999999775</v>
      </c>
      <c r="U664" s="364">
        <f t="shared" ca="1" si="292"/>
        <v>0</v>
      </c>
      <c r="V664" s="359">
        <f t="shared" ca="1" si="293"/>
        <v>0.93627673887257379</v>
      </c>
      <c r="W664" s="357">
        <f t="shared" ca="1" si="294"/>
        <v>3.9251790430590603</v>
      </c>
      <c r="X664" s="343"/>
      <c r="Y664" s="367" t="str">
        <f t="shared" ca="1" si="312"/>
        <v/>
      </c>
      <c r="Z664" s="368" t="str">
        <f t="shared" ca="1" si="313"/>
        <v/>
      </c>
      <c r="AA664" s="369" t="str">
        <f t="shared" ca="1" si="314"/>
        <v/>
      </c>
      <c r="AB664" s="344"/>
      <c r="AC664" s="363">
        <f t="shared" ca="1" si="315"/>
        <v>20.999999999999968</v>
      </c>
      <c r="AD664" s="376">
        <f t="shared" ca="1" si="316"/>
        <v>928.88555407969795</v>
      </c>
      <c r="AE664" s="377" t="e">
        <f t="shared" ca="1" si="295"/>
        <v>#N/A</v>
      </c>
      <c r="AF664" s="344"/>
      <c r="AG664" s="359">
        <f t="shared" ca="1" si="317"/>
        <v>-4.9715133660871587</v>
      </c>
      <c r="AH664" s="357">
        <f t="shared" ca="1" si="318"/>
        <v>-0.41236166333906366</v>
      </c>
    </row>
    <row r="665" spans="1:34" x14ac:dyDescent="0.25">
      <c r="A665" s="402">
        <f t="shared" ca="1" si="296"/>
        <v>0.1</v>
      </c>
      <c r="B665" s="357">
        <f t="shared" ca="1" si="297"/>
        <v>21.099999999999969</v>
      </c>
      <c r="C665" s="342"/>
      <c r="D665" s="359">
        <f t="shared" ca="1" si="298"/>
        <v>-0.3606118691597025</v>
      </c>
      <c r="E665" s="360">
        <f t="shared" ca="1" si="299"/>
        <v>-9.9900872218868706</v>
      </c>
      <c r="F665" s="357">
        <f t="shared" ca="1" si="300"/>
        <v>9.9965936008765599</v>
      </c>
      <c r="G665" s="359">
        <f t="shared" ca="1" si="301"/>
        <v>38.466367543368406</v>
      </c>
      <c r="H665" s="360">
        <f t="shared" ca="1" si="302"/>
        <v>18.228853749701866</v>
      </c>
      <c r="I665" s="357">
        <f t="shared" ca="1" si="303"/>
        <v>42.567035849463679</v>
      </c>
      <c r="J665" s="359">
        <f t="shared" ca="1" si="304"/>
        <v>932.73399389338056</v>
      </c>
      <c r="K665" s="360">
        <f t="shared" ca="1" si="305"/>
        <v>2673.6571190032278</v>
      </c>
      <c r="L665" s="357">
        <f t="shared" ca="1" si="290"/>
        <v>2831.6841443496019</v>
      </c>
      <c r="M665" s="359">
        <f t="shared" ca="1" si="306"/>
        <v>0.44254285619546713</v>
      </c>
      <c r="N665" s="357">
        <f t="shared" ca="1" si="307"/>
        <v>25.355837913665184</v>
      </c>
      <c r="O665" s="343"/>
      <c r="P665" s="363">
        <f t="shared" ca="1" si="308"/>
        <v>23</v>
      </c>
      <c r="Q665" s="357">
        <f t="shared" ca="1" si="309"/>
        <v>0</v>
      </c>
      <c r="R665" s="359">
        <f t="shared" ca="1" si="310"/>
        <v>0</v>
      </c>
      <c r="S665" s="360">
        <f t="shared" ca="1" si="311"/>
        <v>9.7379999999999765</v>
      </c>
      <c r="T665" s="357">
        <f t="shared" ca="1" si="291"/>
        <v>95.529779999999775</v>
      </c>
      <c r="U665" s="364">
        <f t="shared" ca="1" si="292"/>
        <v>0</v>
      </c>
      <c r="V665" s="359">
        <f t="shared" ca="1" si="293"/>
        <v>0.93609821820195749</v>
      </c>
      <c r="W665" s="357">
        <f t="shared" ca="1" si="294"/>
        <v>3.839262923391439</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-4.7859850489349149</v>
      </c>
      <c r="AH665" s="357">
        <f t="shared" ca="1" si="318"/>
        <v>-0.40307856264726533</v>
      </c>
    </row>
    <row r="666" spans="1:34" x14ac:dyDescent="0.25">
      <c r="A666" s="402">
        <f t="shared" ca="1" si="296"/>
        <v>0.1</v>
      </c>
      <c r="B666" s="357">
        <f t="shared" ca="1" si="297"/>
        <v>21.199999999999971</v>
      </c>
      <c r="C666" s="342"/>
      <c r="D666" s="359">
        <f t="shared" ca="1" si="298"/>
        <v>-0.35627541314706374</v>
      </c>
      <c r="E666" s="360">
        <f t="shared" ca="1" si="299"/>
        <v>-9.9788356040780375</v>
      </c>
      <c r="F666" s="357">
        <f t="shared" ca="1" si="300"/>
        <v>9.9851936477580949</v>
      </c>
      <c r="G666" s="359">
        <f t="shared" ca="1" si="301"/>
        <v>38.430740002053703</v>
      </c>
      <c r="H666" s="360">
        <f t="shared" ca="1" si="302"/>
        <v>17.230970189294062</v>
      </c>
      <c r="I666" s="357">
        <f t="shared" ca="1" si="303"/>
        <v>42.116838803141327</v>
      </c>
      <c r="J666" s="359">
        <f t="shared" ca="1" si="304"/>
        <v>936.57884927065163</v>
      </c>
      <c r="K666" s="360">
        <f t="shared" ca="1" si="305"/>
        <v>2675.4301102001778</v>
      </c>
      <c r="L666" s="357">
        <f t="shared" ca="1" si="290"/>
        <v>2834.6262920298459</v>
      </c>
      <c r="M666" s="359">
        <f t="shared" ca="1" si="306"/>
        <v>0.42149280860534211</v>
      </c>
      <c r="N666" s="357">
        <f t="shared" ca="1" si="307"/>
        <v>24.14975902820149</v>
      </c>
      <c r="O666" s="343"/>
      <c r="P666" s="363">
        <f t="shared" ca="1" si="308"/>
        <v>23</v>
      </c>
      <c r="Q666" s="357">
        <f t="shared" ca="1" si="309"/>
        <v>0</v>
      </c>
      <c r="R666" s="359">
        <f t="shared" ca="1" si="310"/>
        <v>0</v>
      </c>
      <c r="S666" s="360">
        <f t="shared" ca="1" si="311"/>
        <v>9.7379999999999765</v>
      </c>
      <c r="T666" s="357">
        <f t="shared" ca="1" si="291"/>
        <v>95.529779999999775</v>
      </c>
      <c r="U666" s="364">
        <f t="shared" ca="1" si="292"/>
        <v>0</v>
      </c>
      <c r="V666" s="359">
        <f t="shared" ca="1" si="293"/>
        <v>0.9359292419974049</v>
      </c>
      <c r="W666" s="357">
        <f t="shared" ca="1" si="294"/>
        <v>3.7578043729519739</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-4.5952778224820028</v>
      </c>
      <c r="AH666" s="357">
        <f t="shared" ca="1" si="318"/>
        <v>-0.39425579414576384</v>
      </c>
    </row>
    <row r="667" spans="1:34" x14ac:dyDescent="0.25">
      <c r="A667" s="402">
        <f t="shared" ca="1" si="296"/>
        <v>0.1</v>
      </c>
      <c r="B667" s="357">
        <f t="shared" ca="1" si="297"/>
        <v>21.299999999999972</v>
      </c>
      <c r="C667" s="342"/>
      <c r="D667" s="359">
        <f t="shared" ca="1" si="298"/>
        <v>-0.35211731194309254</v>
      </c>
      <c r="E667" s="360">
        <f t="shared" ca="1" si="299"/>
        <v>-9.9678768169673955</v>
      </c>
      <c r="F667" s="357">
        <f t="shared" ca="1" si="300"/>
        <v>9.9740941864214463</v>
      </c>
      <c r="G667" s="359">
        <f t="shared" ca="1" si="301"/>
        <v>38.395528270859394</v>
      </c>
      <c r="H667" s="360">
        <f t="shared" ca="1" si="302"/>
        <v>16.234182507597321</v>
      </c>
      <c r="I667" s="357">
        <f t="shared" ca="1" si="303"/>
        <v>41.686511882002577</v>
      </c>
      <c r="J667" s="359">
        <f t="shared" ca="1" si="304"/>
        <v>940.42016268429734</v>
      </c>
      <c r="K667" s="360">
        <f t="shared" ca="1" si="305"/>
        <v>2677.1033678350223</v>
      </c>
      <c r="L667" s="357">
        <f t="shared" ca="1" si="290"/>
        <v>2837.4764359297819</v>
      </c>
      <c r="M667" s="359">
        <f t="shared" ca="1" si="306"/>
        <v>0.40001797478213114</v>
      </c>
      <c r="N667" s="357">
        <f t="shared" ca="1" si="307"/>
        <v>22.919341684386712</v>
      </c>
      <c r="O667" s="343"/>
      <c r="P667" s="363">
        <f t="shared" ca="1" si="308"/>
        <v>23</v>
      </c>
      <c r="Q667" s="357">
        <f t="shared" ca="1" si="309"/>
        <v>0</v>
      </c>
      <c r="R667" s="359">
        <f t="shared" ca="1" si="310"/>
        <v>0</v>
      </c>
      <c r="S667" s="360">
        <f t="shared" ca="1" si="311"/>
        <v>9.7379999999999765</v>
      </c>
      <c r="T667" s="357">
        <f t="shared" ca="1" si="291"/>
        <v>95.529779999999775</v>
      </c>
      <c r="U667" s="364">
        <f t="shared" ca="1" si="292"/>
        <v>0</v>
      </c>
      <c r="V667" s="359">
        <f t="shared" ca="1" si="293"/>
        <v>0.93576979520678627</v>
      </c>
      <c r="W667" s="357">
        <f t="shared" ca="1" si="294"/>
        <v>3.6807791053909757</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-4.3993880456053533</v>
      </c>
      <c r="AH667" s="357">
        <f t="shared" ca="1" si="318"/>
        <v>-0.3858907756163466</v>
      </c>
    </row>
    <row r="668" spans="1:34" x14ac:dyDescent="0.25">
      <c r="A668" s="402">
        <f t="shared" ca="1" si="296"/>
        <v>0.1</v>
      </c>
      <c r="B668" s="357">
        <f t="shared" ca="1" si="297"/>
        <v>21.399999999999974</v>
      </c>
      <c r="C668" s="342"/>
      <c r="D668" s="359">
        <f t="shared" ca="1" si="298"/>
        <v>-0.3481409218097139</v>
      </c>
      <c r="E668" s="360">
        <f t="shared" ca="1" si="299"/>
        <v>-9.957198997319475</v>
      </c>
      <c r="F668" s="357">
        <f t="shared" ca="1" si="300"/>
        <v>9.96328329285374</v>
      </c>
      <c r="G668" s="359">
        <f t="shared" ca="1" si="301"/>
        <v>38.360714178678421</v>
      </c>
      <c r="H668" s="360">
        <f t="shared" ca="1" si="302"/>
        <v>15.238462607865374</v>
      </c>
      <c r="I668" s="357">
        <f t="shared" ca="1" si="303"/>
        <v>41.27656883692697</v>
      </c>
      <c r="J668" s="359">
        <f t="shared" ca="1" si="304"/>
        <v>944.2579748067742</v>
      </c>
      <c r="K668" s="360">
        <f t="shared" ca="1" si="305"/>
        <v>2678.6770000907954</v>
      </c>
      <c r="L668" s="357">
        <f t="shared" ca="1" si="290"/>
        <v>2840.2347779367842</v>
      </c>
      <c r="M668" s="359">
        <f t="shared" ca="1" si="306"/>
        <v>0.37812598689404392</v>
      </c>
      <c r="N668" s="357">
        <f t="shared" ca="1" si="307"/>
        <v>21.665023173247796</v>
      </c>
      <c r="O668" s="343"/>
      <c r="P668" s="363">
        <f t="shared" ca="1" si="308"/>
        <v>23</v>
      </c>
      <c r="Q668" s="357">
        <f t="shared" ca="1" si="309"/>
        <v>0</v>
      </c>
      <c r="R668" s="359">
        <f t="shared" ca="1" si="310"/>
        <v>0</v>
      </c>
      <c r="S668" s="360">
        <f t="shared" ca="1" si="311"/>
        <v>9.7379999999999765</v>
      </c>
      <c r="T668" s="357">
        <f t="shared" ca="1" si="291"/>
        <v>95.529779999999775</v>
      </c>
      <c r="U668" s="364">
        <f t="shared" ca="1" si="292"/>
        <v>0</v>
      </c>
      <c r="V668" s="359">
        <f t="shared" ca="1" si="293"/>
        <v>0.93561986331053715</v>
      </c>
      <c r="W668" s="357">
        <f t="shared" ca="1" si="294"/>
        <v>3.6081636668792778</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-4.1983373636040913</v>
      </c>
      <c r="AH668" s="357">
        <f t="shared" ca="1" si="318"/>
        <v>-0.37798101308184273</v>
      </c>
    </row>
    <row r="669" spans="1:34" x14ac:dyDescent="0.25">
      <c r="A669" s="402">
        <f t="shared" ca="1" si="296"/>
        <v>0.1</v>
      </c>
      <c r="B669" s="357">
        <f t="shared" ca="1" si="297"/>
        <v>21.499999999999975</v>
      </c>
      <c r="C669" s="342"/>
      <c r="D669" s="359">
        <f t="shared" ca="1" si="298"/>
        <v>-0.34434957706955222</v>
      </c>
      <c r="E669" s="360">
        <f t="shared" ca="1" si="299"/>
        <v>-9.9467898973352593</v>
      </c>
      <c r="F669" s="357">
        <f t="shared" ca="1" si="300"/>
        <v>9.9527486601922561</v>
      </c>
      <c r="G669" s="359">
        <f t="shared" ca="1" si="301"/>
        <v>38.326279220971465</v>
      </c>
      <c r="H669" s="360">
        <f t="shared" ca="1" si="302"/>
        <v>14.243783618131848</v>
      </c>
      <c r="I669" s="357">
        <f t="shared" ca="1" si="303"/>
        <v>40.887517052078749</v>
      </c>
      <c r="J669" s="359">
        <f t="shared" ca="1" si="304"/>
        <v>948.09232447675674</v>
      </c>
      <c r="K669" s="360">
        <f t="shared" ca="1" si="305"/>
        <v>2680.1511124020954</v>
      </c>
      <c r="L669" s="357">
        <f t="shared" ca="1" si="290"/>
        <v>2842.9015179991602</v>
      </c>
      <c r="M669" s="359">
        <f t="shared" ca="1" si="306"/>
        <v>0.35582637222261154</v>
      </c>
      <c r="N669" s="357">
        <f t="shared" ca="1" si="307"/>
        <v>20.38734936780671</v>
      </c>
      <c r="O669" s="343"/>
      <c r="P669" s="363">
        <f t="shared" ca="1" si="308"/>
        <v>23</v>
      </c>
      <c r="Q669" s="357">
        <f t="shared" ca="1" si="309"/>
        <v>0</v>
      </c>
      <c r="R669" s="359">
        <f t="shared" ca="1" si="310"/>
        <v>0</v>
      </c>
      <c r="S669" s="360">
        <f t="shared" ca="1" si="311"/>
        <v>9.7379999999999765</v>
      </c>
      <c r="T669" s="357">
        <f t="shared" ca="1" si="291"/>
        <v>95.529779999999775</v>
      </c>
      <c r="U669" s="364">
        <f t="shared" ca="1" si="292"/>
        <v>0</v>
      </c>
      <c r="V669" s="359">
        <f t="shared" ca="1" si="293"/>
        <v>0.93547943230878783</v>
      </c>
      <c r="W669" s="357">
        <f t="shared" ca="1" si="294"/>
        <v>3.5399354090711013</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-3.9921748891814715</v>
      </c>
      <c r="AH669" s="357">
        <f t="shared" ca="1" si="318"/>
        <v>-0.37052409805702263</v>
      </c>
    </row>
    <row r="670" spans="1:34" x14ac:dyDescent="0.25">
      <c r="A670" s="402">
        <f t="shared" ca="1" si="296"/>
        <v>0.1</v>
      </c>
      <c r="B670" s="357">
        <f t="shared" ca="1" si="297"/>
        <v>21.599999999999977</v>
      </c>
      <c r="C670" s="342"/>
      <c r="D670" s="359">
        <f t="shared" ca="1" si="298"/>
        <v>-0.34074656666283004</v>
      </c>
      <c r="E670" s="360">
        <f t="shared" ca="1" si="299"/>
        <v>-9.9366368784766088</v>
      </c>
      <c r="F670" s="357">
        <f t="shared" ca="1" si="300"/>
        <v>9.9424775925014721</v>
      </c>
      <c r="G670" s="359">
        <f t="shared" ca="1" si="301"/>
        <v>38.29220456430518</v>
      </c>
      <c r="H670" s="360">
        <f t="shared" ca="1" si="302"/>
        <v>13.250119930284187</v>
      </c>
      <c r="I670" s="357">
        <f t="shared" ca="1" si="303"/>
        <v>40.519854498276629</v>
      </c>
      <c r="J670" s="359">
        <f t="shared" ca="1" si="304"/>
        <v>951.92324866602053</v>
      </c>
      <c r="K670" s="360">
        <f t="shared" ca="1" si="305"/>
        <v>2681.5258075795164</v>
      </c>
      <c r="L670" s="357">
        <f t="shared" ca="1" si="290"/>
        <v>2845.4768542488355</v>
      </c>
      <c r="M670" s="359">
        <f t="shared" ca="1" si="306"/>
        <v>0.33313063283979444</v>
      </c>
      <c r="N670" s="357">
        <f t="shared" ca="1" si="307"/>
        <v>19.086979288242443</v>
      </c>
      <c r="O670" s="343"/>
      <c r="P670" s="363">
        <f t="shared" ca="1" si="308"/>
        <v>23</v>
      </c>
      <c r="Q670" s="357">
        <f t="shared" ca="1" si="309"/>
        <v>0</v>
      </c>
      <c r="R670" s="359">
        <f t="shared" ca="1" si="310"/>
        <v>0</v>
      </c>
      <c r="S670" s="360">
        <f t="shared" ca="1" si="311"/>
        <v>9.7379999999999765</v>
      </c>
      <c r="T670" s="357">
        <f t="shared" ca="1" si="291"/>
        <v>95.529779999999775</v>
      </c>
      <c r="U670" s="364">
        <f t="shared" ca="1" si="292"/>
        <v>0</v>
      </c>
      <c r="V670" s="359">
        <f t="shared" ca="1" si="293"/>
        <v>0.93534848870818044</v>
      </c>
      <c r="W670" s="357">
        <f t="shared" ca="1" si="294"/>
        <v>3.4760724617771337</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-3.7809792521655989</v>
      </c>
      <c r="AH670" s="357">
        <f t="shared" ca="1" si="318"/>
        <v>-0.36351770477214107</v>
      </c>
    </row>
    <row r="671" spans="1:34" x14ac:dyDescent="0.25">
      <c r="A671" s="402">
        <f t="shared" ca="1" si="296"/>
        <v>0.1</v>
      </c>
      <c r="B671" s="357">
        <f t="shared" ca="1" si="297"/>
        <v>21.699999999999978</v>
      </c>
      <c r="C671" s="342"/>
      <c r="D671" s="359">
        <f t="shared" ca="1" si="298"/>
        <v>-0.33733510916772547</v>
      </c>
      <c r="E671" s="360">
        <f t="shared" ca="1" si="299"/>
        <v>-9.9267269083622942</v>
      </c>
      <c r="F671" s="357">
        <f t="shared" ca="1" si="300"/>
        <v>9.9324570016225717</v>
      </c>
      <c r="G671" s="359">
        <f t="shared" ca="1" si="301"/>
        <v>38.258471053388405</v>
      </c>
      <c r="H671" s="360">
        <f t="shared" ca="1" si="302"/>
        <v>12.257447239447957</v>
      </c>
      <c r="I671" s="357">
        <f t="shared" ca="1" si="303"/>
        <v>40.174066512749349</v>
      </c>
      <c r="J671" s="359">
        <f t="shared" ca="1" si="304"/>
        <v>955.75078244690519</v>
      </c>
      <c r="K671" s="360">
        <f t="shared" ca="1" si="305"/>
        <v>2682.8011859380031</v>
      </c>
      <c r="L671" s="357">
        <f t="shared" ca="1" si="290"/>
        <v>2847.9609831277935</v>
      </c>
      <c r="M671" s="359">
        <f t="shared" ca="1" si="306"/>
        <v>0.31005230924959826</v>
      </c>
      <c r="N671" s="357">
        <f t="shared" ca="1" si="307"/>
        <v>17.764688748286996</v>
      </c>
      <c r="O671" s="343"/>
      <c r="P671" s="363">
        <f t="shared" ca="1" si="308"/>
        <v>23</v>
      </c>
      <c r="Q671" s="357">
        <f t="shared" ca="1" si="309"/>
        <v>0</v>
      </c>
      <c r="R671" s="359">
        <f t="shared" ca="1" si="310"/>
        <v>0</v>
      </c>
      <c r="S671" s="360">
        <f t="shared" ca="1" si="311"/>
        <v>9.7379999999999765</v>
      </c>
      <c r="T671" s="357">
        <f t="shared" ca="1" si="291"/>
        <v>95.529779999999775</v>
      </c>
      <c r="U671" s="364">
        <f t="shared" ca="1" si="292"/>
        <v>0</v>
      </c>
      <c r="V671" s="359">
        <f t="shared" ca="1" si="293"/>
        <v>0.93522701950838028</v>
      </c>
      <c r="W671" s="357">
        <f t="shared" ca="1" si="294"/>
        <v>3.4165537053295747</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-3.5648604578305165</v>
      </c>
      <c r="AH671" s="357">
        <f t="shared" ca="1" si="318"/>
        <v>-0.35695958736672234</v>
      </c>
    </row>
    <row r="672" spans="1:34" x14ac:dyDescent="0.25">
      <c r="A672" s="402">
        <f t="shared" ca="1" si="296"/>
        <v>0.1</v>
      </c>
      <c r="B672" s="357">
        <f t="shared" ca="1" si="297"/>
        <v>21.799999999999979</v>
      </c>
      <c r="C672" s="342"/>
      <c r="D672" s="359">
        <f t="shared" ca="1" si="298"/>
        <v>-0.33411832647124817</v>
      </c>
      <c r="E672" s="360">
        <f t="shared" ca="1" si="299"/>
        <v>-9.9170465610802623</v>
      </c>
      <c r="F672" s="357">
        <f t="shared" ca="1" si="300"/>
        <v>9.922673407440044</v>
      </c>
      <c r="G672" s="359">
        <f t="shared" ca="1" si="301"/>
        <v>38.225059220741279</v>
      </c>
      <c r="H672" s="360">
        <f t="shared" ca="1" si="302"/>
        <v>11.265742583339931</v>
      </c>
      <c r="I672" s="357">
        <f t="shared" ca="1" si="303"/>
        <v>39.850622434075689</v>
      </c>
      <c r="J672" s="359">
        <f t="shared" ca="1" si="304"/>
        <v>959.57495896061164</v>
      </c>
      <c r="K672" s="360">
        <f t="shared" ca="1" si="305"/>
        <v>2683.9773454291426</v>
      </c>
      <c r="L672" s="357">
        <f t="shared" ca="1" si="290"/>
        <v>2850.3540995183612</v>
      </c>
      <c r="M672" s="359">
        <f t="shared" ca="1" si="306"/>
        <v>0.28660702502190788</v>
      </c>
      <c r="N672" s="357">
        <f t="shared" ca="1" si="307"/>
        <v>16.421372912555704</v>
      </c>
      <c r="O672" s="343"/>
      <c r="P672" s="363">
        <f t="shared" ca="1" si="308"/>
        <v>23</v>
      </c>
      <c r="Q672" s="357">
        <f t="shared" ca="1" si="309"/>
        <v>0</v>
      </c>
      <c r="R672" s="359">
        <f t="shared" ca="1" si="310"/>
        <v>0</v>
      </c>
      <c r="S672" s="360">
        <f t="shared" ca="1" si="311"/>
        <v>9.7379999999999765</v>
      </c>
      <c r="T672" s="357">
        <f t="shared" ca="1" si="291"/>
        <v>95.529779999999775</v>
      </c>
      <c r="U672" s="364">
        <f t="shared" ca="1" si="292"/>
        <v>0</v>
      </c>
      <c r="V672" s="359">
        <f t="shared" ca="1" si="293"/>
        <v>0.93511501218826509</v>
      </c>
      <c r="W672" s="357">
        <f t="shared" ca="1" si="294"/>
        <v>3.3613587426262534</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-3.3439614899991166</v>
      </c>
      <c r="AH672" s="357">
        <f t="shared" ca="1" si="318"/>
        <v>-0.35084757705171316</v>
      </c>
    </row>
    <row r="673" spans="1:34" x14ac:dyDescent="0.25">
      <c r="A673" s="402">
        <f t="shared" ca="1" si="296"/>
        <v>0.1</v>
      </c>
      <c r="B673" s="357">
        <f t="shared" ca="1" si="297"/>
        <v>21.899999999999981</v>
      </c>
      <c r="C673" s="342"/>
      <c r="D673" s="359">
        <f t="shared" ca="1" si="298"/>
        <v>-0.33109921633009798</v>
      </c>
      <c r="E673" s="360">
        <f t="shared" ca="1" si="299"/>
        <v>-9.9075820212384791</v>
      </c>
      <c r="F673" s="357">
        <f t="shared" ca="1" si="300"/>
        <v>9.9131129418877464</v>
      </c>
      <c r="G673" s="359">
        <f t="shared" ca="1" si="301"/>
        <v>38.191949299108266</v>
      </c>
      <c r="H673" s="360">
        <f t="shared" ca="1" si="302"/>
        <v>10.274984381216083</v>
      </c>
      <c r="I673" s="357">
        <f t="shared" ca="1" si="303"/>
        <v>39.549972127675275</v>
      </c>
      <c r="J673" s="359">
        <f t="shared" ca="1" si="304"/>
        <v>963.39580938660413</v>
      </c>
      <c r="K673" s="360">
        <f t="shared" ca="1" si="305"/>
        <v>2685.0543817773705</v>
      </c>
      <c r="L673" s="357">
        <f t="shared" ca="1" si="290"/>
        <v>2852.6563968773962</v>
      </c>
      <c r="M673" s="359">
        <f t="shared" ca="1" si="306"/>
        <v>0.26281250955457164</v>
      </c>
      <c r="N673" s="357">
        <f t="shared" ca="1" si="307"/>
        <v>15.058047600718577</v>
      </c>
      <c r="O673" s="343"/>
      <c r="P673" s="363">
        <f t="shared" ca="1" si="308"/>
        <v>23</v>
      </c>
      <c r="Q673" s="357">
        <f t="shared" ca="1" si="309"/>
        <v>0</v>
      </c>
      <c r="R673" s="359">
        <f t="shared" ca="1" si="310"/>
        <v>0</v>
      </c>
      <c r="S673" s="360">
        <f t="shared" ca="1" si="311"/>
        <v>9.7379999999999765</v>
      </c>
      <c r="T673" s="357">
        <f t="shared" ca="1" si="291"/>
        <v>95.529779999999775</v>
      </c>
      <c r="U673" s="364">
        <f t="shared" ca="1" si="292"/>
        <v>0</v>
      </c>
      <c r="V673" s="359">
        <f t="shared" ca="1" si="293"/>
        <v>0.93501245469180383</v>
      </c>
      <c r="W673" s="357">
        <f t="shared" ca="1" si="294"/>
        <v>3.3104678708471851</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-3.1184595932558081</v>
      </c>
      <c r="AH673" s="357">
        <f t="shared" ca="1" si="318"/>
        <v>-0.34517957923867953</v>
      </c>
    </row>
    <row r="674" spans="1:34" x14ac:dyDescent="0.25">
      <c r="A674" s="402">
        <f t="shared" ca="1" si="296"/>
        <v>0.1</v>
      </c>
      <c r="B674" s="357">
        <f t="shared" ca="1" si="297"/>
        <v>21.999999999999982</v>
      </c>
      <c r="C674" s="342"/>
      <c r="D674" s="359">
        <f t="shared" ca="1" si="298"/>
        <v>-0.3282806241138021</v>
      </c>
      <c r="E674" s="360">
        <f t="shared" ca="1" si="299"/>
        <v>-9.8983190920423638</v>
      </c>
      <c r="F674" s="357">
        <f t="shared" ca="1" si="300"/>
        <v>9.9037613569824519</v>
      </c>
      <c r="G674" s="359">
        <f t="shared" ca="1" si="301"/>
        <v>38.159121236696883</v>
      </c>
      <c r="H674" s="360">
        <f t="shared" ca="1" si="302"/>
        <v>9.2851524720118466</v>
      </c>
      <c r="I674" s="357">
        <f t="shared" ca="1" si="303"/>
        <v>39.272542443613688</v>
      </c>
      <c r="J674" s="359">
        <f t="shared" ca="1" si="304"/>
        <v>967.21336291339435</v>
      </c>
      <c r="K674" s="360">
        <f t="shared" ca="1" si="305"/>
        <v>2686.0323886200317</v>
      </c>
      <c r="L674" s="357">
        <f t="shared" ca="1" si="290"/>
        <v>2854.8680673744052</v>
      </c>
      <c r="M674" s="359">
        <f t="shared" ca="1" si="306"/>
        <v>0.23868859632416217</v>
      </c>
      <c r="N674" s="357">
        <f t="shared" ca="1" si="307"/>
        <v>13.675849187276308</v>
      </c>
      <c r="O674" s="343"/>
      <c r="P674" s="363">
        <f t="shared" ca="1" si="308"/>
        <v>23</v>
      </c>
      <c r="Q674" s="357">
        <f t="shared" ca="1" si="309"/>
        <v>0</v>
      </c>
      <c r="R674" s="359">
        <f t="shared" ca="1" si="310"/>
        <v>0</v>
      </c>
      <c r="S674" s="360">
        <f t="shared" ca="1" si="311"/>
        <v>9.7379999999999765</v>
      </c>
      <c r="T674" s="357">
        <f t="shared" ca="1" si="291"/>
        <v>95.529779999999775</v>
      </c>
      <c r="U674" s="364">
        <f t="shared" ca="1" si="292"/>
        <v>0</v>
      </c>
      <c r="V674" s="359">
        <f t="shared" ca="1" si="293"/>
        <v>0.93491933541361838</v>
      </c>
      <c r="W674" s="357">
        <f t="shared" ca="1" si="294"/>
        <v>3.2638620528433608</v>
      </c>
      <c r="X674" s="343"/>
      <c r="Y674" s="367" t="str">
        <f t="shared" ca="1" si="312"/>
        <v/>
      </c>
      <c r="Z674" s="368" t="str">
        <f t="shared" ca="1" si="313"/>
        <v/>
      </c>
      <c r="AA674" s="369" t="str">
        <f t="shared" ca="1" si="314"/>
        <v/>
      </c>
      <c r="AB674" s="344"/>
      <c r="AC674" s="363">
        <f t="shared" ca="1" si="315"/>
        <v>21.999999999999982</v>
      </c>
      <c r="AD674" s="376">
        <f t="shared" ca="1" si="316"/>
        <v>967.21336291339435</v>
      </c>
      <c r="AE674" s="377" t="e">
        <f t="shared" ca="1" si="295"/>
        <v>#N/A</v>
      </c>
      <c r="AF674" s="344"/>
      <c r="AG674" s="359">
        <f t="shared" ca="1" si="317"/>
        <v>-2.8885671690049133</v>
      </c>
      <c r="AH674" s="357">
        <f t="shared" ca="1" si="318"/>
        <v>-0.33995357063536591</v>
      </c>
    </row>
    <row r="675" spans="1:34" x14ac:dyDescent="0.25">
      <c r="A675" s="402">
        <f t="shared" ca="1" si="296"/>
        <v>0.1</v>
      </c>
      <c r="B675" s="357">
        <f t="shared" ca="1" si="297"/>
        <v>22.099999999999984</v>
      </c>
      <c r="C675" s="342"/>
      <c r="D675" s="359">
        <f t="shared" ca="1" si="298"/>
        <v>-0.32566521407359583</v>
      </c>
      <c r="E675" s="360">
        <f t="shared" ca="1" si="299"/>
        <v>-9.889243207639586</v>
      </c>
      <c r="F675" s="357">
        <f t="shared" ca="1" si="300"/>
        <v>9.894604037125653</v>
      </c>
      <c r="G675" s="359">
        <f t="shared" ca="1" si="301"/>
        <v>38.126554715289522</v>
      </c>
      <c r="H675" s="360">
        <f t="shared" ca="1" si="302"/>
        <v>8.2962281512478881</v>
      </c>
      <c r="I675" s="357">
        <f t="shared" ca="1" si="303"/>
        <v>39.018733654432246</v>
      </c>
      <c r="J675" s="359">
        <f t="shared" ca="1" si="304"/>
        <v>971.02764671099362</v>
      </c>
      <c r="K675" s="360">
        <f t="shared" ca="1" si="305"/>
        <v>2686.9114576511947</v>
      </c>
      <c r="L675" s="357">
        <f t="shared" ca="1" si="290"/>
        <v>2856.9893020335862</v>
      </c>
      <c r="M675" s="359">
        <f t="shared" ca="1" si="306"/>
        <v>0.21425719433453538</v>
      </c>
      <c r="N675" s="357">
        <f t="shared" ca="1" si="307"/>
        <v>12.27603296568317</v>
      </c>
      <c r="O675" s="343"/>
      <c r="P675" s="363">
        <f t="shared" ca="1" si="308"/>
        <v>23</v>
      </c>
      <c r="Q675" s="357">
        <f t="shared" ca="1" si="309"/>
        <v>0</v>
      </c>
      <c r="R675" s="359">
        <f t="shared" ca="1" si="310"/>
        <v>0</v>
      </c>
      <c r="S675" s="360">
        <f t="shared" ca="1" si="311"/>
        <v>9.7379999999999765</v>
      </c>
      <c r="T675" s="357">
        <f t="shared" ca="1" si="291"/>
        <v>95.529779999999775</v>
      </c>
      <c r="U675" s="364">
        <f t="shared" ca="1" si="292"/>
        <v>0</v>
      </c>
      <c r="V675" s="359">
        <f t="shared" ca="1" si="293"/>
        <v>0.9348356431842415</v>
      </c>
      <c r="W675" s="357">
        <f t="shared" ca="1" si="294"/>
        <v>3.2215228882046261</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-2.6545322231640474</v>
      </c>
      <c r="AH675" s="357">
        <f t="shared" ca="1" si="318"/>
        <v>-0.33516759630759591</v>
      </c>
    </row>
    <row r="676" spans="1:34" x14ac:dyDescent="0.25">
      <c r="A676" s="402">
        <f t="shared" ca="1" si="296"/>
        <v>0.1</v>
      </c>
      <c r="B676" s="357">
        <f t="shared" ca="1" si="297"/>
        <v>22.199999999999985</v>
      </c>
      <c r="C676" s="342"/>
      <c r="D676" s="359">
        <f t="shared" ca="1" si="298"/>
        <v>-0.32325544052779548</v>
      </c>
      <c r="E676" s="360">
        <f t="shared" ca="1" si="299"/>
        <v>-9.8803394499129844</v>
      </c>
      <c r="F676" s="357">
        <f t="shared" ca="1" si="300"/>
        <v>9.8856260158544149</v>
      </c>
      <c r="G676" s="359">
        <f t="shared" ca="1" si="301"/>
        <v>38.094229171236741</v>
      </c>
      <c r="H676" s="360">
        <f t="shared" ca="1" si="302"/>
        <v>7.3081942062565899</v>
      </c>
      <c r="I676" s="357">
        <f t="shared" ca="1" si="303"/>
        <v>38.788915925906807</v>
      </c>
      <c r="J676" s="359">
        <f t="shared" ca="1" si="304"/>
        <v>974.83868590531995</v>
      </c>
      <c r="K676" s="360">
        <f t="shared" ca="1" si="305"/>
        <v>2687.6916787690698</v>
      </c>
      <c r="L676" s="357">
        <f t="shared" ca="1" si="290"/>
        <v>2859.0202908797469</v>
      </c>
      <c r="M676" s="359">
        <f t="shared" ca="1" si="306"/>
        <v>0.18954223094783207</v>
      </c>
      <c r="N676" s="357">
        <f t="shared" ca="1" si="307"/>
        <v>10.859969872804715</v>
      </c>
      <c r="O676" s="343"/>
      <c r="P676" s="363">
        <f t="shared" ca="1" si="308"/>
        <v>23</v>
      </c>
      <c r="Q676" s="357">
        <f t="shared" ca="1" si="309"/>
        <v>0</v>
      </c>
      <c r="R676" s="359">
        <f t="shared" ca="1" si="310"/>
        <v>0</v>
      </c>
      <c r="S676" s="360">
        <f t="shared" ca="1" si="311"/>
        <v>9.7379999999999765</v>
      </c>
      <c r="T676" s="357">
        <f t="shared" ca="1" si="291"/>
        <v>95.529779999999775</v>
      </c>
      <c r="U676" s="364">
        <f t="shared" ca="1" si="292"/>
        <v>0</v>
      </c>
      <c r="V676" s="359">
        <f t="shared" ca="1" si="293"/>
        <v>0.93476136725508052</v>
      </c>
      <c r="W676" s="357">
        <f t="shared" ca="1" si="294"/>
        <v>3.183432584020728</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-2.4166383092712196</v>
      </c>
      <c r="AH676" s="357">
        <f t="shared" ca="1" si="318"/>
        <v>-0.33081976670821872</v>
      </c>
    </row>
    <row r="677" spans="1:34" x14ac:dyDescent="0.25">
      <c r="A677" s="402">
        <f t="shared" ca="1" si="296"/>
        <v>0.1</v>
      </c>
      <c r="B677" s="357">
        <f t="shared" ca="1" si="297"/>
        <v>22.299999999999986</v>
      </c>
      <c r="C677" s="342"/>
      <c r="D677" s="359">
        <f t="shared" ca="1" si="298"/>
        <v>-0.32105351939531096</v>
      </c>
      <c r="E677" s="360">
        <f t="shared" ca="1" si="299"/>
        <v>-9.8715925698298346</v>
      </c>
      <c r="F677" s="357">
        <f t="shared" ca="1" si="300"/>
        <v>9.8768119971494706</v>
      </c>
      <c r="G677" s="359">
        <f t="shared" ca="1" si="301"/>
        <v>38.062123819297213</v>
      </c>
      <c r="H677" s="360">
        <f t="shared" ca="1" si="302"/>
        <v>6.3210349492736064</v>
      </c>
      <c r="I677" s="357">
        <f t="shared" ca="1" si="303"/>
        <v>38.58342587777102</v>
      </c>
      <c r="J677" s="359">
        <f t="shared" ca="1" si="304"/>
        <v>978.64650355484662</v>
      </c>
      <c r="K677" s="360">
        <f t="shared" ca="1" si="305"/>
        <v>2688.3731402268463</v>
      </c>
      <c r="L677" s="357">
        <f t="shared" ca="1" si="290"/>
        <v>2860.9612230880166</v>
      </c>
      <c r="M677" s="359">
        <f t="shared" ca="1" si="306"/>
        <v>0.16456956488042143</v>
      </c>
      <c r="N677" s="357">
        <f t="shared" ca="1" si="307"/>
        <v>9.4291415039525219</v>
      </c>
      <c r="O677" s="343"/>
      <c r="P677" s="363">
        <f t="shared" ca="1" si="308"/>
        <v>23</v>
      </c>
      <c r="Q677" s="357">
        <f t="shared" ca="1" si="309"/>
        <v>0</v>
      </c>
      <c r="R677" s="359">
        <f t="shared" ca="1" si="310"/>
        <v>0</v>
      </c>
      <c r="S677" s="360">
        <f t="shared" ca="1" si="311"/>
        <v>9.7379999999999765</v>
      </c>
      <c r="T677" s="357">
        <f t="shared" ca="1" si="291"/>
        <v>95.529779999999775</v>
      </c>
      <c r="U677" s="364">
        <f t="shared" ca="1" si="292"/>
        <v>0</v>
      </c>
      <c r="V677" s="359">
        <f t="shared" ca="1" si="293"/>
        <v>0.934696497283105</v>
      </c>
      <c r="W677" s="357">
        <f t="shared" ca="1" si="294"/>
        <v>3.1495739253572288</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-2.1752039198672342</v>
      </c>
      <c r="AH677" s="357">
        <f t="shared" ca="1" si="318"/>
        <v>-0.32690825467454671</v>
      </c>
    </row>
    <row r="678" spans="1:34" x14ac:dyDescent="0.25">
      <c r="A678" s="402">
        <f t="shared" ca="1" si="296"/>
        <v>0.1</v>
      </c>
      <c r="B678" s="357">
        <f t="shared" ca="1" si="297"/>
        <v>22.399999999999988</v>
      </c>
      <c r="C678" s="342"/>
      <c r="D678" s="359">
        <f t="shared" ca="1" si="298"/>
        <v>-0.31906140054099708</v>
      </c>
      <c r="E678" s="360">
        <f t="shared" ca="1" si="299"/>
        <v>-9.8629870133721056</v>
      </c>
      <c r="F678" s="357">
        <f t="shared" ca="1" si="300"/>
        <v>9.8681463813252179</v>
      </c>
      <c r="G678" s="359">
        <f t="shared" ca="1" si="301"/>
        <v>38.030217679243115</v>
      </c>
      <c r="H678" s="360">
        <f t="shared" ca="1" si="302"/>
        <v>5.3347362479363962</v>
      </c>
      <c r="I678" s="357">
        <f t="shared" ca="1" si="303"/>
        <v>38.402563294208136</v>
      </c>
      <c r="J678" s="359">
        <f t="shared" ca="1" si="304"/>
        <v>982.45112062977364</v>
      </c>
      <c r="K678" s="360">
        <f t="shared" ca="1" si="305"/>
        <v>2688.9559287867069</v>
      </c>
      <c r="L678" s="357">
        <f t="shared" ca="1" si="290"/>
        <v>2862.812287137227</v>
      </c>
      <c r="M678" s="359">
        <f t="shared" ca="1" si="306"/>
        <v>0.13936686885414384</v>
      </c>
      <c r="N678" s="357">
        <f t="shared" ca="1" si="307"/>
        <v>7.9851333892956857</v>
      </c>
      <c r="O678" s="343"/>
      <c r="P678" s="363">
        <f t="shared" ca="1" si="308"/>
        <v>23</v>
      </c>
      <c r="Q678" s="357">
        <f t="shared" ca="1" si="309"/>
        <v>0</v>
      </c>
      <c r="R678" s="359">
        <f t="shared" ca="1" si="310"/>
        <v>0</v>
      </c>
      <c r="S678" s="360">
        <f t="shared" ca="1" si="311"/>
        <v>9.7379999999999765</v>
      </c>
      <c r="T678" s="357">
        <f t="shared" ca="1" si="291"/>
        <v>95.529779999999775</v>
      </c>
      <c r="U678" s="364">
        <f t="shared" ca="1" si="292"/>
        <v>0</v>
      </c>
      <c r="V678" s="359">
        <f t="shared" ca="1" si="293"/>
        <v>0.93464102331527055</v>
      </c>
      <c r="W678" s="357">
        <f t="shared" ca="1" si="294"/>
        <v>3.1199302454754685</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-1.9305812911761535</v>
      </c>
      <c r="AH678" s="357">
        <f t="shared" ca="1" si="318"/>
        <v>-0.32343129239651225</v>
      </c>
    </row>
    <row r="679" spans="1:34" x14ac:dyDescent="0.25">
      <c r="A679" s="402">
        <f t="shared" ca="1" si="296"/>
        <v>0.1</v>
      </c>
      <c r="B679" s="357">
        <f t="shared" ca="1" si="297"/>
        <v>22.499999999999989</v>
      </c>
      <c r="C679" s="342"/>
      <c r="D679" s="359">
        <f t="shared" ca="1" si="298"/>
        <v>-0.31728074141731283</v>
      </c>
      <c r="E679" s="360">
        <f t="shared" ca="1" si="299"/>
        <v>-9.8545069519792658</v>
      </c>
      <c r="F679" s="357">
        <f t="shared" ca="1" si="300"/>
        <v>9.8596132954331424</v>
      </c>
      <c r="G679" s="359">
        <f t="shared" ca="1" si="301"/>
        <v>37.998489605101383</v>
      </c>
      <c r="H679" s="360">
        <f t="shared" ca="1" si="302"/>
        <v>4.3492855527384693</v>
      </c>
      <c r="I679" s="357">
        <f t="shared" ca="1" si="303"/>
        <v>38.246588045056484</v>
      </c>
      <c r="J679" s="359">
        <f t="shared" ca="1" si="304"/>
        <v>986.25255599399088</v>
      </c>
      <c r="K679" s="360">
        <f t="shared" ca="1" si="305"/>
        <v>2689.4401298767407</v>
      </c>
      <c r="L679" s="357">
        <f t="shared" ca="1" si="290"/>
        <v>2864.5736709667808</v>
      </c>
      <c r="M679" s="359">
        <f t="shared" ca="1" si="306"/>
        <v>0.11396348219049611</v>
      </c>
      <c r="N679" s="357">
        <f t="shared" ca="1" si="307"/>
        <v>6.5296265481297491</v>
      </c>
      <c r="O679" s="343"/>
      <c r="P679" s="363">
        <f t="shared" ca="1" si="308"/>
        <v>23</v>
      </c>
      <c r="Q679" s="357">
        <f t="shared" ca="1" si="309"/>
        <v>0</v>
      </c>
      <c r="R679" s="359">
        <f t="shared" ca="1" si="310"/>
        <v>0</v>
      </c>
      <c r="S679" s="360">
        <f t="shared" ca="1" si="311"/>
        <v>9.7379999999999765</v>
      </c>
      <c r="T679" s="357">
        <f t="shared" ca="1" si="291"/>
        <v>95.529779999999775</v>
      </c>
      <c r="U679" s="364">
        <f t="shared" ca="1" si="292"/>
        <v>0</v>
      </c>
      <c r="V679" s="359">
        <f t="shared" ca="1" si="293"/>
        <v>0.93459493577271413</v>
      </c>
      <c r="W679" s="357">
        <f t="shared" ca="1" si="294"/>
        <v>3.0944853958334293</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-1.6831546011290774</v>
      </c>
      <c r="AH679" s="357">
        <f t="shared" ca="1" si="318"/>
        <v>-0.32038716835854136</v>
      </c>
    </row>
    <row r="680" spans="1:34" x14ac:dyDescent="0.25">
      <c r="A680" s="402">
        <f t="shared" ca="1" si="296"/>
        <v>0.1</v>
      </c>
      <c r="B680" s="357">
        <f t="shared" ca="1" si="297"/>
        <v>22.599999999999991</v>
      </c>
      <c r="C680" s="342"/>
      <c r="D680" s="359">
        <f t="shared" ca="1" si="298"/>
        <v>-0.31571288249417451</v>
      </c>
      <c r="E680" s="360">
        <f t="shared" ca="1" si="299"/>
        <v>-9.8461363173356506</v>
      </c>
      <c r="F680" s="357">
        <f t="shared" ca="1" si="300"/>
        <v>9.8511966280106726</v>
      </c>
      <c r="G680" s="359">
        <f t="shared" ca="1" si="301"/>
        <v>37.966918316851967</v>
      </c>
      <c r="H680" s="360">
        <f t="shared" ca="1" si="302"/>
        <v>3.3646719210049043</v>
      </c>
      <c r="I680" s="357">
        <f t="shared" ca="1" si="303"/>
        <v>38.115717277974817</v>
      </c>
      <c r="J680" s="359">
        <f t="shared" ca="1" si="304"/>
        <v>990.05082639008856</v>
      </c>
      <c r="K680" s="360">
        <f t="shared" ca="1" si="305"/>
        <v>2689.8258277504278</v>
      </c>
      <c r="L680" s="357">
        <f t="shared" ca="1" si="290"/>
        <v>2866.2455621368122</v>
      </c>
      <c r="M680" s="359">
        <f t="shared" ca="1" si="306"/>
        <v>8.8390234493642042E-2</v>
      </c>
      <c r="N680" s="357">
        <f t="shared" ca="1" si="307"/>
        <v>5.0643873866573585</v>
      </c>
      <c r="O680" s="343"/>
      <c r="P680" s="363">
        <f t="shared" ca="1" si="308"/>
        <v>23</v>
      </c>
      <c r="Q680" s="357">
        <f t="shared" ca="1" si="309"/>
        <v>0</v>
      </c>
      <c r="R680" s="359">
        <f t="shared" ca="1" si="310"/>
        <v>0</v>
      </c>
      <c r="S680" s="360">
        <f t="shared" ca="1" si="311"/>
        <v>9.7379999999999765</v>
      </c>
      <c r="T680" s="357">
        <f t="shared" ca="1" si="291"/>
        <v>95.529779999999775</v>
      </c>
      <c r="U680" s="364">
        <f t="shared" ca="1" si="292"/>
        <v>0</v>
      </c>
      <c r="V680" s="359">
        <f t="shared" ca="1" si="293"/>
        <v>0.9345582254347381</v>
      </c>
      <c r="W680" s="357">
        <f t="shared" ca="1" si="294"/>
        <v>3.0732237159116242</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-1.4333375582248495</v>
      </c>
      <c r="AH680" s="357">
        <f t="shared" ca="1" si="318"/>
        <v>-0.3177742242589276</v>
      </c>
    </row>
    <row r="681" spans="1:34" x14ac:dyDescent="0.25">
      <c r="A681" s="402">
        <f t="shared" ca="1" si="296"/>
        <v>0.1</v>
      </c>
      <c r="B681" s="357">
        <f t="shared" ca="1" si="297"/>
        <v>22.699999999999992</v>
      </c>
      <c r="C681" s="342"/>
      <c r="D681" s="359">
        <f t="shared" ca="1" si="298"/>
        <v>-0.314358824961258</v>
      </c>
      <c r="E681" s="360">
        <f t="shared" ca="1" si="299"/>
        <v>-9.8378588402313856</v>
      </c>
      <c r="F681" s="357">
        <f t="shared" ca="1" si="300"/>
        <v>9.8428800679044066</v>
      </c>
      <c r="G681" s="359">
        <f t="shared" ca="1" si="301"/>
        <v>37.935482434355841</v>
      </c>
      <c r="H681" s="360">
        <f t="shared" ca="1" si="302"/>
        <v>2.3808860369817655</v>
      </c>
      <c r="I681" s="357">
        <f t="shared" ca="1" si="303"/>
        <v>38.010122939138398</v>
      </c>
      <c r="J681" s="359">
        <f t="shared" ca="1" si="304"/>
        <v>993.84594642764898</v>
      </c>
      <c r="K681" s="360">
        <f t="shared" ca="1" si="305"/>
        <v>2690.1131056483273</v>
      </c>
      <c r="L681" s="357">
        <f t="shared" ca="1" si="290"/>
        <v>2867.8281479913608</v>
      </c>
      <c r="M681" s="359">
        <f t="shared" ca="1" si="306"/>
        <v>6.2679242451970041E-2</v>
      </c>
      <c r="N681" s="357">
        <f t="shared" ca="1" si="307"/>
        <v>3.591256055575105</v>
      </c>
      <c r="O681" s="343"/>
      <c r="P681" s="363">
        <f t="shared" ca="1" si="308"/>
        <v>23</v>
      </c>
      <c r="Q681" s="357">
        <f t="shared" ca="1" si="309"/>
        <v>0</v>
      </c>
      <c r="R681" s="359">
        <f t="shared" ca="1" si="310"/>
        <v>0</v>
      </c>
      <c r="S681" s="360">
        <f t="shared" ca="1" si="311"/>
        <v>9.7379999999999765</v>
      </c>
      <c r="T681" s="357">
        <f t="shared" ca="1" si="291"/>
        <v>95.529779999999775</v>
      </c>
      <c r="U681" s="364">
        <f t="shared" ca="1" si="292"/>
        <v>0</v>
      </c>
      <c r="V681" s="359">
        <f t="shared" ca="1" si="293"/>
        <v>0.93453088342262436</v>
      </c>
      <c r="W681" s="357">
        <f t="shared" ca="1" si="294"/>
        <v>3.0561300029151233</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-1.181570397943065</v>
      </c>
      <c r="AH681" s="357">
        <f t="shared" ca="1" si="318"/>
        <v>-0.31559085191123759</v>
      </c>
    </row>
    <row r="682" spans="1:34" x14ac:dyDescent="0.25">
      <c r="A682" s="402">
        <f t="shared" ca="1" si="296"/>
        <v>0.1</v>
      </c>
      <c r="B682" s="357">
        <f t="shared" ca="1" si="297"/>
        <v>22.799999999999994</v>
      </c>
      <c r="C682" s="342"/>
      <c r="D682" s="359">
        <f t="shared" ca="1" si="298"/>
        <v>-0.31321921116332113</v>
      </c>
      <c r="E682" s="360">
        <f t="shared" ca="1" si="299"/>
        <v>-9.829658093123335</v>
      </c>
      <c r="F682" s="357">
        <f t="shared" ca="1" si="300"/>
        <v>9.8346471467941772</v>
      </c>
      <c r="G682" s="359">
        <f t="shared" ca="1" si="301"/>
        <v>37.904160513239511</v>
      </c>
      <c r="H682" s="360">
        <f t="shared" ca="1" si="302"/>
        <v>1.3979202276694318</v>
      </c>
      <c r="I682" s="357">
        <f t="shared" ca="1" si="303"/>
        <v>37.929929675341512</v>
      </c>
      <c r="J682" s="359">
        <f t="shared" ca="1" si="304"/>
        <v>997.6379285750287</v>
      </c>
      <c r="K682" s="360">
        <f t="shared" ca="1" si="305"/>
        <v>2690.30204596156</v>
      </c>
      <c r="L682" s="357">
        <f t="shared" ca="1" si="290"/>
        <v>2869.3216158242753</v>
      </c>
      <c r="M682" s="359">
        <f t="shared" ca="1" si="306"/>
        <v>3.6863682656933905E-2</v>
      </c>
      <c r="N682" s="357">
        <f t="shared" ca="1" si="307"/>
        <v>2.112133433551922</v>
      </c>
      <c r="O682" s="343"/>
      <c r="P682" s="363">
        <f t="shared" ca="1" si="308"/>
        <v>23</v>
      </c>
      <c r="Q682" s="357">
        <f t="shared" ca="1" si="309"/>
        <v>0</v>
      </c>
      <c r="R682" s="359">
        <f t="shared" ca="1" si="310"/>
        <v>0</v>
      </c>
      <c r="S682" s="360">
        <f t="shared" ca="1" si="311"/>
        <v>9.7379999999999765</v>
      </c>
      <c r="T682" s="357">
        <f t="shared" ca="1" si="291"/>
        <v>95.529779999999775</v>
      </c>
      <c r="U682" s="364">
        <f t="shared" ca="1" si="292"/>
        <v>0</v>
      </c>
      <c r="V682" s="359">
        <f t="shared" ca="1" si="293"/>
        <v>0.93451290118330843</v>
      </c>
      <c r="W682" s="357">
        <f t="shared" ca="1" si="294"/>
        <v>3.0431894814092604</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-0.92831632357280003</v>
      </c>
      <c r="AH682" s="357">
        <f t="shared" ca="1" si="318"/>
        <v>-0.31383549013299761</v>
      </c>
    </row>
    <row r="683" spans="1:34" x14ac:dyDescent="0.25">
      <c r="A683" s="402">
        <f t="shared" ca="1" si="296"/>
        <v>0.1</v>
      </c>
      <c r="B683" s="357">
        <f t="shared" ca="1" si="297"/>
        <v>22.899999999999995</v>
      </c>
      <c r="C683" s="342"/>
      <c r="D683" s="359">
        <f t="shared" ca="1" si="298"/>
        <v>-0.31229430818908926</v>
      </c>
      <c r="E683" s="360">
        <f t="shared" ca="1" si="299"/>
        <v>-9.821517535924615</v>
      </c>
      <c r="F683" s="357">
        <f t="shared" ca="1" si="300"/>
        <v>9.8264812849464089</v>
      </c>
      <c r="G683" s="359">
        <f t="shared" ca="1" si="301"/>
        <v>37.8729310824206</v>
      </c>
      <c r="H683" s="360">
        <f t="shared" ca="1" si="302"/>
        <v>0.41576847407697026</v>
      </c>
      <c r="I683" s="357">
        <f t="shared" ca="1" si="303"/>
        <v>37.875213163727757</v>
      </c>
      <c r="J683" s="359">
        <f t="shared" ca="1" si="304"/>
        <v>1001.4267831548117</v>
      </c>
      <c r="K683" s="360">
        <f t="shared" ca="1" si="305"/>
        <v>2690.3927303966475</v>
      </c>
      <c r="L683" s="357">
        <f t="shared" ca="1" si="290"/>
        <v>2870.7261530475043</v>
      </c>
      <c r="M683" s="359">
        <f t="shared" ca="1" si="306"/>
        <v>1.0977544149061776E-2</v>
      </c>
      <c r="N683" s="357">
        <f t="shared" ca="1" si="307"/>
        <v>0.62896694915977036</v>
      </c>
      <c r="O683" s="343"/>
      <c r="P683" s="363">
        <f t="shared" ca="1" si="308"/>
        <v>23</v>
      </c>
      <c r="Q683" s="357">
        <f t="shared" ca="1" si="309"/>
        <v>0</v>
      </c>
      <c r="R683" s="359">
        <f t="shared" ca="1" si="310"/>
        <v>0</v>
      </c>
      <c r="S683" s="360">
        <f t="shared" ca="1" si="311"/>
        <v>9.7379999999999765</v>
      </c>
      <c r="T683" s="357">
        <f t="shared" ca="1" si="291"/>
        <v>95.529779999999775</v>
      </c>
      <c r="U683" s="364">
        <f t="shared" ca="1" si="292"/>
        <v>0</v>
      </c>
      <c r="V683" s="359">
        <f t="shared" ca="1" si="293"/>
        <v>0.93450427047295259</v>
      </c>
      <c r="W683" s="357">
        <f t="shared" ca="1" si="294"/>
        <v>3.0343877729522655</v>
      </c>
      <c r="X683" s="343"/>
      <c r="Y683" s="367" t="str">
        <f t="shared" ca="1" si="312"/>
        <v>Apogée</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-0.67405744839729076</v>
      </c>
      <c r="AH683" s="357">
        <f t="shared" ca="1" si="318"/>
        <v>-0.31250662162756909</v>
      </c>
    </row>
    <row r="684" spans="1:34" x14ac:dyDescent="0.25">
      <c r="A684" s="402">
        <f t="shared" ca="1" si="296"/>
        <v>0.1</v>
      </c>
      <c r="B684" s="357">
        <f t="shared" ca="1" si="297"/>
        <v>22.999999999999996</v>
      </c>
      <c r="C684" s="342"/>
      <c r="D684" s="359">
        <f t="shared" ca="1" si="298"/>
        <v>-0.31158399497846806</v>
      </c>
      <c r="E684" s="360">
        <f t="shared" ca="1" si="299"/>
        <v>-9.8134205644621773</v>
      </c>
      <c r="F684" s="357">
        <f t="shared" ca="1" si="300"/>
        <v>9.8183658396362414</v>
      </c>
      <c r="G684" s="359">
        <f t="shared" ca="1" si="301"/>
        <v>37.841772682922752</v>
      </c>
      <c r="H684" s="360">
        <f t="shared" ca="1" si="302"/>
        <v>-0.56557358236924749</v>
      </c>
      <c r="I684" s="357">
        <f t="shared" ca="1" si="303"/>
        <v>37.845998906926376</v>
      </c>
      <c r="J684" s="359">
        <f t="shared" ca="1" si="304"/>
        <v>1005.2125183430788</v>
      </c>
      <c r="K684" s="360">
        <f t="shared" ca="1" si="305"/>
        <v>2690.3852401412328</v>
      </c>
      <c r="L684" s="357">
        <f t="shared" ca="1" si="290"/>
        <v>2872.0419473613947</v>
      </c>
      <c r="M684" s="359">
        <f t="shared" ca="1" si="306"/>
        <v>-1.4944634888402126E-2</v>
      </c>
      <c r="N684" s="357">
        <f t="shared" ca="1" si="307"/>
        <v>-0.85626450546940591</v>
      </c>
      <c r="O684" s="343"/>
      <c r="P684" s="363">
        <f t="shared" ca="1" si="308"/>
        <v>23</v>
      </c>
      <c r="Q684" s="357">
        <f t="shared" ca="1" si="309"/>
        <v>0</v>
      </c>
      <c r="R684" s="359">
        <f t="shared" ca="1" si="310"/>
        <v>0</v>
      </c>
      <c r="S684" s="360">
        <f t="shared" ca="1" si="311"/>
        <v>9.7379999999999765</v>
      </c>
      <c r="T684" s="357">
        <f t="shared" ca="1" si="291"/>
        <v>95.529779999999775</v>
      </c>
      <c r="U684" s="364">
        <f t="shared" ca="1" si="292"/>
        <v>0</v>
      </c>
      <c r="V684" s="359">
        <f t="shared" ca="1" si="293"/>
        <v>0.93450498334046816</v>
      </c>
      <c r="W684" s="357">
        <f t="shared" ca="1" si="294"/>
        <v>3.0297108657929832</v>
      </c>
      <c r="X684" s="343"/>
      <c r="Y684" s="367" t="str">
        <f t="shared" ca="1" si="312"/>
        <v/>
      </c>
      <c r="Z684" s="368" t="str">
        <f t="shared" ca="1" si="313"/>
        <v/>
      </c>
      <c r="AA684" s="369" t="str">
        <f t="shared" ca="1" si="314"/>
        <v/>
      </c>
      <c r="AB684" s="344"/>
      <c r="AC684" s="363">
        <f t="shared" ca="1" si="315"/>
        <v>22.999999999999996</v>
      </c>
      <c r="AD684" s="376">
        <f t="shared" ca="1" si="316"/>
        <v>1005.2125183430788</v>
      </c>
      <c r="AE684" s="377" t="e">
        <f t="shared" ca="1" si="295"/>
        <v>#N/A</v>
      </c>
      <c r="AF684" s="344"/>
      <c r="AG684" s="359">
        <f t="shared" ca="1" si="317"/>
        <v>-0.4192903150965076</v>
      </c>
      <c r="AH684" s="357">
        <f t="shared" ca="1" si="318"/>
        <v>-0.31160276986570884</v>
      </c>
    </row>
    <row r="685" spans="1:34" x14ac:dyDescent="0.25">
      <c r="A685" s="402">
        <f t="shared" ca="1" si="296"/>
        <v>0.1</v>
      </c>
      <c r="B685" s="357">
        <f t="shared" ca="1" si="297"/>
        <v>23.099999999999998</v>
      </c>
      <c r="C685" s="342"/>
      <c r="D685" s="359">
        <f t="shared" ca="1" si="298"/>
        <v>-0.31108775324278382</v>
      </c>
      <c r="E685" s="360">
        <f t="shared" ca="1" si="299"/>
        <v>-9.8053505609658682</v>
      </c>
      <c r="F685" s="357">
        <f t="shared" ca="1" si="300"/>
        <v>9.8102841556017797</v>
      </c>
      <c r="G685" s="359">
        <f t="shared" ca="1" si="301"/>
        <v>37.810663907598475</v>
      </c>
      <c r="H685" s="360">
        <f t="shared" ca="1" si="302"/>
        <v>-1.5461086384658342</v>
      </c>
      <c r="I685" s="357">
        <f t="shared" ca="1" si="303"/>
        <v>37.84226152141688</v>
      </c>
      <c r="J685" s="359">
        <f t="shared" ca="1" si="304"/>
        <v>1008.9951401726049</v>
      </c>
      <c r="K685" s="360">
        <f t="shared" ca="1" si="305"/>
        <v>2690.2796560301908</v>
      </c>
      <c r="L685" s="357">
        <f t="shared" ca="1" si="290"/>
        <v>2873.2691869266018</v>
      </c>
      <c r="M685" s="359">
        <f t="shared" ca="1" si="306"/>
        <v>-4.0868041296942229E-2</v>
      </c>
      <c r="N685" s="357">
        <f t="shared" ca="1" si="307"/>
        <v>-2.341566283281145</v>
      </c>
      <c r="O685" s="343"/>
      <c r="P685" s="363">
        <f t="shared" ca="1" si="308"/>
        <v>23</v>
      </c>
      <c r="Q685" s="357">
        <f t="shared" ca="1" si="309"/>
        <v>0</v>
      </c>
      <c r="R685" s="359">
        <f t="shared" ca="1" si="310"/>
        <v>0</v>
      </c>
      <c r="S685" s="360">
        <f t="shared" ca="1" si="311"/>
        <v>9.7379999999999765</v>
      </c>
      <c r="T685" s="357">
        <f t="shared" ca="1" si="291"/>
        <v>95.529779999999775</v>
      </c>
      <c r="U685" s="364">
        <f t="shared" ca="1" si="292"/>
        <v>0</v>
      </c>
      <c r="V685" s="359">
        <f t="shared" ca="1" si="293"/>
        <v>0.9345150321110175</v>
      </c>
      <c r="W685" s="357">
        <f t="shared" ca="1" si="294"/>
        <v>3.0291450847056147</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-0.16452108490557713</v>
      </c>
      <c r="AH685" s="357">
        <f t="shared" ca="1" si="318"/>
        <v>-0.31112249597381297</v>
      </c>
    </row>
    <row r="686" spans="1:34" x14ac:dyDescent="0.25">
      <c r="A686" s="402">
        <f t="shared" ca="1" si="296"/>
        <v>0.1</v>
      </c>
      <c r="B686" s="357">
        <f t="shared" ca="1" si="297"/>
        <v>23.2</v>
      </c>
      <c r="C686" s="342"/>
      <c r="D686" s="359">
        <f t="shared" ca="1" si="298"/>
        <v>-0.31080466241071042</v>
      </c>
      <c r="E686" s="360">
        <f t="shared" ca="1" si="299"/>
        <v>-9.7972909458928576</v>
      </c>
      <c r="F686" s="357">
        <f t="shared" ca="1" si="300"/>
        <v>9.802219616834261</v>
      </c>
      <c r="G686" s="359">
        <f t="shared" ca="1" si="301"/>
        <v>37.779583441357403</v>
      </c>
      <c r="H686" s="360">
        <f t="shared" ca="1" si="302"/>
        <v>-2.5258377330551198</v>
      </c>
      <c r="I686" s="357">
        <f t="shared" ca="1" si="303"/>
        <v>37.863924535845612</v>
      </c>
      <c r="J686" s="359">
        <f t="shared" ca="1" si="304"/>
        <v>1012.7746525400527</v>
      </c>
      <c r="K686" s="360">
        <f t="shared" ca="1" si="305"/>
        <v>2690.0760587116147</v>
      </c>
      <c r="L686" s="357">
        <f t="shared" ca="1" si="290"/>
        <v>2874.4080605371673</v>
      </c>
      <c r="M686" s="359">
        <f t="shared" ca="1" si="306"/>
        <v>-6.6757866581548961E-2</v>
      </c>
      <c r="N686" s="357">
        <f t="shared" ca="1" si="307"/>
        <v>-3.8249440044201961</v>
      </c>
      <c r="O686" s="343"/>
      <c r="P686" s="363">
        <f t="shared" ca="1" si="308"/>
        <v>23</v>
      </c>
      <c r="Q686" s="357">
        <f t="shared" ca="1" si="309"/>
        <v>0</v>
      </c>
      <c r="R686" s="359">
        <f t="shared" ca="1" si="310"/>
        <v>0</v>
      </c>
      <c r="S686" s="360">
        <f t="shared" ca="1" si="311"/>
        <v>9.7379999999999765</v>
      </c>
      <c r="T686" s="357">
        <f t="shared" ca="1" si="291"/>
        <v>95.529779999999775</v>
      </c>
      <c r="U686" s="364">
        <f t="shared" ca="1" si="292"/>
        <v>0</v>
      </c>
      <c r="V686" s="359">
        <f t="shared" ca="1" si="293"/>
        <v>0.9345344093695519</v>
      </c>
      <c r="W686" s="357">
        <f t="shared" ca="1" si="294"/>
        <v>3.0326770610363494</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8.9739497512857092E-2</v>
      </c>
      <c r="AH686" s="357">
        <f t="shared" ca="1" si="318"/>
        <v>-0.31106439563623145</v>
      </c>
    </row>
    <row r="687" spans="1:34" x14ac:dyDescent="0.25">
      <c r="A687" s="402">
        <f t="shared" ca="1" si="296"/>
        <v>0.1</v>
      </c>
      <c r="B687" s="357">
        <f t="shared" ca="1" si="297"/>
        <v>23.3</v>
      </c>
      <c r="C687" s="342"/>
      <c r="D687" s="359">
        <f t="shared" ca="1" si="298"/>
        <v>-0.31073339872162331</v>
      </c>
      <c r="E687" s="360">
        <f t="shared" ca="1" si="299"/>
        <v>-9.7892252303514731</v>
      </c>
      <c r="F687" s="357">
        <f t="shared" ca="1" si="300"/>
        <v>9.7941556989681828</v>
      </c>
      <c r="G687" s="359">
        <f t="shared" ca="1" si="301"/>
        <v>37.748510101485238</v>
      </c>
      <c r="H687" s="360">
        <f t="shared" ca="1" si="302"/>
        <v>-3.5047602560902673</v>
      </c>
      <c r="I687" s="357">
        <f t="shared" ca="1" si="303"/>
        <v>37.910860704217768</v>
      </c>
      <c r="J687" s="359">
        <f t="shared" ca="1" si="304"/>
        <v>1016.5510572171949</v>
      </c>
      <c r="K687" s="360">
        <f t="shared" ca="1" si="305"/>
        <v>2689.7745288121573</v>
      </c>
      <c r="L687" s="357">
        <f t="shared" ca="1" si="290"/>
        <v>2875.4587577943212</v>
      </c>
      <c r="M687" s="359">
        <f t="shared" ca="1" si="306"/>
        <v>-9.257958642823183E-2</v>
      </c>
      <c r="N687" s="357">
        <f t="shared" ca="1" si="307"/>
        <v>-5.3044195714043196</v>
      </c>
      <c r="O687" s="343"/>
      <c r="P687" s="363">
        <f t="shared" ca="1" si="308"/>
        <v>23</v>
      </c>
      <c r="Q687" s="357">
        <f t="shared" ca="1" si="309"/>
        <v>0</v>
      </c>
      <c r="R687" s="359">
        <f t="shared" ca="1" si="310"/>
        <v>0</v>
      </c>
      <c r="S687" s="360">
        <f t="shared" ca="1" si="311"/>
        <v>9.7379999999999765</v>
      </c>
      <c r="T687" s="357">
        <f t="shared" ca="1" si="291"/>
        <v>95.529779999999775</v>
      </c>
      <c r="U687" s="364">
        <f t="shared" ca="1" si="292"/>
        <v>0</v>
      </c>
      <c r="V687" s="359">
        <f t="shared" ca="1" si="293"/>
        <v>0.9345631079444322</v>
      </c>
      <c r="W687" s="357">
        <f t="shared" ca="1" si="294"/>
        <v>3.0402937030382637</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0.34298124820321846</v>
      </c>
      <c r="AH687" s="357">
        <f t="shared" ca="1" si="318"/>
        <v>-0.31142709601934243</v>
      </c>
    </row>
    <row r="688" spans="1:34" x14ac:dyDescent="0.25">
      <c r="A688" s="402">
        <f t="shared" ca="1" si="296"/>
        <v>0.1</v>
      </c>
      <c r="B688" s="357">
        <f t="shared" ca="1" si="297"/>
        <v>23.400000000000002</v>
      </c>
      <c r="C688" s="342"/>
      <c r="D688" s="359">
        <f t="shared" ca="1" si="298"/>
        <v>-0.31087223849191697</v>
      </c>
      <c r="E688" s="360">
        <f t="shared" ca="1" si="299"/>
        <v>-9.7811370683701391</v>
      </c>
      <c r="F688" s="357">
        <f t="shared" ca="1" si="300"/>
        <v>9.7860760215169673</v>
      </c>
      <c r="G688" s="359">
        <f t="shared" ca="1" si="301"/>
        <v>37.717422877636047</v>
      </c>
      <c r="H688" s="360">
        <f t="shared" ca="1" si="302"/>
        <v>-4.4828739629272816</v>
      </c>
      <c r="I688" s="357">
        <f t="shared" ca="1" si="303"/>
        <v>37.982892826875556</v>
      </c>
      <c r="J688" s="359">
        <f t="shared" ca="1" si="304"/>
        <v>1020.3243538661509</v>
      </c>
      <c r="K688" s="360">
        <f t="shared" ca="1" si="305"/>
        <v>2689.3751471012065</v>
      </c>
      <c r="L688" s="357">
        <f t="shared" ca="1" si="290"/>
        <v>2876.421469280539</v>
      </c>
      <c r="M688" s="359">
        <f t="shared" ca="1" si="306"/>
        <v>-0.11829923451247178</v>
      </c>
      <c r="N688" s="357">
        <f t="shared" ca="1" si="307"/>
        <v>-6.7780468571930017</v>
      </c>
      <c r="O688" s="343"/>
      <c r="P688" s="363">
        <f t="shared" ca="1" si="308"/>
        <v>23</v>
      </c>
      <c r="Q688" s="357">
        <f t="shared" ca="1" si="309"/>
        <v>0</v>
      </c>
      <c r="R688" s="359">
        <f t="shared" ca="1" si="310"/>
        <v>0</v>
      </c>
      <c r="S688" s="360">
        <f t="shared" ca="1" si="311"/>
        <v>9.7379999999999765</v>
      </c>
      <c r="T688" s="357">
        <f t="shared" ca="1" si="291"/>
        <v>95.529779999999775</v>
      </c>
      <c r="U688" s="364">
        <f t="shared" ca="1" si="292"/>
        <v>0</v>
      </c>
      <c r="V688" s="359">
        <f t="shared" ca="1" si="293"/>
        <v>0.93460112089116898</v>
      </c>
      <c r="W688" s="357">
        <f t="shared" ca="1" si="294"/>
        <v>3.0519821665713036</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0.59469967715882466</v>
      </c>
      <c r="AH688" s="357">
        <f t="shared" ca="1" si="318"/>
        <v>-0.31220925272522809</v>
      </c>
    </row>
    <row r="689" spans="1:34" x14ac:dyDescent="0.25">
      <c r="A689" s="402">
        <f t="shared" ca="1" si="296"/>
        <v>0.1</v>
      </c>
      <c r="B689" s="357">
        <f t="shared" ca="1" si="297"/>
        <v>23.500000000000004</v>
      </c>
      <c r="C689" s="342"/>
      <c r="D689" s="359">
        <f t="shared" ca="1" si="298"/>
        <v>-0.31121906548235601</v>
      </c>
      <c r="E689" s="360">
        <f t="shared" ca="1" si="299"/>
        <v>-9.773010308261421</v>
      </c>
      <c r="F689" s="357">
        <f t="shared" ca="1" si="300"/>
        <v>9.7779643992041461</v>
      </c>
      <c r="G689" s="359">
        <f t="shared" ca="1" si="301"/>
        <v>37.68630097108781</v>
      </c>
      <c r="H689" s="360">
        <f t="shared" ca="1" si="302"/>
        <v>-5.4601749937534239</v>
      </c>
      <c r="I689" s="357">
        <f t="shared" ca="1" si="303"/>
        <v>38.079795060449371</v>
      </c>
      <c r="J689" s="359">
        <f t="shared" ca="1" si="304"/>
        <v>1024.094540058587</v>
      </c>
      <c r="K689" s="360">
        <f t="shared" ca="1" si="305"/>
        <v>2688.8779946533723</v>
      </c>
      <c r="L689" s="357">
        <f t="shared" ca="1" si="290"/>
        <v>2877.2963867333774</v>
      </c>
      <c r="M689" s="359">
        <f t="shared" ca="1" si="306"/>
        <v>-0.14388366522296939</v>
      </c>
      <c r="N689" s="357">
        <f t="shared" ca="1" si="307"/>
        <v>-8.2439267581494047</v>
      </c>
      <c r="O689" s="343"/>
      <c r="P689" s="363">
        <f t="shared" ca="1" si="308"/>
        <v>23</v>
      </c>
      <c r="Q689" s="357">
        <f t="shared" ca="1" si="309"/>
        <v>0</v>
      </c>
      <c r="R689" s="359">
        <f t="shared" ca="1" si="310"/>
        <v>0</v>
      </c>
      <c r="S689" s="360">
        <f t="shared" ca="1" si="311"/>
        <v>9.7379999999999765</v>
      </c>
      <c r="T689" s="357">
        <f t="shared" ca="1" si="291"/>
        <v>95.529779999999775</v>
      </c>
      <c r="U689" s="364">
        <f t="shared" ca="1" si="292"/>
        <v>0</v>
      </c>
      <c r="V689" s="359">
        <f t="shared" ca="1" si="293"/>
        <v>0.93464844147634085</v>
      </c>
      <c r="W689" s="357">
        <f t="shared" ca="1" si="294"/>
        <v>3.0677298262433768</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0.84440099115490685</v>
      </c>
      <c r="AH689" s="357">
        <f t="shared" ca="1" si="318"/>
        <v>-0.31340954678284155</v>
      </c>
    </row>
    <row r="690" spans="1:34" x14ac:dyDescent="0.25">
      <c r="A690" s="402">
        <f t="shared" ca="1" si="296"/>
        <v>0.1</v>
      </c>
      <c r="B690" s="357">
        <f t="shared" ca="1" si="297"/>
        <v>23.600000000000005</v>
      </c>
      <c r="C690" s="342"/>
      <c r="D690" s="359">
        <f t="shared" ca="1" si="298"/>
        <v>-0.31177138219986972</v>
      </c>
      <c r="E690" s="360">
        <f t="shared" ca="1" si="299"/>
        <v>-9.7648290423578139</v>
      </c>
      <c r="F690" s="357">
        <f t="shared" ca="1" si="300"/>
        <v>9.7698048916666416</v>
      </c>
      <c r="G690" s="359">
        <f t="shared" ca="1" si="301"/>
        <v>37.655123832867822</v>
      </c>
      <c r="H690" s="360">
        <f t="shared" ca="1" si="302"/>
        <v>-6.4366578979892051</v>
      </c>
      <c r="I690" s="357">
        <f t="shared" ca="1" si="303"/>
        <v>38.201294687017572</v>
      </c>
      <c r="J690" s="359">
        <f t="shared" ca="1" si="304"/>
        <v>1027.8616112987847</v>
      </c>
      <c r="K690" s="360">
        <f t="shared" ca="1" si="305"/>
        <v>2688.2831530087851</v>
      </c>
      <c r="L690" s="357">
        <f t="shared" ca="1" si="290"/>
        <v>2878.0837032186173</v>
      </c>
      <c r="M690" s="359">
        <f t="shared" ca="1" si="306"/>
        <v>-0.16930080033197495</v>
      </c>
      <c r="N690" s="357">
        <f t="shared" ca="1" si="307"/>
        <v>-9.7002213272092117</v>
      </c>
      <c r="O690" s="343"/>
      <c r="P690" s="363">
        <f t="shared" ca="1" si="308"/>
        <v>23</v>
      </c>
      <c r="Q690" s="357">
        <f t="shared" ca="1" si="309"/>
        <v>0</v>
      </c>
      <c r="R690" s="359">
        <f t="shared" ca="1" si="310"/>
        <v>0</v>
      </c>
      <c r="S690" s="360">
        <f t="shared" ca="1" si="311"/>
        <v>9.7379999999999765</v>
      </c>
      <c r="T690" s="357">
        <f t="shared" ca="1" si="291"/>
        <v>95.529779999999775</v>
      </c>
      <c r="U690" s="364">
        <f t="shared" ca="1" si="292"/>
        <v>0</v>
      </c>
      <c r="V690" s="359">
        <f t="shared" ca="1" si="293"/>
        <v>0.93470506316172763</v>
      </c>
      <c r="W690" s="357">
        <f t="shared" ca="1" si="294"/>
        <v>3.0875242470665691</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1.0916068520226025</v>
      </c>
      <c r="AH690" s="357">
        <f t="shared" ca="1" si="318"/>
        <v>-0.31502668168447157</v>
      </c>
    </row>
    <row r="691" spans="1:34" x14ac:dyDescent="0.25">
      <c r="A691" s="402">
        <f t="shared" ca="1" si="296"/>
        <v>0.1</v>
      </c>
      <c r="B691" s="357">
        <f t="shared" ca="1" si="297"/>
        <v>23.700000000000006</v>
      </c>
      <c r="C691" s="342"/>
      <c r="D691" s="359">
        <f t="shared" ca="1" si="298"/>
        <v>-0.31252632487924026</v>
      </c>
      <c r="E691" s="360">
        <f t="shared" ca="1" si="299"/>
        <v>-9.756577654443733</v>
      </c>
      <c r="F691" s="357">
        <f t="shared" ca="1" si="300"/>
        <v>9.7615818508545669</v>
      </c>
      <c r="G691" s="359">
        <f t="shared" ca="1" si="301"/>
        <v>37.623871200379895</v>
      </c>
      <c r="H691" s="360">
        <f t="shared" ca="1" si="302"/>
        <v>-7.4123156634335787</v>
      </c>
      <c r="I691" s="357">
        <f t="shared" ca="1" si="303"/>
        <v>38.347074302965524</v>
      </c>
      <c r="J691" s="359">
        <f t="shared" ca="1" si="304"/>
        <v>1031.6255610504472</v>
      </c>
      <c r="K691" s="360">
        <f t="shared" ca="1" si="305"/>
        <v>2687.5907043307138</v>
      </c>
      <c r="L691" s="357">
        <f t="shared" ca="1" si="290"/>
        <v>2878.783613302242</v>
      </c>
      <c r="M691" s="359">
        <f t="shared" ca="1" si="306"/>
        <v>-0.19451985522142537</v>
      </c>
      <c r="N691" s="357">
        <f t="shared" ca="1" si="307"/>
        <v>-11.145166735683484</v>
      </c>
      <c r="O691" s="343"/>
      <c r="P691" s="363">
        <f t="shared" ca="1" si="308"/>
        <v>23</v>
      </c>
      <c r="Q691" s="357">
        <f t="shared" ca="1" si="309"/>
        <v>0</v>
      </c>
      <c r="R691" s="359">
        <f t="shared" ca="1" si="310"/>
        <v>0</v>
      </c>
      <c r="S691" s="360">
        <f t="shared" ca="1" si="311"/>
        <v>9.7379999999999765</v>
      </c>
      <c r="T691" s="357">
        <f t="shared" ca="1" si="291"/>
        <v>95.529779999999775</v>
      </c>
      <c r="U691" s="364">
        <f t="shared" ca="1" si="292"/>
        <v>0</v>
      </c>
      <c r="V691" s="359">
        <f t="shared" ca="1" si="293"/>
        <v>0.93477097958870781</v>
      </c>
      <c r="W691" s="357">
        <f t="shared" ca="1" si="294"/>
        <v>3.1113531566993573</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1.335858786215538</v>
      </c>
      <c r="AH691" s="357">
        <f t="shared" ca="1" si="318"/>
        <v>-0.3170593804751054</v>
      </c>
    </row>
    <row r="692" spans="1:34" x14ac:dyDescent="0.25">
      <c r="A692" s="402">
        <f t="shared" ca="1" si="296"/>
        <v>0.1</v>
      </c>
      <c r="B692" s="357">
        <f t="shared" ca="1" si="297"/>
        <v>23.800000000000008</v>
      </c>
      <c r="C692" s="342"/>
      <c r="D692" s="359">
        <f t="shared" ca="1" si="298"/>
        <v>-0.31348068181236122</v>
      </c>
      <c r="E692" s="360">
        <f t="shared" ca="1" si="299"/>
        <v>-9.7482408642745373</v>
      </c>
      <c r="F692" s="357">
        <f t="shared" ca="1" si="300"/>
        <v>9.7532799655183453</v>
      </c>
      <c r="G692" s="359">
        <f t="shared" ca="1" si="301"/>
        <v>37.592523132198657</v>
      </c>
      <c r="H692" s="360">
        <f t="shared" ca="1" si="302"/>
        <v>-8.3871397498610332</v>
      </c>
      <c r="I692" s="357">
        <f t="shared" ca="1" si="303"/>
        <v>38.516774379854162</v>
      </c>
      <c r="J692" s="359">
        <f t="shared" ca="1" si="304"/>
        <v>1035.3863807670762</v>
      </c>
      <c r="K692" s="360">
        <f t="shared" ca="1" si="305"/>
        <v>2686.8007315600489</v>
      </c>
      <c r="L692" s="357">
        <f t="shared" ca="1" si="290"/>
        <v>2879.3963132208041</v>
      </c>
      <c r="M692" s="359">
        <f t="shared" ca="1" si="306"/>
        <v>-0.21951154099010328</v>
      </c>
      <c r="N692" s="357">
        <f t="shared" ca="1" si="307"/>
        <v>-12.577084853145891</v>
      </c>
      <c r="O692" s="343"/>
      <c r="P692" s="363">
        <f t="shared" ca="1" si="308"/>
        <v>23</v>
      </c>
      <c r="Q692" s="357">
        <f t="shared" ca="1" si="309"/>
        <v>0</v>
      </c>
      <c r="R692" s="359">
        <f t="shared" ca="1" si="310"/>
        <v>0</v>
      </c>
      <c r="S692" s="360">
        <f t="shared" ca="1" si="311"/>
        <v>9.7379999999999765</v>
      </c>
      <c r="T692" s="357">
        <f t="shared" ca="1" si="291"/>
        <v>95.529779999999775</v>
      </c>
      <c r="U692" s="364">
        <f t="shared" ca="1" si="292"/>
        <v>0</v>
      </c>
      <c r="V692" s="359">
        <f t="shared" ca="1" si="293"/>
        <v>0.93484618456295399</v>
      </c>
      <c r="W692" s="357">
        <f t="shared" ca="1" si="294"/>
        <v>3.1392044183415537</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1.5767221555203259</v>
      </c>
      <c r="AH692" s="357">
        <f t="shared" ca="1" si="318"/>
        <v>-0.31950638290196803</v>
      </c>
    </row>
    <row r="693" spans="1:34" x14ac:dyDescent="0.25">
      <c r="A693" s="402">
        <f t="shared" ca="1" si="296"/>
        <v>0.1</v>
      </c>
      <c r="B693" s="357">
        <f t="shared" ca="1" si="297"/>
        <v>23.900000000000009</v>
      </c>
      <c r="C693" s="342"/>
      <c r="D693" s="359">
        <f t="shared" ca="1" si="298"/>
        <v>-0.31463091462800091</v>
      </c>
      <c r="E693" s="360">
        <f t="shared" ca="1" si="299"/>
        <v>-9.7398037686554915</v>
      </c>
      <c r="F693" s="357">
        <f t="shared" ca="1" si="300"/>
        <v>9.7448843022559988</v>
      </c>
      <c r="G693" s="359">
        <f t="shared" ca="1" si="301"/>
        <v>37.56106004073586</v>
      </c>
      <c r="H693" s="360">
        <f t="shared" ca="1" si="302"/>
        <v>-9.3611201267265827</v>
      </c>
      <c r="I693" s="357">
        <f t="shared" ca="1" si="303"/>
        <v>38.709996143254386</v>
      </c>
      <c r="J693" s="359">
        <f t="shared" ca="1" si="304"/>
        <v>1039.1440599257228</v>
      </c>
      <c r="K693" s="360">
        <f t="shared" ca="1" si="305"/>
        <v>2685.9133185662195</v>
      </c>
      <c r="L693" s="357">
        <f t="shared" ca="1" si="290"/>
        <v>2879.9220010497361</v>
      </c>
      <c r="M693" s="359">
        <f t="shared" ca="1" si="306"/>
        <v>-0.24424823958165554</v>
      </c>
      <c r="N693" s="357">
        <f t="shared" ca="1" si="307"/>
        <v>-13.994393281529042</v>
      </c>
      <c r="O693" s="343"/>
      <c r="P693" s="363">
        <f t="shared" ca="1" si="308"/>
        <v>23</v>
      </c>
      <c r="Q693" s="357">
        <f t="shared" ca="1" si="309"/>
        <v>0</v>
      </c>
      <c r="R693" s="359">
        <f t="shared" ca="1" si="310"/>
        <v>0</v>
      </c>
      <c r="S693" s="360">
        <f t="shared" ca="1" si="311"/>
        <v>9.7379999999999765</v>
      </c>
      <c r="T693" s="357">
        <f t="shared" ca="1" si="291"/>
        <v>95.529779999999775</v>
      </c>
      <c r="U693" s="364">
        <f t="shared" ca="1" si="292"/>
        <v>0</v>
      </c>
      <c r="V693" s="359">
        <f t="shared" ca="1" si="293"/>
        <v>0.93493067203947444</v>
      </c>
      <c r="W693" s="357">
        <f t="shared" ca="1" si="294"/>
        <v>3.1710660043437029</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1.8137896158879583</v>
      </c>
      <c r="AH693" s="357">
        <f t="shared" ca="1" si="318"/>
        <v>-0.32236644263109071</v>
      </c>
    </row>
    <row r="694" spans="1:34" x14ac:dyDescent="0.25">
      <c r="A694" s="402">
        <f t="shared" ca="1" si="296"/>
        <v>0.1</v>
      </c>
      <c r="B694" s="357">
        <f t="shared" ca="1" si="297"/>
        <v>24.000000000000011</v>
      </c>
      <c r="C694" s="342"/>
      <c r="D694" s="359">
        <f t="shared" ca="1" si="298"/>
        <v>-0.31597318207533825</v>
      </c>
      <c r="E694" s="360">
        <f t="shared" ca="1" si="299"/>
        <v>-9.7312518786471038</v>
      </c>
      <c r="F694" s="357">
        <f t="shared" ca="1" si="300"/>
        <v>9.7363803426870916</v>
      </c>
      <c r="G694" s="359">
        <f t="shared" ca="1" si="301"/>
        <v>37.529462722528329</v>
      </c>
      <c r="H694" s="360">
        <f t="shared" ca="1" si="302"/>
        <v>-10.334245314591293</v>
      </c>
      <c r="I694" s="357">
        <f t="shared" ca="1" si="303"/>
        <v>38.92630471113069</v>
      </c>
      <c r="J694" s="359">
        <f t="shared" ca="1" si="304"/>
        <v>1042.8985860638859</v>
      </c>
      <c r="K694" s="360">
        <f t="shared" ca="1" si="305"/>
        <v>2684.9285502941534</v>
      </c>
      <c r="L694" s="357">
        <f t="shared" ca="1" si="290"/>
        <v>2880.3608768692015</v>
      </c>
      <c r="M694" s="359">
        <f t="shared" ca="1" si="306"/>
        <v>-0.26870414994377101</v>
      </c>
      <c r="N694" s="357">
        <f t="shared" ca="1" si="307"/>
        <v>-15.395613729428515</v>
      </c>
      <c r="O694" s="343"/>
      <c r="P694" s="363">
        <f t="shared" ca="1" si="308"/>
        <v>23</v>
      </c>
      <c r="Q694" s="357">
        <f t="shared" ca="1" si="309"/>
        <v>0</v>
      </c>
      <c r="R694" s="359">
        <f t="shared" ca="1" si="310"/>
        <v>0</v>
      </c>
      <c r="S694" s="360">
        <f t="shared" ca="1" si="311"/>
        <v>9.7379999999999765</v>
      </c>
      <c r="T694" s="357">
        <f t="shared" ca="1" si="291"/>
        <v>95.529779999999775</v>
      </c>
      <c r="U694" s="364">
        <f t="shared" ca="1" si="292"/>
        <v>0</v>
      </c>
      <c r="V694" s="359">
        <f t="shared" ca="1" si="293"/>
        <v>0.93502443610802655</v>
      </c>
      <c r="W694" s="357">
        <f t="shared" ca="1" si="294"/>
        <v>3.2069259705867399</v>
      </c>
      <c r="X694" s="343"/>
      <c r="Y694" s="367" t="str">
        <f t="shared" ca="1" si="312"/>
        <v/>
      </c>
      <c r="Z694" s="368" t="str">
        <f t="shared" ca="1" si="313"/>
        <v/>
      </c>
      <c r="AA694" s="369" t="str">
        <f t="shared" ca="1" si="314"/>
        <v/>
      </c>
      <c r="AB694" s="344"/>
      <c r="AC694" s="363">
        <f t="shared" ca="1" si="315"/>
        <v>24.000000000000011</v>
      </c>
      <c r="AD694" s="376">
        <f t="shared" ca="1" si="316"/>
        <v>1042.8985860638859</v>
      </c>
      <c r="AE694" s="377" t="e">
        <f t="shared" ca="1" si="295"/>
        <v>#N/A</v>
      </c>
      <c r="AF694" s="344"/>
      <c r="AG694" s="359">
        <f t="shared" ca="1" si="317"/>
        <v>2.0466840105862749</v>
      </c>
      <c r="AH694" s="357">
        <f t="shared" ca="1" si="318"/>
        <v>-0.32563832453724695</v>
      </c>
    </row>
    <row r="695" spans="1:34" x14ac:dyDescent="0.25">
      <c r="A695" s="402">
        <f t="shared" ca="1" si="296"/>
        <v>0.1</v>
      </c>
      <c r="B695" s="357">
        <f t="shared" ca="1" si="297"/>
        <v>24.100000000000012</v>
      </c>
      <c r="C695" s="342"/>
      <c r="D695" s="359">
        <f t="shared" ca="1" si="298"/>
        <v>-0.31750336583110761</v>
      </c>
      <c r="E695" s="360">
        <f t="shared" ca="1" si="299"/>
        <v>-9.7225711525644236</v>
      </c>
      <c r="F695" s="357">
        <f t="shared" ca="1" si="300"/>
        <v>9.7277540164208514</v>
      </c>
      <c r="G695" s="359">
        <f t="shared" ca="1" si="301"/>
        <v>37.497712385945221</v>
      </c>
      <c r="H695" s="360">
        <f t="shared" ca="1" si="302"/>
        <v>-11.306502429847734</v>
      </c>
      <c r="I695" s="357">
        <f t="shared" ca="1" si="303"/>
        <v>39.165232431012356</v>
      </c>
      <c r="J695" s="359">
        <f t="shared" ca="1" si="304"/>
        <v>1046.6499448193097</v>
      </c>
      <c r="K695" s="360">
        <f t="shared" ca="1" si="305"/>
        <v>2683.8465129069314</v>
      </c>
      <c r="L695" s="357">
        <f t="shared" ca="1" si="290"/>
        <v>2880.7131429271049</v>
      </c>
      <c r="M695" s="359">
        <f t="shared" ca="1" si="306"/>
        <v>-0.29285540411214911</v>
      </c>
      <c r="N695" s="357">
        <f t="shared" ca="1" si="307"/>
        <v>-16.779378663224318</v>
      </c>
      <c r="O695" s="343"/>
      <c r="P695" s="363">
        <f t="shared" ca="1" si="308"/>
        <v>23</v>
      </c>
      <c r="Q695" s="357">
        <f t="shared" ca="1" si="309"/>
        <v>0</v>
      </c>
      <c r="R695" s="359">
        <f t="shared" ca="1" si="310"/>
        <v>0</v>
      </c>
      <c r="S695" s="360">
        <f t="shared" ca="1" si="311"/>
        <v>9.7379999999999765</v>
      </c>
      <c r="T695" s="357">
        <f t="shared" ca="1" si="291"/>
        <v>95.529779999999775</v>
      </c>
      <c r="U695" s="364">
        <f t="shared" ca="1" si="292"/>
        <v>0</v>
      </c>
      <c r="V695" s="359">
        <f t="shared" ca="1" si="293"/>
        <v>0.93512747097893589</v>
      </c>
      <c r="W695" s="357">
        <f t="shared" ca="1" si="294"/>
        <v>3.2467724316814217</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2.2750606640966495</v>
      </c>
      <c r="AH695" s="357">
        <f t="shared" ca="1" si="318"/>
        <v>-0.32932080207298703</v>
      </c>
    </row>
    <row r="696" spans="1:34" x14ac:dyDescent="0.25">
      <c r="A696" s="402">
        <f t="shared" ca="1" si="296"/>
        <v>0.1</v>
      </c>
      <c r="B696" s="357">
        <f t="shared" ca="1" si="297"/>
        <v>24.200000000000014</v>
      </c>
      <c r="C696" s="342"/>
      <c r="D696" s="359">
        <f t="shared" ca="1" si="298"/>
        <v>-0.31921709783330499</v>
      </c>
      <c r="E696" s="360">
        <f t="shared" ca="1" si="299"/>
        <v>-9.7137480245420527</v>
      </c>
      <c r="F696" s="357">
        <f t="shared" ca="1" si="300"/>
        <v>9.7189917295902539</v>
      </c>
      <c r="G696" s="359">
        <f t="shared" ca="1" si="301"/>
        <v>37.465790676161888</v>
      </c>
      <c r="H696" s="360">
        <f t="shared" ca="1" si="302"/>
        <v>-12.27787723230194</v>
      </c>
      <c r="I696" s="357">
        <f t="shared" ca="1" si="303"/>
        <v>39.426282354813232</v>
      </c>
      <c r="J696" s="359">
        <f t="shared" ca="1" si="304"/>
        <v>1050.3981199724151</v>
      </c>
      <c r="K696" s="360">
        <f t="shared" ca="1" si="305"/>
        <v>2682.6672939238238</v>
      </c>
      <c r="L696" s="357">
        <f t="shared" ca="1" si="290"/>
        <v>2880.9790037989092</v>
      </c>
      <c r="M696" s="359">
        <f t="shared" ca="1" si="306"/>
        <v>-0.3166801529688581</v>
      </c>
      <c r="N696" s="357">
        <f t="shared" ca="1" si="307"/>
        <v>-18.144436220672876</v>
      </c>
      <c r="O696" s="343"/>
      <c r="P696" s="363">
        <f t="shared" ca="1" si="308"/>
        <v>23</v>
      </c>
      <c r="Q696" s="357">
        <f t="shared" ca="1" si="309"/>
        <v>0</v>
      </c>
      <c r="R696" s="359">
        <f t="shared" ca="1" si="310"/>
        <v>0</v>
      </c>
      <c r="S696" s="360">
        <f t="shared" ca="1" si="311"/>
        <v>9.7379999999999765</v>
      </c>
      <c r="T696" s="357">
        <f t="shared" ca="1" si="291"/>
        <v>95.529779999999775</v>
      </c>
      <c r="U696" s="364">
        <f t="shared" ca="1" si="292"/>
        <v>0</v>
      </c>
      <c r="V696" s="359">
        <f t="shared" ca="1" si="293"/>
        <v>0.93523977096935162</v>
      </c>
      <c r="W696" s="357">
        <f t="shared" ca="1" si="294"/>
        <v>3.2905935370301407</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2.4986090633205631</v>
      </c>
      <c r="AH696" s="357">
        <f t="shared" ca="1" si="318"/>
        <v>-0.33341265472185555</v>
      </c>
    </row>
    <row r="697" spans="1:34" x14ac:dyDescent="0.25">
      <c r="A697" s="402">
        <f t="shared" ca="1" si="296"/>
        <v>0.1</v>
      </c>
      <c r="B697" s="357">
        <f t="shared" ca="1" si="297"/>
        <v>24.300000000000015</v>
      </c>
      <c r="C697" s="342"/>
      <c r="D697" s="359">
        <f t="shared" ca="1" si="298"/>
        <v>-0.32110978864346901</v>
      </c>
      <c r="E697" s="360">
        <f t="shared" ca="1" si="299"/>
        <v>-9.7047694285399562</v>
      </c>
      <c r="F697" s="357">
        <f t="shared" ca="1" si="300"/>
        <v>9.7100803888271905</v>
      </c>
      <c r="G697" s="359">
        <f t="shared" ca="1" si="301"/>
        <v>37.433679697297542</v>
      </c>
      <c r="H697" s="360">
        <f t="shared" ca="1" si="302"/>
        <v>-13.248354175155935</v>
      </c>
      <c r="I697" s="357">
        <f t="shared" ca="1" si="303"/>
        <v>39.708931791603739</v>
      </c>
      <c r="J697" s="359">
        <f t="shared" ca="1" si="304"/>
        <v>1054.1430934910882</v>
      </c>
      <c r="K697" s="360">
        <f t="shared" ca="1" si="305"/>
        <v>2681.3909823534509</v>
      </c>
      <c r="L697" s="357">
        <f t="shared" ca="1" si="290"/>
        <v>2881.1586665439595</v>
      </c>
      <c r="M697" s="359">
        <f t="shared" ca="1" si="306"/>
        <v>-0.34015862221822724</v>
      </c>
      <c r="N697" s="357">
        <f t="shared" ca="1" si="307"/>
        <v>-19.489653418089414</v>
      </c>
      <c r="O697" s="343"/>
      <c r="P697" s="363">
        <f t="shared" ca="1" si="308"/>
        <v>23</v>
      </c>
      <c r="Q697" s="357">
        <f t="shared" ca="1" si="309"/>
        <v>0</v>
      </c>
      <c r="R697" s="359">
        <f t="shared" ca="1" si="310"/>
        <v>0</v>
      </c>
      <c r="S697" s="360">
        <f t="shared" ca="1" si="311"/>
        <v>9.7379999999999765</v>
      </c>
      <c r="T697" s="357">
        <f t="shared" ca="1" si="291"/>
        <v>95.529779999999775</v>
      </c>
      <c r="U697" s="364">
        <f t="shared" ca="1" si="292"/>
        <v>0</v>
      </c>
      <c r="V697" s="359">
        <f t="shared" ca="1" si="293"/>
        <v>0.93536133048995629</v>
      </c>
      <c r="W697" s="357">
        <f t="shared" ca="1" si="294"/>
        <v>3.3383774477866286</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2.7170539317397759</v>
      </c>
      <c r="AH697" s="357">
        <f t="shared" ca="1" si="318"/>
        <v>-0.33791266554016725</v>
      </c>
    </row>
    <row r="698" spans="1:34" x14ac:dyDescent="0.25">
      <c r="A698" s="402">
        <f t="shared" ca="1" si="296"/>
        <v>0.1</v>
      </c>
      <c r="B698" s="357">
        <f t="shared" ca="1" si="297"/>
        <v>24.400000000000016</v>
      </c>
      <c r="C698" s="342"/>
      <c r="D698" s="359">
        <f t="shared" ca="1" si="298"/>
        <v>-0.32317665635329307</v>
      </c>
      <c r="E698" s="360">
        <f t="shared" ca="1" si="299"/>
        <v>-9.6956228177637538</v>
      </c>
      <c r="F698" s="357">
        <f t="shared" ca="1" si="300"/>
        <v>9.7010074206523953</v>
      </c>
      <c r="G698" s="359">
        <f t="shared" ca="1" si="301"/>
        <v>37.40136203166221</v>
      </c>
      <c r="H698" s="360">
        <f t="shared" ca="1" si="302"/>
        <v>-14.217916456932311</v>
      </c>
      <c r="I698" s="357">
        <f t="shared" ca="1" si="303"/>
        <v>40.012635881678307</v>
      </c>
      <c r="J698" s="359">
        <f t="shared" ca="1" si="304"/>
        <v>1057.8848455775362</v>
      </c>
      <c r="K698" s="360">
        <f t="shared" ca="1" si="305"/>
        <v>2680.0176688218467</v>
      </c>
      <c r="L698" s="357">
        <f t="shared" ca="1" si="290"/>
        <v>2881.2523408580328</v>
      </c>
      <c r="M698" s="359">
        <f t="shared" ca="1" si="306"/>
        <v>-0.36327313982642062</v>
      </c>
      <c r="N698" s="357">
        <f t="shared" ca="1" si="307"/>
        <v>-20.814017722519722</v>
      </c>
      <c r="O698" s="343"/>
      <c r="P698" s="363">
        <f t="shared" ca="1" si="308"/>
        <v>23</v>
      </c>
      <c r="Q698" s="357">
        <f t="shared" ca="1" si="309"/>
        <v>0</v>
      </c>
      <c r="R698" s="359">
        <f t="shared" ca="1" si="310"/>
        <v>0</v>
      </c>
      <c r="S698" s="360">
        <f t="shared" ca="1" si="311"/>
        <v>9.7379999999999765</v>
      </c>
      <c r="T698" s="357">
        <f t="shared" ca="1" si="291"/>
        <v>95.529779999999775</v>
      </c>
      <c r="U698" s="364">
        <f t="shared" ca="1" si="292"/>
        <v>0</v>
      </c>
      <c r="V698" s="359">
        <f t="shared" ca="1" si="293"/>
        <v>0.9354921440321522</v>
      </c>
      <c r="W698" s="357">
        <f t="shared" ca="1" si="294"/>
        <v>3.3901123147418812</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2.9301557193610321</v>
      </c>
      <c r="AH698" s="357">
        <f t="shared" ca="1" si="318"/>
        <v>-0.34281961879098755</v>
      </c>
    </row>
    <row r="699" spans="1:34" x14ac:dyDescent="0.25">
      <c r="A699" s="402">
        <f t="shared" ca="1" si="296"/>
        <v>0.1</v>
      </c>
      <c r="B699" s="357">
        <f t="shared" ca="1" si="297"/>
        <v>24.500000000000018</v>
      </c>
      <c r="C699" s="342"/>
      <c r="D699" s="359">
        <f t="shared" ca="1" si="298"/>
        <v>-0.32541275557786714</v>
      </c>
      <c r="E699" s="360">
        <f t="shared" ca="1" si="299"/>
        <v>-9.6862961795640086</v>
      </c>
      <c r="F699" s="357">
        <f t="shared" ca="1" si="300"/>
        <v>9.6917607863447142</v>
      </c>
      <c r="G699" s="359">
        <f t="shared" ca="1" si="301"/>
        <v>37.368820756104419</v>
      </c>
      <c r="H699" s="360">
        <f t="shared" ca="1" si="302"/>
        <v>-15.186546074888712</v>
      </c>
      <c r="I699" s="357">
        <f t="shared" ca="1" si="303"/>
        <v>40.336831139624472</v>
      </c>
      <c r="J699" s="359">
        <f t="shared" ca="1" si="304"/>
        <v>1061.6233547169245</v>
      </c>
      <c r="K699" s="360">
        <f t="shared" ca="1" si="305"/>
        <v>2678.5474456952556</v>
      </c>
      <c r="L699" s="357">
        <f t="shared" ca="1" si="290"/>
        <v>2881.2602392218923</v>
      </c>
      <c r="M699" s="359">
        <f t="shared" ca="1" si="306"/>
        <v>-0.38600813676311785</v>
      </c>
      <c r="N699" s="357">
        <f t="shared" ca="1" si="307"/>
        <v>-22.116637094235326</v>
      </c>
      <c r="O699" s="343"/>
      <c r="P699" s="363">
        <f t="shared" ca="1" si="308"/>
        <v>23</v>
      </c>
      <c r="Q699" s="357">
        <f t="shared" ca="1" si="309"/>
        <v>0</v>
      </c>
      <c r="R699" s="359">
        <f t="shared" ca="1" si="310"/>
        <v>0</v>
      </c>
      <c r="S699" s="360">
        <f t="shared" ca="1" si="311"/>
        <v>9.7379999999999765</v>
      </c>
      <c r="T699" s="357">
        <f t="shared" ca="1" si="291"/>
        <v>95.529779999999775</v>
      </c>
      <c r="U699" s="364">
        <f t="shared" ca="1" si="292"/>
        <v>0</v>
      </c>
      <c r="V699" s="359">
        <f t="shared" ca="1" si="293"/>
        <v>0.93563220615573306</v>
      </c>
      <c r="W699" s="357">
        <f t="shared" ca="1" si="294"/>
        <v>3.4457862571574642</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3.1377105459463936</v>
      </c>
      <c r="AH699" s="357">
        <f t="shared" ca="1" si="318"/>
        <v>-0.34813229767322751</v>
      </c>
    </row>
    <row r="700" spans="1:34" x14ac:dyDescent="0.25">
      <c r="A700" s="402">
        <f t="shared" ca="1" si="296"/>
        <v>0.1</v>
      </c>
      <c r="B700" s="357">
        <f t="shared" ca="1" si="297"/>
        <v>24.600000000000019</v>
      </c>
      <c r="C700" s="342"/>
      <c r="D700" s="359">
        <f t="shared" ca="1" si="298"/>
        <v>-0.32781300611491315</v>
      </c>
      <c r="E700" s="360">
        <f t="shared" ca="1" si="299"/>
        <v>-9.6767780459596491</v>
      </c>
      <c r="F700" s="357">
        <f t="shared" ca="1" si="300"/>
        <v>9.682328992434865</v>
      </c>
      <c r="G700" s="359">
        <f t="shared" ca="1" si="301"/>
        <v>37.33603945549293</v>
      </c>
      <c r="H700" s="360">
        <f t="shared" ca="1" si="302"/>
        <v>-16.154223879484675</v>
      </c>
      <c r="I700" s="357">
        <f t="shared" ca="1" si="303"/>
        <v>40.680938919482152</v>
      </c>
      <c r="J700" s="359">
        <f t="shared" ca="1" si="304"/>
        <v>1065.3585977275043</v>
      </c>
      <c r="K700" s="360">
        <f t="shared" ca="1" si="305"/>
        <v>2676.9804071975368</v>
      </c>
      <c r="L700" s="357">
        <f t="shared" ca="1" si="290"/>
        <v>2881.1825770456485</v>
      </c>
      <c r="M700" s="359">
        <f t="shared" ca="1" si="306"/>
        <v>-0.40835012335333215</v>
      </c>
      <c r="N700" s="357">
        <f t="shared" ca="1" si="307"/>
        <v>-23.396738631792488</v>
      </c>
      <c r="O700" s="343"/>
      <c r="P700" s="363">
        <f t="shared" ca="1" si="308"/>
        <v>23</v>
      </c>
      <c r="Q700" s="357">
        <f t="shared" ca="1" si="309"/>
        <v>0</v>
      </c>
      <c r="R700" s="359">
        <f t="shared" ca="1" si="310"/>
        <v>0</v>
      </c>
      <c r="S700" s="360">
        <f t="shared" ca="1" si="311"/>
        <v>9.7379999999999765</v>
      </c>
      <c r="T700" s="357">
        <f t="shared" ca="1" si="291"/>
        <v>95.529779999999775</v>
      </c>
      <c r="U700" s="364">
        <f t="shared" ca="1" si="292"/>
        <v>0</v>
      </c>
      <c r="V700" s="359">
        <f t="shared" ca="1" si="293"/>
        <v>0.93578151147706135</v>
      </c>
      <c r="W700" s="357">
        <f t="shared" ca="1" si="294"/>
        <v>3.5053873425604305</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3.3395496467763417</v>
      </c>
      <c r="AH700" s="357">
        <f t="shared" ca="1" si="318"/>
        <v>-0.35384948214802553</v>
      </c>
    </row>
    <row r="701" spans="1:34" x14ac:dyDescent="0.25">
      <c r="A701" s="402">
        <f t="shared" ca="1" si="296"/>
        <v>0.1</v>
      </c>
      <c r="B701" s="357">
        <f t="shared" ca="1" si="297"/>
        <v>24.700000000000021</v>
      </c>
      <c r="C701" s="342"/>
      <c r="D701" s="359">
        <f t="shared" ca="1" si="298"/>
        <v>-0.33037222089446566</v>
      </c>
      <c r="E701" s="360">
        <f t="shared" ca="1" si="299"/>
        <v>-9.6670574999993324</v>
      </c>
      <c r="F701" s="357">
        <f t="shared" ca="1" si="300"/>
        <v>9.6727010970375833</v>
      </c>
      <c r="G701" s="359">
        <f t="shared" ca="1" si="301"/>
        <v>37.303002233403483</v>
      </c>
      <c r="H701" s="360">
        <f t="shared" ca="1" si="302"/>
        <v>-17.120929629484607</v>
      </c>
      <c r="I701" s="357">
        <f t="shared" ca="1" si="303"/>
        <v>41.044368761171967</v>
      </c>
      <c r="J701" s="359">
        <f t="shared" ca="1" si="304"/>
        <v>1069.0905498119491</v>
      </c>
      <c r="K701" s="360">
        <f t="shared" ca="1" si="305"/>
        <v>2675.3166495220885</v>
      </c>
      <c r="L701" s="357">
        <f t="shared" ca="1" si="290"/>
        <v>2881.0195728087842</v>
      </c>
      <c r="M701" s="359">
        <f t="shared" ca="1" si="306"/>
        <v>-0.43028764389018576</v>
      </c>
      <c r="N701" s="357">
        <f t="shared" ca="1" si="307"/>
        <v>-24.653665971535766</v>
      </c>
      <c r="O701" s="343"/>
      <c r="P701" s="363">
        <f t="shared" ca="1" si="308"/>
        <v>23</v>
      </c>
      <c r="Q701" s="357">
        <f t="shared" ca="1" si="309"/>
        <v>0</v>
      </c>
      <c r="R701" s="359">
        <f t="shared" ca="1" si="310"/>
        <v>0</v>
      </c>
      <c r="S701" s="360">
        <f t="shared" ca="1" si="311"/>
        <v>9.7379999999999765</v>
      </c>
      <c r="T701" s="357">
        <f t="shared" ca="1" si="291"/>
        <v>95.529779999999775</v>
      </c>
      <c r="U701" s="364">
        <f t="shared" ca="1" si="292"/>
        <v>0</v>
      </c>
      <c r="V701" s="359">
        <f t="shared" ca="1" si="293"/>
        <v>0.9359400546577481</v>
      </c>
      <c r="W701" s="357">
        <f t="shared" ca="1" si="294"/>
        <v>3.5689035675073866</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3.535538378826506</v>
      </c>
      <c r="AH701" s="357">
        <f t="shared" ca="1" si="318"/>
        <v>-0.35996994686387751</v>
      </c>
    </row>
    <row r="702" spans="1:34" x14ac:dyDescent="0.25">
      <c r="A702" s="402">
        <f t="shared" ca="1" si="296"/>
        <v>0.1</v>
      </c>
      <c r="B702" s="357">
        <f t="shared" ca="1" si="297"/>
        <v>24.800000000000022</v>
      </c>
      <c r="C702" s="342"/>
      <c r="D702" s="359">
        <f t="shared" ca="1" si="298"/>
        <v>-0.33308513289399666</v>
      </c>
      <c r="E702" s="360">
        <f t="shared" ca="1" si="299"/>
        <v>-9.6571241782303776</v>
      </c>
      <c r="F702" s="357">
        <f t="shared" ca="1" si="300"/>
        <v>9.6628667122917911</v>
      </c>
      <c r="G702" s="359">
        <f t="shared" ca="1" si="301"/>
        <v>37.269693720114084</v>
      </c>
      <c r="H702" s="360">
        <f t="shared" ca="1" si="302"/>
        <v>-18.086642047307645</v>
      </c>
      <c r="I702" s="357">
        <f t="shared" ca="1" si="303"/>
        <v>41.426521583866396</v>
      </c>
      <c r="J702" s="359">
        <f t="shared" ca="1" si="304"/>
        <v>1072.8191846096249</v>
      </c>
      <c r="K702" s="360">
        <f t="shared" ca="1" si="305"/>
        <v>2673.5562709382489</v>
      </c>
      <c r="L702" s="357">
        <f t="shared" ca="1" si="290"/>
        <v>2880.771448195725</v>
      </c>
      <c r="M702" s="359">
        <f t="shared" ca="1" si="306"/>
        <v>-0.45181121237825184</v>
      </c>
      <c r="N702" s="357">
        <f t="shared" ca="1" si="307"/>
        <v>-25.886875605962729</v>
      </c>
      <c r="O702" s="343"/>
      <c r="P702" s="363">
        <f t="shared" ca="1" si="308"/>
        <v>23</v>
      </c>
      <c r="Q702" s="357">
        <f t="shared" ca="1" si="309"/>
        <v>0</v>
      </c>
      <c r="R702" s="359">
        <f t="shared" ca="1" si="310"/>
        <v>0</v>
      </c>
      <c r="S702" s="360">
        <f t="shared" ca="1" si="311"/>
        <v>9.7379999999999765</v>
      </c>
      <c r="T702" s="357">
        <f t="shared" ca="1" si="291"/>
        <v>95.529779999999775</v>
      </c>
      <c r="U702" s="364">
        <f t="shared" ca="1" si="292"/>
        <v>0</v>
      </c>
      <c r="V702" s="359">
        <f t="shared" ca="1" si="293"/>
        <v>0.93610783039383971</v>
      </c>
      <c r="W702" s="357">
        <f t="shared" ca="1" si="294"/>
        <v>3.6363228393190217</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3.7255748507716149</v>
      </c>
      <c r="AH702" s="357">
        <f t="shared" ca="1" si="318"/>
        <v>-0.36649245918128931</v>
      </c>
    </row>
    <row r="703" spans="1:34" x14ac:dyDescent="0.25">
      <c r="A703" s="402">
        <f t="shared" ca="1" si="296"/>
        <v>0.1</v>
      </c>
      <c r="B703" s="357">
        <f t="shared" ca="1" si="297"/>
        <v>24.900000000000023</v>
      </c>
      <c r="C703" s="342"/>
      <c r="D703" s="359">
        <f t="shared" ca="1" si="298"/>
        <v>-0.335946420747543</v>
      </c>
      <c r="E703" s="360">
        <f t="shared" ca="1" si="299"/>
        <v>-9.6469682695874752</v>
      </c>
      <c r="F703" s="357">
        <f t="shared" ca="1" si="300"/>
        <v>9.6528160032210621</v>
      </c>
      <c r="G703" s="359">
        <f t="shared" ca="1" si="301"/>
        <v>37.236099078039331</v>
      </c>
      <c r="H703" s="360">
        <f t="shared" ca="1" si="302"/>
        <v>-19.051338874266392</v>
      </c>
      <c r="I703" s="357">
        <f t="shared" ca="1" si="303"/>
        <v>41.826792698600443</v>
      </c>
      <c r="J703" s="359">
        <f t="shared" ca="1" si="304"/>
        <v>1076.5444742495326</v>
      </c>
      <c r="K703" s="360">
        <f t="shared" ca="1" si="305"/>
        <v>2671.6993718921703</v>
      </c>
      <c r="L703" s="357">
        <f t="shared" ca="1" si="290"/>
        <v>2880.4384282268943</v>
      </c>
      <c r="M703" s="359">
        <f t="shared" ca="1" si="306"/>
        <v>-0.47291323238034327</v>
      </c>
      <c r="N703" s="357">
        <f t="shared" ca="1" si="307"/>
        <v>-27.095932291283212</v>
      </c>
      <c r="O703" s="343"/>
      <c r="P703" s="363">
        <f t="shared" ca="1" si="308"/>
        <v>23</v>
      </c>
      <c r="Q703" s="357">
        <f t="shared" ca="1" si="309"/>
        <v>0</v>
      </c>
      <c r="R703" s="359">
        <f t="shared" ca="1" si="310"/>
        <v>0</v>
      </c>
      <c r="S703" s="360">
        <f t="shared" ca="1" si="311"/>
        <v>9.7379999999999765</v>
      </c>
      <c r="T703" s="357">
        <f t="shared" ca="1" si="291"/>
        <v>95.529779999999775</v>
      </c>
      <c r="U703" s="364">
        <f t="shared" ca="1" si="292"/>
        <v>0</v>
      </c>
      <c r="V703" s="359">
        <f t="shared" ca="1" si="293"/>
        <v>0.93628483340552016</v>
      </c>
      <c r="W703" s="357">
        <f t="shared" ca="1" si="294"/>
        <v>3.7076329587806862</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3.9095882428422319</v>
      </c>
      <c r="AH703" s="357">
        <f t="shared" ca="1" si="318"/>
        <v>-0.37341577729708669</v>
      </c>
    </row>
    <row r="704" spans="1:34" x14ac:dyDescent="0.25">
      <c r="A704" s="402">
        <f t="shared" ca="1" si="296"/>
        <v>0.1</v>
      </c>
      <c r="B704" s="357">
        <f t="shared" ca="1" si="297"/>
        <v>25.000000000000025</v>
      </c>
      <c r="C704" s="342"/>
      <c r="D704" s="359">
        <f t="shared" ca="1" si="298"/>
        <v>-0.33895073283170918</v>
      </c>
      <c r="E704" s="360">
        <f t="shared" ca="1" si="299"/>
        <v>-9.6365805110432152</v>
      </c>
      <c r="F704" s="357">
        <f t="shared" ca="1" si="300"/>
        <v>9.6425396833565102</v>
      </c>
      <c r="G704" s="359">
        <f t="shared" ca="1" si="301"/>
        <v>37.202204004756162</v>
      </c>
      <c r="H704" s="360">
        <f t="shared" ca="1" si="302"/>
        <v>-20.014996925370713</v>
      </c>
      <c r="I704" s="357">
        <f t="shared" ca="1" si="303"/>
        <v>42.244574618927039</v>
      </c>
      <c r="J704" s="359">
        <f t="shared" ca="1" si="304"/>
        <v>1080.2663894036725</v>
      </c>
      <c r="K704" s="360">
        <f t="shared" ca="1" si="305"/>
        <v>2669.7460551021886</v>
      </c>
      <c r="L704" s="357">
        <f t="shared" ca="1" si="290"/>
        <v>2880.0207413851981</v>
      </c>
      <c r="M704" s="359">
        <f t="shared" ca="1" si="306"/>
        <v>-0.49358790394110696</v>
      </c>
      <c r="N704" s="357">
        <f t="shared" ca="1" si="307"/>
        <v>-28.28050371453412</v>
      </c>
      <c r="O704" s="343"/>
      <c r="P704" s="363">
        <f t="shared" ca="1" si="308"/>
        <v>23</v>
      </c>
      <c r="Q704" s="357">
        <f t="shared" ca="1" si="309"/>
        <v>0</v>
      </c>
      <c r="R704" s="359">
        <f t="shared" ca="1" si="310"/>
        <v>0</v>
      </c>
      <c r="S704" s="360">
        <f t="shared" ca="1" si="311"/>
        <v>9.7379999999999765</v>
      </c>
      <c r="T704" s="357">
        <f t="shared" ca="1" si="291"/>
        <v>95.529779999999775</v>
      </c>
      <c r="U704" s="364">
        <f t="shared" ca="1" si="292"/>
        <v>0</v>
      </c>
      <c r="V704" s="359">
        <f t="shared" ca="1" si="293"/>
        <v>0.93647105842730738</v>
      </c>
      <c r="W704" s="357">
        <f t="shared" ca="1" si="294"/>
        <v>3.7828216037992832</v>
      </c>
      <c r="X704" s="343"/>
      <c r="Y704" s="367" t="str">
        <f t="shared" ca="1" si="312"/>
        <v/>
      </c>
      <c r="Z704" s="368" t="str">
        <f t="shared" ca="1" si="313"/>
        <v/>
      </c>
      <c r="AA704" s="369" t="str">
        <f t="shared" ca="1" si="314"/>
        <v/>
      </c>
      <c r="AB704" s="344"/>
      <c r="AC704" s="363">
        <f t="shared" ca="1" si="315"/>
        <v>25.000000000000025</v>
      </c>
      <c r="AD704" s="376">
        <f t="shared" ca="1" si="316"/>
        <v>1080.2663894036725</v>
      </c>
      <c r="AE704" s="377" t="e">
        <f t="shared" ca="1" si="295"/>
        <v>#N/A</v>
      </c>
      <c r="AF704" s="344"/>
      <c r="AG704" s="359">
        <f t="shared" ca="1" si="317"/>
        <v>4.0875368825604621</v>
      </c>
      <c r="AH704" s="357">
        <f t="shared" ca="1" si="318"/>
        <v>-0.38073864846792926</v>
      </c>
    </row>
    <row r="705" spans="1:34" x14ac:dyDescent="0.25">
      <c r="A705" s="402">
        <f t="shared" ca="1" si="296"/>
        <v>0.1</v>
      </c>
      <c r="B705" s="357">
        <f t="shared" ca="1" si="297"/>
        <v>25.100000000000026</v>
      </c>
      <c r="C705" s="342"/>
      <c r="D705" s="359">
        <f t="shared" ca="1" si="298"/>
        <v>-0.34209270966453509</v>
      </c>
      <c r="E705" s="360">
        <f t="shared" ca="1" si="299"/>
        <v>-9.6259521803801729</v>
      </c>
      <c r="F705" s="357">
        <f t="shared" ca="1" si="300"/>
        <v>9.6320290074818313</v>
      </c>
      <c r="G705" s="359">
        <f t="shared" ca="1" si="301"/>
        <v>37.167994733789705</v>
      </c>
      <c r="H705" s="360">
        <f t="shared" ca="1" si="302"/>
        <v>-20.977592143408732</v>
      </c>
      <c r="I705" s="357">
        <f t="shared" ca="1" si="303"/>
        <v>42.679259654617049</v>
      </c>
      <c r="J705" s="359">
        <f t="shared" ca="1" si="304"/>
        <v>1083.9848993405999</v>
      </c>
      <c r="K705" s="360">
        <f t="shared" ca="1" si="305"/>
        <v>2667.6964256487495</v>
      </c>
      <c r="L705" s="357">
        <f t="shared" ca="1" si="290"/>
        <v>2879.5186197379526</v>
      </c>
      <c r="M705" s="359">
        <f t="shared" ca="1" si="306"/>
        <v>-0.5138311204739745</v>
      </c>
      <c r="N705" s="357">
        <f t="shared" ca="1" si="307"/>
        <v>-29.440354585636882</v>
      </c>
      <c r="O705" s="343"/>
      <c r="P705" s="363">
        <f t="shared" ca="1" si="308"/>
        <v>23</v>
      </c>
      <c r="Q705" s="357">
        <f t="shared" ca="1" si="309"/>
        <v>0</v>
      </c>
      <c r="R705" s="359">
        <f t="shared" ca="1" si="310"/>
        <v>0</v>
      </c>
      <c r="S705" s="360">
        <f t="shared" ca="1" si="311"/>
        <v>9.7379999999999765</v>
      </c>
      <c r="T705" s="357">
        <f t="shared" ca="1" si="291"/>
        <v>95.529779999999775</v>
      </c>
      <c r="U705" s="364">
        <f t="shared" ca="1" si="292"/>
        <v>0</v>
      </c>
      <c r="V705" s="359">
        <f t="shared" ca="1" si="293"/>
        <v>0.93666650019875697</v>
      </c>
      <c r="W705" s="357">
        <f t="shared" ca="1" si="294"/>
        <v>3.8618763140021826</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4.2594061401668579</v>
      </c>
      <c r="AH705" s="357">
        <f t="shared" ca="1" si="318"/>
        <v>-0.3884598073320284</v>
      </c>
    </row>
    <row r="706" spans="1:34" x14ac:dyDescent="0.25">
      <c r="A706" s="402">
        <f t="shared" ca="1" si="296"/>
        <v>0.1</v>
      </c>
      <c r="B706" s="357">
        <f t="shared" ca="1" si="297"/>
        <v>25.200000000000028</v>
      </c>
      <c r="C706" s="342"/>
      <c r="D706" s="359">
        <f t="shared" ca="1" si="298"/>
        <v>-0.34536700450357355</v>
      </c>
      <c r="E706" s="360">
        <f t="shared" ca="1" si="299"/>
        <v>-9.6150750864511849</v>
      </c>
      <c r="F706" s="357">
        <f t="shared" ca="1" si="300"/>
        <v>9.6212757618672384</v>
      </c>
      <c r="G706" s="359">
        <f t="shared" ca="1" si="301"/>
        <v>37.133458033339345</v>
      </c>
      <c r="H706" s="360">
        <f t="shared" ca="1" si="302"/>
        <v>-21.939099652053851</v>
      </c>
      <c r="I706" s="357">
        <f t="shared" ca="1" si="303"/>
        <v>43.130242279130819</v>
      </c>
      <c r="J706" s="359">
        <f t="shared" ca="1" si="304"/>
        <v>1087.6999719789565</v>
      </c>
      <c r="K706" s="360">
        <f t="shared" ca="1" si="305"/>
        <v>2665.5505910589764</v>
      </c>
      <c r="L706" s="357">
        <f t="shared" ca="1" si="290"/>
        <v>2878.932299054266</v>
      </c>
      <c r="M706" s="359">
        <f t="shared" ca="1" si="306"/>
        <v>-0.53364035834083245</v>
      </c>
      <c r="N706" s="357">
        <f t="shared" ca="1" si="307"/>
        <v>-30.575340310778579</v>
      </c>
      <c r="O706" s="343"/>
      <c r="P706" s="363">
        <f t="shared" ca="1" si="308"/>
        <v>23</v>
      </c>
      <c r="Q706" s="357">
        <f t="shared" ca="1" si="309"/>
        <v>0</v>
      </c>
      <c r="R706" s="359">
        <f t="shared" ca="1" si="310"/>
        <v>0</v>
      </c>
      <c r="S706" s="360">
        <f t="shared" ca="1" si="311"/>
        <v>9.7379999999999765</v>
      </c>
      <c r="T706" s="357">
        <f t="shared" ca="1" si="291"/>
        <v>95.529779999999775</v>
      </c>
      <c r="U706" s="364">
        <f t="shared" ca="1" si="292"/>
        <v>0</v>
      </c>
      <c r="V706" s="359">
        <f t="shared" ca="1" si="293"/>
        <v>0.93687115345564731</v>
      </c>
      <c r="W706" s="357">
        <f t="shared" ca="1" si="294"/>
        <v>3.944784476259747</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4.4252062035658684</v>
      </c>
      <c r="AH706" s="357">
        <f t="shared" ca="1" si="318"/>
        <v>-0.39657797432760239</v>
      </c>
    </row>
    <row r="707" spans="1:34" x14ac:dyDescent="0.25">
      <c r="A707" s="402">
        <f t="shared" ca="1" si="296"/>
        <v>0.1</v>
      </c>
      <c r="B707" s="357">
        <f t="shared" ca="1" si="297"/>
        <v>25.300000000000029</v>
      </c>
      <c r="C707" s="342"/>
      <c r="D707" s="359">
        <f t="shared" ca="1" si="298"/>
        <v>-0.34876830207585502</v>
      </c>
      <c r="E707" s="360">
        <f t="shared" ca="1" si="299"/>
        <v>-9.6039415572918116</v>
      </c>
      <c r="F707" s="357">
        <f t="shared" ca="1" si="300"/>
        <v>9.6102722523563067</v>
      </c>
      <c r="G707" s="359">
        <f t="shared" ca="1" si="301"/>
        <v>37.098581203131758</v>
      </c>
      <c r="H707" s="360">
        <f t="shared" ca="1" si="302"/>
        <v>-22.899493807783031</v>
      </c>
      <c r="I707" s="357">
        <f t="shared" ca="1" si="303"/>
        <v>43.596921266736878</v>
      </c>
      <c r="J707" s="359">
        <f t="shared" ca="1" si="304"/>
        <v>1091.41157394078</v>
      </c>
      <c r="K707" s="360">
        <f t="shared" ca="1" si="305"/>
        <v>2663.3086613859846</v>
      </c>
      <c r="L707" s="357">
        <f t="shared" ca="1" si="290"/>
        <v>2878.2620189179261</v>
      </c>
      <c r="M707" s="359">
        <f t="shared" ca="1" si="306"/>
        <v>-0.55301456164332119</v>
      </c>
      <c r="N707" s="357">
        <f t="shared" ca="1" si="307"/>
        <v>-31.685400391439604</v>
      </c>
      <c r="O707" s="343"/>
      <c r="P707" s="363">
        <f t="shared" ca="1" si="308"/>
        <v>23</v>
      </c>
      <c r="Q707" s="357">
        <f t="shared" ca="1" si="309"/>
        <v>0</v>
      </c>
      <c r="R707" s="359">
        <f t="shared" ca="1" si="310"/>
        <v>0</v>
      </c>
      <c r="S707" s="360">
        <f t="shared" ca="1" si="311"/>
        <v>9.7379999999999765</v>
      </c>
      <c r="T707" s="357">
        <f t="shared" ca="1" si="291"/>
        <v>95.529779999999775</v>
      </c>
      <c r="U707" s="364">
        <f t="shared" ca="1" si="292"/>
        <v>0</v>
      </c>
      <c r="V707" s="359">
        <f t="shared" ca="1" si="293"/>
        <v>0.93708501292164736</v>
      </c>
      <c r="W707" s="357">
        <f t="shared" ca="1" si="294"/>
        <v>4.0315333111095741</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4.5849697873159885</v>
      </c>
      <c r="AH707" s="357">
        <f t="shared" ca="1" si="318"/>
        <v>-0.40509185420617749</v>
      </c>
    </row>
    <row r="708" spans="1:34" x14ac:dyDescent="0.25">
      <c r="A708" s="402">
        <f t="shared" ca="1" si="296"/>
        <v>0.1</v>
      </c>
      <c r="B708" s="357">
        <f t="shared" ca="1" si="297"/>
        <v>25.400000000000031</v>
      </c>
      <c r="C708" s="342"/>
      <c r="D708" s="359">
        <f t="shared" ca="1" si="298"/>
        <v>-0.35229133541389979</v>
      </c>
      <c r="E708" s="360">
        <f t="shared" ca="1" si="299"/>
        <v>-9.5925444264384652</v>
      </c>
      <c r="F708" s="357">
        <f t="shared" ca="1" si="300"/>
        <v>9.5990112906592291</v>
      </c>
      <c r="G708" s="359">
        <f t="shared" ca="1" si="301"/>
        <v>37.063352069590366</v>
      </c>
      <c r="H708" s="360">
        <f t="shared" ca="1" si="302"/>
        <v>-23.858748250426878</v>
      </c>
      <c r="I708" s="357">
        <f t="shared" ca="1" si="303"/>
        <v>44.078701599657585</v>
      </c>
      <c r="J708" s="359">
        <f t="shared" ca="1" si="304"/>
        <v>1095.1196706044161</v>
      </c>
      <c r="K708" s="360">
        <f t="shared" ca="1" si="305"/>
        <v>2660.9707492830739</v>
      </c>
      <c r="L708" s="357">
        <f t="shared" ref="L708:L771" ca="1" si="319">SQRT(pos_x^2+pos_z^2)</f>
        <v>2877.5080228358788</v>
      </c>
      <c r="M708" s="359">
        <f t="shared" ca="1" si="306"/>
        <v>-0.57195402449730159</v>
      </c>
      <c r="N708" s="357">
        <f t="shared" ca="1" si="307"/>
        <v>-32.770551679217476</v>
      </c>
      <c r="O708" s="343"/>
      <c r="P708" s="363">
        <f t="shared" ca="1" si="308"/>
        <v>23</v>
      </c>
      <c r="Q708" s="357">
        <f t="shared" ca="1" si="309"/>
        <v>0</v>
      </c>
      <c r="R708" s="359">
        <f t="shared" ca="1" si="310"/>
        <v>0</v>
      </c>
      <c r="S708" s="360">
        <f t="shared" ca="1" si="311"/>
        <v>9.7379999999999765</v>
      </c>
      <c r="T708" s="357">
        <f t="shared" ref="T708:T771" ca="1" si="320">m*g</f>
        <v>95.529779999999775</v>
      </c>
      <c r="U708" s="364">
        <f t="shared" ref="U708:U771" ca="1" si="321">IF(pos_xz&lt;L_rampe,Poids*COS(Beta),0)</f>
        <v>0</v>
      </c>
      <c r="V708" s="359">
        <f t="shared" ref="V708:V771" ca="1" si="322">Rho_moyen*(20000-Alt_rampe-pos_z)/(20000+Alt_rampe+pos_z)</f>
        <v>0.93730807330044386</v>
      </c>
      <c r="W708" s="357">
        <f t="shared" ref="W708:W771" ca="1" si="323">1/2*Rho*Sref*Cx*vit_xz^2</f>
        <v>4.1221098600576793</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4.7387498240093526</v>
      </c>
      <c r="AH708" s="357">
        <f t="shared" ca="1" si="318"/>
        <v>-0.41400013463848673</v>
      </c>
    </row>
    <row r="709" spans="1:34" x14ac:dyDescent="0.25">
      <c r="A709" s="402">
        <f t="shared" ref="A709:A772" ca="1" si="325">IF(B708+0.01&lt;=T_ini+ROUNDUP(Temps_fin_propu,0), 0.01, IF(K708&gt;0, 0.1, 0.0001))</f>
        <v>0.1</v>
      </c>
      <c r="B709" s="357">
        <f t="shared" ref="B709:B772" ca="1" si="326">B708+pas</f>
        <v>25.500000000000032</v>
      </c>
      <c r="C709" s="342"/>
      <c r="D709" s="359">
        <f t="shared" ref="D709:D772" ca="1" si="327">IF(AND(L708&lt;L_rampe,Poussee&lt;Poids*SIN(M708)),0,(-W708+Poussee)/m*COS(M708)-U708/m*SIN(M708))</f>
        <v>-0.35593090080805012</v>
      </c>
      <c r="E709" s="360">
        <f t="shared" ref="E709:E772" ca="1" si="328">IF(AND(L708&lt;L_rampe,Poussee&lt;Poids*SIN(M708)),0,(-W708+Poussee)/m*SIN(M708)+U708/m*COS(M708)-Poids/m)</f>
        <v>-9.5808770177888345</v>
      </c>
      <c r="F709" s="357">
        <f t="shared" ref="F709:F772" ca="1" si="329">SQRT(acc_x^2+acc_z^2)</f>
        <v>9.5874861791892201</v>
      </c>
      <c r="G709" s="359">
        <f t="shared" ref="G709:G772" ca="1" si="330">G708+acc_x*pas</f>
        <v>37.027758979509564</v>
      </c>
      <c r="H709" s="360">
        <f t="shared" ref="H709:H772" ca="1" si="331">H708+acc_z*pas</f>
        <v>-24.816835952205761</v>
      </c>
      <c r="I709" s="357">
        <f t="shared" ref="I709:I772" ca="1" si="332">SQRT(vit_x^2+vit_z^2)</f>
        <v>44.574996149448438</v>
      </c>
      <c r="J709" s="359">
        <f t="shared" ref="J709:J772" ca="1" si="333">J708+0.5*(vit_x+G708)*pas*(K708&gt;=0)</f>
        <v>1098.8242261568712</v>
      </c>
      <c r="K709" s="360">
        <f t="shared" ref="K709:K772" ca="1" si="334">K708+0.5*(vit_z+H708)*pas</f>
        <v>2658.5369700729425</v>
      </c>
      <c r="L709" s="357">
        <f t="shared" ca="1" si="319"/>
        <v>2876.6705583423814</v>
      </c>
      <c r="M709" s="359">
        <f t="shared" ref="M709:M772" ca="1" si="335">IF(AND(L708&gt;L_rampe,G709&gt;0),ATAN2(G709,H709),$M$4)</f>
        <v>-0.59046027279264091</v>
      </c>
      <c r="N709" s="357">
        <f t="shared" ref="N709:N772" ca="1" si="336">DEGREES(Beta)</f>
        <v>-33.830881601161593</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9.7379999999999765</v>
      </c>
      <c r="T709" s="357">
        <f t="shared" ca="1" si="320"/>
        <v>95.529779999999775</v>
      </c>
      <c r="U709" s="364">
        <f t="shared" ca="1" si="321"/>
        <v>0</v>
      </c>
      <c r="V709" s="359">
        <f t="shared" ca="1" si="322"/>
        <v>0.93754032926832254</v>
      </c>
      <c r="W709" s="357">
        <f t="shared" ca="1" si="323"/>
        <v>4.2165009737294996</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4.8866171797197957</v>
      </c>
      <c r="AH709" s="357">
        <f t="shared" ref="AH709:AH772" ca="1" si="347">IF(AND(L708&lt;L_rampe,Poussee&lt;Poids*SIN(M708)), g*SIN(M708), (-W708+Poussee)/m)</f>
        <v>-0.42330148491042197</v>
      </c>
    </row>
    <row r="710" spans="1:34" x14ac:dyDescent="0.25">
      <c r="A710" s="402">
        <f t="shared" ca="1" si="325"/>
        <v>0.1</v>
      </c>
      <c r="B710" s="357">
        <f t="shared" ca="1" si="326"/>
        <v>25.600000000000033</v>
      </c>
      <c r="C710" s="342"/>
      <c r="D710" s="359">
        <f t="shared" ca="1" si="327"/>
        <v>-0.35968187091591386</v>
      </c>
      <c r="E710" s="360">
        <f t="shared" ca="1" si="328"/>
        <v>-9.5689331293194861</v>
      </c>
      <c r="F710" s="357">
        <f t="shared" ca="1" si="329"/>
        <v>9.5756906947568847</v>
      </c>
      <c r="G710" s="359">
        <f t="shared" ca="1" si="330"/>
        <v>36.991790792417973</v>
      </c>
      <c r="H710" s="360">
        <f t="shared" ca="1" si="331"/>
        <v>-25.77372926513771</v>
      </c>
      <c r="I710" s="357">
        <f t="shared" ca="1" si="332"/>
        <v>45.085227139969419</v>
      </c>
      <c r="J710" s="359">
        <f t="shared" ca="1" si="333"/>
        <v>1102.5252036454676</v>
      </c>
      <c r="K710" s="360">
        <f t="shared" ca="1" si="334"/>
        <v>2656.0074418120753</v>
      </c>
      <c r="L710" s="357">
        <f t="shared" ca="1" si="319"/>
        <v>2875.7498770989459</v>
      </c>
      <c r="M710" s="359">
        <f t="shared" ca="1" si="335"/>
        <v>-0.60853594716202075</v>
      </c>
      <c r="N710" s="357">
        <f t="shared" ca="1" si="336"/>
        <v>-34.866541454379856</v>
      </c>
      <c r="O710" s="343"/>
      <c r="P710" s="363">
        <f t="shared" ca="1" si="337"/>
        <v>23</v>
      </c>
      <c r="Q710" s="357">
        <f t="shared" ca="1" si="338"/>
        <v>0</v>
      </c>
      <c r="R710" s="359">
        <f t="shared" ca="1" si="339"/>
        <v>0</v>
      </c>
      <c r="S710" s="360">
        <f t="shared" ca="1" si="340"/>
        <v>9.7379999999999765</v>
      </c>
      <c r="T710" s="357">
        <f t="shared" ca="1" si="320"/>
        <v>95.529779999999775</v>
      </c>
      <c r="U710" s="364">
        <f t="shared" ca="1" si="321"/>
        <v>0</v>
      </c>
      <c r="V710" s="359">
        <f t="shared" ca="1" si="322"/>
        <v>0.93778177546718167</v>
      </c>
      <c r="W710" s="357">
        <f t="shared" ca="1" si="323"/>
        <v>4.3146933008417339</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5.0286584283899858</v>
      </c>
      <c r="AH710" s="357">
        <f t="shared" ca="1" si="347"/>
        <v>-0.43299455470625486</v>
      </c>
    </row>
    <row r="711" spans="1:34" x14ac:dyDescent="0.25">
      <c r="A711" s="402">
        <f t="shared" ca="1" si="325"/>
        <v>0.1</v>
      </c>
      <c r="B711" s="357">
        <f t="shared" ca="1" si="326"/>
        <v>25.700000000000035</v>
      </c>
      <c r="C711" s="342"/>
      <c r="D711" s="359">
        <f t="shared" ca="1" si="327"/>
        <v>-0.36353920609466989</v>
      </c>
      <c r="E711" s="360">
        <f t="shared" ca="1" si="328"/>
        <v>-9.5567070159504794</v>
      </c>
      <c r="F711" s="357">
        <f t="shared" ca="1" si="329"/>
        <v>9.5636190714125089</v>
      </c>
      <c r="G711" s="359">
        <f t="shared" ca="1" si="330"/>
        <v>36.955436871808509</v>
      </c>
      <c r="H711" s="360">
        <f t="shared" ca="1" si="331"/>
        <v>-26.729399966732757</v>
      </c>
      <c r="I711" s="357">
        <f t="shared" ca="1" si="332"/>
        <v>45.608827401806735</v>
      </c>
      <c r="J711" s="359">
        <f t="shared" ca="1" si="333"/>
        <v>1106.2225650286789</v>
      </c>
      <c r="K711" s="360">
        <f t="shared" ca="1" si="334"/>
        <v>2653.3822853504817</v>
      </c>
      <c r="L711" s="357">
        <f t="shared" ca="1" si="319"/>
        <v>2874.7462349902075</v>
      </c>
      <c r="M711" s="359">
        <f t="shared" ca="1" si="335"/>
        <v>-0.62618468860575205</v>
      </c>
      <c r="N711" s="357">
        <f t="shared" ca="1" si="336"/>
        <v>-35.877739852823282</v>
      </c>
      <c r="O711" s="343"/>
      <c r="P711" s="363">
        <f t="shared" ca="1" si="337"/>
        <v>23</v>
      </c>
      <c r="Q711" s="357">
        <f t="shared" ca="1" si="338"/>
        <v>0</v>
      </c>
      <c r="R711" s="359">
        <f t="shared" ca="1" si="339"/>
        <v>0</v>
      </c>
      <c r="S711" s="360">
        <f t="shared" ca="1" si="340"/>
        <v>9.7379999999999765</v>
      </c>
      <c r="T711" s="357">
        <f t="shared" ca="1" si="320"/>
        <v>95.529779999999775</v>
      </c>
      <c r="U711" s="364">
        <f t="shared" ca="1" si="321"/>
        <v>0</v>
      </c>
      <c r="V711" s="359">
        <f t="shared" ca="1" si="322"/>
        <v>0.93803240649796393</v>
      </c>
      <c r="W711" s="357">
        <f t="shared" ca="1" si="323"/>
        <v>4.4166732779646969</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5.1649737133566092</v>
      </c>
      <c r="AH711" s="357">
        <f t="shared" ca="1" si="347"/>
        <v>-0.44307797297614954</v>
      </c>
    </row>
    <row r="712" spans="1:34" x14ac:dyDescent="0.25">
      <c r="A712" s="402">
        <f t="shared" ca="1" si="325"/>
        <v>0.1</v>
      </c>
      <c r="B712" s="357">
        <f t="shared" ca="1" si="326"/>
        <v>25.800000000000036</v>
      </c>
      <c r="C712" s="342"/>
      <c r="D712" s="359">
        <f t="shared" ca="1" si="327"/>
        <v>-0.36749796404162977</v>
      </c>
      <c r="E712" s="360">
        <f t="shared" ca="1" si="328"/>
        <v>-9.5441933718196097</v>
      </c>
      <c r="F712" s="357">
        <f t="shared" ca="1" si="329"/>
        <v>9.551265982698844</v>
      </c>
      <c r="G712" s="359">
        <f t="shared" ca="1" si="330"/>
        <v>36.918687075404343</v>
      </c>
      <c r="H712" s="360">
        <f t="shared" ca="1" si="331"/>
        <v>-27.683819303914717</v>
      </c>
      <c r="I712" s="357">
        <f t="shared" ca="1" si="332"/>
        <v>46.145241429896416</v>
      </c>
      <c r="J712" s="359">
        <f t="shared" ca="1" si="333"/>
        <v>1109.9162712260395</v>
      </c>
      <c r="K712" s="360">
        <f t="shared" ca="1" si="334"/>
        <v>2650.6616243869494</v>
      </c>
      <c r="L712" s="357">
        <f t="shared" ca="1" si="319"/>
        <v>2873.6598922158441</v>
      </c>
      <c r="M712" s="359">
        <f t="shared" ca="1" si="335"/>
        <v>-0.64341102795314464</v>
      </c>
      <c r="N712" s="357">
        <f t="shared" ca="1" si="336"/>
        <v>-36.864736393889025</v>
      </c>
      <c r="O712" s="343"/>
      <c r="P712" s="363">
        <f t="shared" ca="1" si="337"/>
        <v>23</v>
      </c>
      <c r="Q712" s="357">
        <f t="shared" ca="1" si="338"/>
        <v>0</v>
      </c>
      <c r="R712" s="359">
        <f t="shared" ca="1" si="339"/>
        <v>0</v>
      </c>
      <c r="S712" s="360">
        <f t="shared" ca="1" si="340"/>
        <v>9.7379999999999765</v>
      </c>
      <c r="T712" s="357">
        <f t="shared" ca="1" si="320"/>
        <v>95.529779999999775</v>
      </c>
      <c r="U712" s="364">
        <f t="shared" ca="1" si="321"/>
        <v>0</v>
      </c>
      <c r="V712" s="359">
        <f t="shared" ca="1" si="322"/>
        <v>0.93829221691448961</v>
      </c>
      <c r="W712" s="357">
        <f t="shared" ca="1" si="323"/>
        <v>4.5224271200439574</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5.2956747178941859</v>
      </c>
      <c r="AH712" s="357">
        <f t="shared" ca="1" si="347"/>
        <v>-0.45355034688485391</v>
      </c>
    </row>
    <row r="713" spans="1:34" x14ac:dyDescent="0.25">
      <c r="A713" s="402">
        <f t="shared" ca="1" si="325"/>
        <v>0.1</v>
      </c>
      <c r="B713" s="357">
        <f t="shared" ca="1" si="326"/>
        <v>25.900000000000038</v>
      </c>
      <c r="C713" s="342"/>
      <c r="D713" s="359">
        <f t="shared" ca="1" si="327"/>
        <v>-0.37155330784314156</v>
      </c>
      <c r="E713" s="360">
        <f t="shared" ca="1" si="328"/>
        <v>-9.5313873122006552</v>
      </c>
      <c r="F713" s="357">
        <f t="shared" ca="1" si="329"/>
        <v>9.5386265235488086</v>
      </c>
      <c r="G713" s="359">
        <f t="shared" ca="1" si="330"/>
        <v>36.881531744620027</v>
      </c>
      <c r="H713" s="360">
        <f t="shared" ca="1" si="331"/>
        <v>-28.636958035134782</v>
      </c>
      <c r="I713" s="357">
        <f t="shared" ca="1" si="332"/>
        <v>46.693926257442577</v>
      </c>
      <c r="J713" s="359">
        <f t="shared" ca="1" si="333"/>
        <v>1113.6062821670407</v>
      </c>
      <c r="K713" s="360">
        <f t="shared" ca="1" si="334"/>
        <v>2647.8455855199968</v>
      </c>
      <c r="L713" s="357">
        <f t="shared" ca="1" si="319"/>
        <v>2872.491113378705</v>
      </c>
      <c r="M713" s="359">
        <f t="shared" ca="1" si="335"/>
        <v>-0.6602202800912329</v>
      </c>
      <c r="N713" s="357">
        <f t="shared" ca="1" si="336"/>
        <v>-37.827835598172733</v>
      </c>
      <c r="O713" s="343"/>
      <c r="P713" s="363">
        <f t="shared" ca="1" si="337"/>
        <v>23</v>
      </c>
      <c r="Q713" s="357">
        <f t="shared" ca="1" si="338"/>
        <v>0</v>
      </c>
      <c r="R713" s="359">
        <f t="shared" ca="1" si="339"/>
        <v>0</v>
      </c>
      <c r="S713" s="360">
        <f t="shared" ca="1" si="340"/>
        <v>9.7379999999999765</v>
      </c>
      <c r="T713" s="357">
        <f t="shared" ca="1" si="320"/>
        <v>95.529779999999775</v>
      </c>
      <c r="U713" s="364">
        <f t="shared" ca="1" si="321"/>
        <v>0</v>
      </c>
      <c r="V713" s="359">
        <f t="shared" ca="1" si="322"/>
        <v>0.93856120121767228</v>
      </c>
      <c r="W713" s="357">
        <f t="shared" ca="1" si="323"/>
        <v>4.6319408116494865</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5.420882760848035</v>
      </c>
      <c r="AH713" s="357">
        <f t="shared" ca="1" si="347"/>
        <v>-0.4644102608383619</v>
      </c>
    </row>
    <row r="714" spans="1:34" x14ac:dyDescent="0.25">
      <c r="A714" s="402">
        <f t="shared" ca="1" si="325"/>
        <v>0.1</v>
      </c>
      <c r="B714" s="357">
        <f t="shared" ca="1" si="326"/>
        <v>26.000000000000039</v>
      </c>
      <c r="C714" s="342"/>
      <c r="D714" s="359">
        <f t="shared" ca="1" si="327"/>
        <v>-0.37570051254214704</v>
      </c>
      <c r="E714" s="360">
        <f t="shared" ca="1" si="328"/>
        <v>-9.518284355271728</v>
      </c>
      <c r="F714" s="357">
        <f t="shared" ca="1" si="329"/>
        <v>9.5256961920342071</v>
      </c>
      <c r="G714" s="359">
        <f t="shared" ca="1" si="330"/>
        <v>36.843961693365813</v>
      </c>
      <c r="H714" s="360">
        <f t="shared" ca="1" si="331"/>
        <v>-29.588786470661955</v>
      </c>
      <c r="I714" s="357">
        <f t="shared" ca="1" si="332"/>
        <v>47.254352160077651</v>
      </c>
      <c r="J714" s="359">
        <f t="shared" ca="1" si="333"/>
        <v>1117.2925568389401</v>
      </c>
      <c r="K714" s="360">
        <f t="shared" ca="1" si="334"/>
        <v>2644.9342982947069</v>
      </c>
      <c r="L714" s="357">
        <f t="shared" ca="1" si="319"/>
        <v>2871.240167569305</v>
      </c>
      <c r="M714" s="359">
        <f t="shared" ca="1" si="335"/>
        <v>-0.6766184436630388</v>
      </c>
      <c r="N714" s="357">
        <f t="shared" ca="1" si="336"/>
        <v>-38.767381162602383</v>
      </c>
      <c r="O714" s="343"/>
      <c r="P714" s="363">
        <f t="shared" ca="1" si="337"/>
        <v>23</v>
      </c>
      <c r="Q714" s="357">
        <f t="shared" ca="1" si="338"/>
        <v>0</v>
      </c>
      <c r="R714" s="359">
        <f t="shared" ca="1" si="339"/>
        <v>0</v>
      </c>
      <c r="S714" s="360">
        <f t="shared" ca="1" si="340"/>
        <v>9.7379999999999765</v>
      </c>
      <c r="T714" s="357">
        <f t="shared" ca="1" si="320"/>
        <v>95.529779999999775</v>
      </c>
      <c r="U714" s="364">
        <f t="shared" ca="1" si="321"/>
        <v>0</v>
      </c>
      <c r="V714" s="359">
        <f t="shared" ca="1" si="322"/>
        <v>0.93883935385010076</v>
      </c>
      <c r="W714" s="357">
        <f t="shared" ca="1" si="323"/>
        <v>4.7452000989203373</v>
      </c>
      <c r="X714" s="343"/>
      <c r="Y714" s="367" t="str">
        <f t="shared" ca="1" si="341"/>
        <v/>
      </c>
      <c r="Z714" s="368" t="str">
        <f t="shared" ca="1" si="342"/>
        <v/>
      </c>
      <c r="AA714" s="369" t="str">
        <f t="shared" ca="1" si="343"/>
        <v/>
      </c>
      <c r="AB714" s="344"/>
      <c r="AC714" s="363">
        <f t="shared" ca="1" si="344"/>
        <v>26.000000000000039</v>
      </c>
      <c r="AD714" s="376">
        <f t="shared" ca="1" si="345"/>
        <v>1117.2925568389401</v>
      </c>
      <c r="AE714" s="377" t="e">
        <f t="shared" ca="1" si="324"/>
        <v>#N/A</v>
      </c>
      <c r="AF714" s="344"/>
      <c r="AG714" s="359">
        <f t="shared" ca="1" si="346"/>
        <v>5.5407270282259864</v>
      </c>
      <c r="AH714" s="357">
        <f t="shared" ca="1" si="347"/>
        <v>-0.47565627558528423</v>
      </c>
    </row>
    <row r="715" spans="1:34" x14ac:dyDescent="0.25">
      <c r="A715" s="402">
        <f t="shared" ca="1" si="325"/>
        <v>0.1</v>
      </c>
      <c r="B715" s="357">
        <f t="shared" ca="1" si="326"/>
        <v>26.100000000000041</v>
      </c>
      <c r="C715" s="342"/>
      <c r="D715" s="359">
        <f t="shared" ca="1" si="327"/>
        <v>-0.37993497034099327</v>
      </c>
      <c r="E715" s="360">
        <f t="shared" ca="1" si="328"/>
        <v>-9.5048804039121251</v>
      </c>
      <c r="F715" s="357">
        <f t="shared" ca="1" si="329"/>
        <v>9.5124708711438757</v>
      </c>
      <c r="G715" s="359">
        <f t="shared" ca="1" si="330"/>
        <v>36.805968196331712</v>
      </c>
      <c r="H715" s="360">
        <f t="shared" ca="1" si="331"/>
        <v>-30.539274511053168</v>
      </c>
      <c r="I715" s="357">
        <f t="shared" ca="1" si="332"/>
        <v>47.826003204646355</v>
      </c>
      <c r="J715" s="359">
        <f t="shared" ca="1" si="333"/>
        <v>1120.975053333425</v>
      </c>
      <c r="K715" s="360">
        <f t="shared" ca="1" si="334"/>
        <v>2641.9278952456211</v>
      </c>
      <c r="L715" s="357">
        <f t="shared" ca="1" si="319"/>
        <v>2869.9073284468318</v>
      </c>
      <c r="M715" s="359">
        <f t="shared" ca="1" si="335"/>
        <v>-0.69261210673277496</v>
      </c>
      <c r="N715" s="357">
        <f t="shared" ca="1" si="336"/>
        <v>-39.683750555452512</v>
      </c>
      <c r="O715" s="343"/>
      <c r="P715" s="363">
        <f t="shared" ca="1" si="337"/>
        <v>23</v>
      </c>
      <c r="Q715" s="357">
        <f t="shared" ca="1" si="338"/>
        <v>0</v>
      </c>
      <c r="R715" s="359">
        <f t="shared" ca="1" si="339"/>
        <v>0</v>
      </c>
      <c r="S715" s="360">
        <f t="shared" ca="1" si="340"/>
        <v>9.7379999999999765</v>
      </c>
      <c r="T715" s="357">
        <f t="shared" ca="1" si="320"/>
        <v>95.529779999999775</v>
      </c>
      <c r="U715" s="364">
        <f t="shared" ca="1" si="321"/>
        <v>0</v>
      </c>
      <c r="V715" s="359">
        <f t="shared" ca="1" si="322"/>
        <v>0.93912666919096932</v>
      </c>
      <c r="W715" s="357">
        <f t="shared" ca="1" si="323"/>
        <v>4.8621904821730428</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5.6553429470798244</v>
      </c>
      <c r="AH715" s="357">
        <f t="shared" ca="1" si="347"/>
        <v>-0.48728692738964352</v>
      </c>
    </row>
    <row r="716" spans="1:34" x14ac:dyDescent="0.25">
      <c r="A716" s="402">
        <f t="shared" ca="1" si="325"/>
        <v>0.1</v>
      </c>
      <c r="B716" s="357">
        <f t="shared" ca="1" si="326"/>
        <v>26.200000000000042</v>
      </c>
      <c r="C716" s="342"/>
      <c r="D716" s="359">
        <f t="shared" ca="1" si="327"/>
        <v>-0.38425219455902176</v>
      </c>
      <c r="E716" s="360">
        <f t="shared" ca="1" si="328"/>
        <v>-9.4911717276796939</v>
      </c>
      <c r="F716" s="357">
        <f t="shared" ca="1" si="329"/>
        <v>9.4989468107432717</v>
      </c>
      <c r="G716" s="359">
        <f t="shared" ca="1" si="330"/>
        <v>36.767542976875809</v>
      </c>
      <c r="H716" s="360">
        <f t="shared" ca="1" si="331"/>
        <v>-31.488391683821138</v>
      </c>
      <c r="I716" s="357">
        <f t="shared" ca="1" si="332"/>
        <v>48.408377657076528</v>
      </c>
      <c r="J716" s="359">
        <f t="shared" ca="1" si="333"/>
        <v>1124.6537288920854</v>
      </c>
      <c r="K716" s="360">
        <f t="shared" ca="1" si="334"/>
        <v>2638.8265119358775</v>
      </c>
      <c r="L716" s="357">
        <f t="shared" ca="1" si="319"/>
        <v>2868.4928743168498</v>
      </c>
      <c r="M716" s="359">
        <f t="shared" ca="1" si="335"/>
        <v>-0.70820835873571875</v>
      </c>
      <c r="N716" s="357">
        <f t="shared" ca="1" si="336"/>
        <v>-40.577349971443653</v>
      </c>
      <c r="O716" s="343"/>
      <c r="P716" s="363">
        <f t="shared" ca="1" si="337"/>
        <v>23</v>
      </c>
      <c r="Q716" s="357">
        <f t="shared" ca="1" si="338"/>
        <v>0</v>
      </c>
      <c r="R716" s="359">
        <f t="shared" ca="1" si="339"/>
        <v>0</v>
      </c>
      <c r="S716" s="360">
        <f t="shared" ca="1" si="340"/>
        <v>9.7379999999999765</v>
      </c>
      <c r="T716" s="357">
        <f t="shared" ca="1" si="320"/>
        <v>95.529779999999775</v>
      </c>
      <c r="U716" s="364">
        <f t="shared" ca="1" si="321"/>
        <v>0</v>
      </c>
      <c r="V716" s="359">
        <f t="shared" ca="1" si="322"/>
        <v>0.93942314155133944</v>
      </c>
      <c r="W716" s="357">
        <f t="shared" ca="1" si="323"/>
        <v>4.9828972091422319</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5.7648707041457588</v>
      </c>
      <c r="AH716" s="357">
        <f t="shared" ca="1" si="347"/>
        <v>-0.49930072727182734</v>
      </c>
    </row>
    <row r="717" spans="1:34" x14ac:dyDescent="0.25">
      <c r="A717" s="402">
        <f t="shared" ca="1" si="325"/>
        <v>0.1</v>
      </c>
      <c r="B717" s="357">
        <f t="shared" ca="1" si="326"/>
        <v>26.300000000000043</v>
      </c>
      <c r="C717" s="342"/>
      <c r="D717" s="359">
        <f t="shared" ca="1" si="327"/>
        <v>-0.38864782246454993</v>
      </c>
      <c r="E717" s="360">
        <f t="shared" ca="1" si="328"/>
        <v>-9.4771549450958776</v>
      </c>
      <c r="F717" s="357">
        <f t="shared" ca="1" si="329"/>
        <v>9.4851206098426442</v>
      </c>
      <c r="G717" s="359">
        <f t="shared" ca="1" si="330"/>
        <v>36.728678194629353</v>
      </c>
      <c r="H717" s="360">
        <f t="shared" ca="1" si="331"/>
        <v>-32.43610717833073</v>
      </c>
      <c r="I717" s="357">
        <f t="shared" ca="1" si="332"/>
        <v>49.000988263593214</v>
      </c>
      <c r="J717" s="359">
        <f t="shared" ca="1" si="333"/>
        <v>1128.3285399506606</v>
      </c>
      <c r="K717" s="360">
        <f t="shared" ca="1" si="334"/>
        <v>2635.6302869927699</v>
      </c>
      <c r="L717" s="357">
        <f t="shared" ca="1" si="319"/>
        <v>2866.9970882058428</v>
      </c>
      <c r="M717" s="359">
        <f t="shared" ca="1" si="335"/>
        <v>-0.72341470887604375</v>
      </c>
      <c r="N717" s="357">
        <f t="shared" ca="1" si="336"/>
        <v>-41.448609656282443</v>
      </c>
      <c r="O717" s="343"/>
      <c r="P717" s="363">
        <f t="shared" ca="1" si="337"/>
        <v>23</v>
      </c>
      <c r="Q717" s="357">
        <f t="shared" ca="1" si="338"/>
        <v>0</v>
      </c>
      <c r="R717" s="359">
        <f t="shared" ca="1" si="339"/>
        <v>0</v>
      </c>
      <c r="S717" s="360">
        <f t="shared" ca="1" si="340"/>
        <v>9.7379999999999765</v>
      </c>
      <c r="T717" s="357">
        <f t="shared" ca="1" si="320"/>
        <v>95.529779999999775</v>
      </c>
      <c r="U717" s="364">
        <f t="shared" ca="1" si="321"/>
        <v>0</v>
      </c>
      <c r="V717" s="359">
        <f t="shared" ca="1" si="322"/>
        <v>0.93972876516971227</v>
      </c>
      <c r="W717" s="357">
        <f t="shared" ca="1" si="323"/>
        <v>5.1073052688225458</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5.8694539085131163</v>
      </c>
      <c r="AH717" s="357">
        <f t="shared" ca="1" si="347"/>
        <v>-0.5116961603144633</v>
      </c>
    </row>
    <row r="718" spans="1:34" x14ac:dyDescent="0.25">
      <c r="A718" s="402">
        <f t="shared" ca="1" si="325"/>
        <v>0.1</v>
      </c>
      <c r="B718" s="357">
        <f t="shared" ca="1" si="326"/>
        <v>26.400000000000045</v>
      </c>
      <c r="C718" s="342"/>
      <c r="D718" s="359">
        <f t="shared" ca="1" si="327"/>
        <v>-0.39311761709866577</v>
      </c>
      <c r="E718" s="360">
        <f t="shared" ca="1" si="328"/>
        <v>-9.462827006342776</v>
      </c>
      <c r="F718" s="357">
        <f t="shared" ca="1" si="329"/>
        <v>9.4709891992781579</v>
      </c>
      <c r="G718" s="359">
        <f t="shared" ca="1" si="330"/>
        <v>36.689366432919485</v>
      </c>
      <c r="H718" s="360">
        <f t="shared" ca="1" si="331"/>
        <v>-33.382389878965007</v>
      </c>
      <c r="I718" s="357">
        <f t="shared" ca="1" si="332"/>
        <v>49.603362419096797</v>
      </c>
      <c r="J718" s="359">
        <f t="shared" ca="1" si="333"/>
        <v>1131.9994421820379</v>
      </c>
      <c r="K718" s="360">
        <f t="shared" ca="1" si="334"/>
        <v>2632.339362139905</v>
      </c>
      <c r="L718" s="357">
        <f t="shared" ca="1" si="319"/>
        <v>2865.4202579327812</v>
      </c>
      <c r="M718" s="359">
        <f t="shared" ca="1" si="335"/>
        <v>-0.7382390110058743</v>
      </c>
      <c r="N718" s="357">
        <f t="shared" ca="1" si="336"/>
        <v>-42.29797960254853</v>
      </c>
      <c r="O718" s="343"/>
      <c r="P718" s="363">
        <f t="shared" ca="1" si="337"/>
        <v>23</v>
      </c>
      <c r="Q718" s="357">
        <f t="shared" ca="1" si="338"/>
        <v>0</v>
      </c>
      <c r="R718" s="359">
        <f t="shared" ca="1" si="339"/>
        <v>0</v>
      </c>
      <c r="S718" s="360">
        <f t="shared" ca="1" si="340"/>
        <v>9.7379999999999765</v>
      </c>
      <c r="T718" s="357">
        <f t="shared" ca="1" si="320"/>
        <v>95.529779999999775</v>
      </c>
      <c r="U718" s="364">
        <f t="shared" ca="1" si="321"/>
        <v>0</v>
      </c>
      <c r="V718" s="359">
        <f t="shared" ca="1" si="322"/>
        <v>0.94004353420790232</v>
      </c>
      <c r="W718" s="357">
        <f t="shared" ca="1" si="323"/>
        <v>5.2353993858817374</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5.969238395014191</v>
      </c>
      <c r="AH718" s="357">
        <f t="shared" ca="1" si="347"/>
        <v>-0.52447168503004293</v>
      </c>
    </row>
    <row r="719" spans="1:34" x14ac:dyDescent="0.25">
      <c r="A719" s="402">
        <f t="shared" ca="1" si="325"/>
        <v>0.1</v>
      </c>
      <c r="B719" s="357">
        <f t="shared" ca="1" si="326"/>
        <v>26.500000000000046</v>
      </c>
      <c r="C719" s="342"/>
      <c r="D719" s="359">
        <f t="shared" ca="1" si="327"/>
        <v>-0.39765746820426101</v>
      </c>
      <c r="E719" s="360">
        <f t="shared" ca="1" si="328"/>
        <v>-9.4481851764557589</v>
      </c>
      <c r="F719" s="357">
        <f t="shared" ca="1" si="329"/>
        <v>9.4565498248894642</v>
      </c>
      <c r="G719" s="359">
        <f t="shared" ca="1" si="330"/>
        <v>36.649600686099056</v>
      </c>
      <c r="H719" s="360">
        <f t="shared" ca="1" si="331"/>
        <v>-34.327208396610587</v>
      </c>
      <c r="I719" s="357">
        <f t="shared" ca="1" si="332"/>
        <v>50.215042235916172</v>
      </c>
      <c r="J719" s="359">
        <f t="shared" ca="1" si="333"/>
        <v>1135.6663905379889</v>
      </c>
      <c r="K719" s="360">
        <f t="shared" ca="1" si="334"/>
        <v>2628.9538822261261</v>
      </c>
      <c r="L719" s="357">
        <f t="shared" ca="1" si="319"/>
        <v>2863.7626761778647</v>
      </c>
      <c r="M719" s="359">
        <f t="shared" ca="1" si="335"/>
        <v>-0.75268939491181686</v>
      </c>
      <c r="N719" s="357">
        <f t="shared" ca="1" si="336"/>
        <v>-43.125925612702808</v>
      </c>
      <c r="O719" s="343"/>
      <c r="P719" s="363">
        <f t="shared" ca="1" si="337"/>
        <v>23</v>
      </c>
      <c r="Q719" s="357">
        <f t="shared" ca="1" si="338"/>
        <v>0</v>
      </c>
      <c r="R719" s="359">
        <f t="shared" ca="1" si="339"/>
        <v>0</v>
      </c>
      <c r="S719" s="360">
        <f t="shared" ca="1" si="340"/>
        <v>9.7379999999999765</v>
      </c>
      <c r="T719" s="357">
        <f t="shared" ca="1" si="320"/>
        <v>95.529779999999775</v>
      </c>
      <c r="U719" s="364">
        <f t="shared" ca="1" si="321"/>
        <v>0</v>
      </c>
      <c r="V719" s="359">
        <f t="shared" ca="1" si="322"/>
        <v>0.94036744274718631</v>
      </c>
      <c r="W719" s="357">
        <f t="shared" ca="1" si="323"/>
        <v>5.3671640156156482</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6.0643711630234325</v>
      </c>
      <c r="AH719" s="357">
        <f t="shared" ca="1" si="347"/>
        <v>-0.53762573278719961</v>
      </c>
    </row>
    <row r="720" spans="1:34" x14ac:dyDescent="0.25">
      <c r="A720" s="402">
        <f t="shared" ca="1" si="325"/>
        <v>0.1</v>
      </c>
      <c r="B720" s="357">
        <f t="shared" ca="1" si="326"/>
        <v>26.600000000000048</v>
      </c>
      <c r="C720" s="342"/>
      <c r="D720" s="359">
        <f t="shared" ca="1" si="327"/>
        <v>-0.40226339236836134</v>
      </c>
      <c r="E720" s="360">
        <f t="shared" ca="1" si="328"/>
        <v>-9.4332270190765346</v>
      </c>
      <c r="F720" s="357">
        <f t="shared" ca="1" si="329"/>
        <v>9.4418000312586194</v>
      </c>
      <c r="G720" s="359">
        <f t="shared" ca="1" si="330"/>
        <v>36.609374346862218</v>
      </c>
      <c r="H720" s="360">
        <f t="shared" ca="1" si="331"/>
        <v>-35.270531098518241</v>
      </c>
      <c r="I720" s="357">
        <f t="shared" ca="1" si="332"/>
        <v>50.835584525411292</v>
      </c>
      <c r="J720" s="359">
        <f t="shared" ca="1" si="333"/>
        <v>1139.3293392896371</v>
      </c>
      <c r="K720" s="360">
        <f t="shared" ca="1" si="334"/>
        <v>2625.4739952513696</v>
      </c>
      <c r="L720" s="357">
        <f t="shared" ca="1" si="319"/>
        <v>2862.0246405486009</v>
      </c>
      <c r="M720" s="359">
        <f t="shared" ca="1" si="335"/>
        <v>-0.76677420384933848</v>
      </c>
      <c r="N720" s="357">
        <f t="shared" ca="1" si="336"/>
        <v>-43.932925720070934</v>
      </c>
      <c r="O720" s="343"/>
      <c r="P720" s="363">
        <f t="shared" ca="1" si="337"/>
        <v>23</v>
      </c>
      <c r="Q720" s="357">
        <f t="shared" ca="1" si="338"/>
        <v>0</v>
      </c>
      <c r="R720" s="359">
        <f t="shared" ca="1" si="339"/>
        <v>0</v>
      </c>
      <c r="S720" s="360">
        <f t="shared" ca="1" si="340"/>
        <v>9.7379999999999765</v>
      </c>
      <c r="T720" s="357">
        <f t="shared" ca="1" si="320"/>
        <v>95.529779999999775</v>
      </c>
      <c r="U720" s="364">
        <f t="shared" ca="1" si="321"/>
        <v>0</v>
      </c>
      <c r="V720" s="359">
        <f t="shared" ca="1" si="322"/>
        <v>0.94070048478472146</v>
      </c>
      <c r="W720" s="357">
        <f t="shared" ca="1" si="323"/>
        <v>5.5025833394168409</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6.1549994438594302</v>
      </c>
      <c r="AH720" s="357">
        <f t="shared" ca="1" si="347"/>
        <v>-0.55115670729263311</v>
      </c>
    </row>
    <row r="721" spans="1:34" x14ac:dyDescent="0.25">
      <c r="A721" s="402">
        <f t="shared" ca="1" si="325"/>
        <v>0.1</v>
      </c>
      <c r="B721" s="357">
        <f t="shared" ca="1" si="326"/>
        <v>26.700000000000049</v>
      </c>
      <c r="C721" s="342"/>
      <c r="D721" s="359">
        <f t="shared" ca="1" si="327"/>
        <v>-0.40693153247948033</v>
      </c>
      <c r="E721" s="360">
        <f t="shared" ca="1" si="328"/>
        <v>-9.4179503808150891</v>
      </c>
      <c r="F721" s="357">
        <f t="shared" ca="1" si="329"/>
        <v>9.4267376460587453</v>
      </c>
      <c r="G721" s="359">
        <f t="shared" ca="1" si="330"/>
        <v>36.568681193614267</v>
      </c>
      <c r="H721" s="360">
        <f t="shared" ca="1" si="331"/>
        <v>-36.212326136599749</v>
      </c>
      <c r="I721" s="357">
        <f t="shared" ca="1" si="332"/>
        <v>51.464560704077357</v>
      </c>
      <c r="J721" s="359">
        <f t="shared" ca="1" si="333"/>
        <v>1142.9882420666609</v>
      </c>
      <c r="K721" s="360">
        <f t="shared" ca="1" si="334"/>
        <v>2621.8998523896139</v>
      </c>
      <c r="L721" s="357">
        <f t="shared" ca="1" si="319"/>
        <v>2860.2064536433932</v>
      </c>
      <c r="M721" s="359">
        <f t="shared" ca="1" si="335"/>
        <v>-0.78050193809848711</v>
      </c>
      <c r="N721" s="357">
        <f t="shared" ca="1" si="336"/>
        <v>-44.719466954824348</v>
      </c>
      <c r="O721" s="343"/>
      <c r="P721" s="363">
        <f t="shared" ca="1" si="337"/>
        <v>23</v>
      </c>
      <c r="Q721" s="357">
        <f t="shared" ca="1" si="338"/>
        <v>0</v>
      </c>
      <c r="R721" s="359">
        <f t="shared" ca="1" si="339"/>
        <v>0</v>
      </c>
      <c r="S721" s="360">
        <f t="shared" ca="1" si="340"/>
        <v>9.7379999999999765</v>
      </c>
      <c r="T721" s="357">
        <f t="shared" ca="1" si="320"/>
        <v>95.529779999999775</v>
      </c>
      <c r="U721" s="364">
        <f t="shared" ca="1" si="321"/>
        <v>0</v>
      </c>
      <c r="V721" s="359">
        <f t="shared" ca="1" si="322"/>
        <v>0.94104265423021005</v>
      </c>
      <c r="W721" s="357">
        <f t="shared" ca="1" si="323"/>
        <v>5.6416412607296875</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6.2412698889329778</v>
      </c>
      <c r="AH721" s="357">
        <f t="shared" ca="1" si="347"/>
        <v>-0.56506298412578082</v>
      </c>
    </row>
    <row r="722" spans="1:34" x14ac:dyDescent="0.25">
      <c r="A722" s="402">
        <f t="shared" ca="1" si="325"/>
        <v>0.1</v>
      </c>
      <c r="B722" s="357">
        <f t="shared" ca="1" si="326"/>
        <v>26.80000000000005</v>
      </c>
      <c r="C722" s="342"/>
      <c r="D722" s="359">
        <f t="shared" ca="1" si="327"/>
        <v>-0.41165815659474225</v>
      </c>
      <c r="E722" s="360">
        <f t="shared" ca="1" si="328"/>
        <v>-9.4023533762545597</v>
      </c>
      <c r="F722" s="357">
        <f t="shared" ca="1" si="329"/>
        <v>9.4113607650464921</v>
      </c>
      <c r="G722" s="359">
        <f t="shared" ca="1" si="330"/>
        <v>36.527515377954792</v>
      </c>
      <c r="H722" s="360">
        <f t="shared" ca="1" si="331"/>
        <v>-37.152561474225209</v>
      </c>
      <c r="I722" s="357">
        <f t="shared" ca="1" si="332"/>
        <v>52.101556634929892</v>
      </c>
      <c r="J722" s="359">
        <f t="shared" ca="1" si="333"/>
        <v>1146.6430518952393</v>
      </c>
      <c r="K722" s="360">
        <f t="shared" ca="1" si="334"/>
        <v>2618.2316080090727</v>
      </c>
      <c r="L722" s="357">
        <f t="shared" ca="1" si="319"/>
        <v>2858.3084231127691</v>
      </c>
      <c r="M722" s="359">
        <f t="shared" ca="1" si="335"/>
        <v>-0.79388120426434461</v>
      </c>
      <c r="N722" s="357">
        <f t="shared" ca="1" si="336"/>
        <v>-45.486042439110157</v>
      </c>
      <c r="O722" s="343"/>
      <c r="P722" s="363">
        <f t="shared" ca="1" si="337"/>
        <v>23</v>
      </c>
      <c r="Q722" s="357">
        <f t="shared" ca="1" si="338"/>
        <v>0</v>
      </c>
      <c r="R722" s="359">
        <f t="shared" ca="1" si="339"/>
        <v>0</v>
      </c>
      <c r="S722" s="360">
        <f t="shared" ca="1" si="340"/>
        <v>9.7379999999999765</v>
      </c>
      <c r="T722" s="357">
        <f t="shared" ca="1" si="320"/>
        <v>95.529779999999775</v>
      </c>
      <c r="U722" s="364">
        <f t="shared" ca="1" si="321"/>
        <v>0</v>
      </c>
      <c r="V722" s="359">
        <f t="shared" ca="1" si="322"/>
        <v>0.94139394490280126</v>
      </c>
      <c r="W722" s="357">
        <f t="shared" ca="1" si="323"/>
        <v>5.7843214014658475</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6.323327870113217</v>
      </c>
      <c r="AH722" s="357">
        <f t="shared" ca="1" si="347"/>
        <v>-0.57934291032344432</v>
      </c>
    </row>
    <row r="723" spans="1:34" x14ac:dyDescent="0.25">
      <c r="A723" s="402">
        <f t="shared" ca="1" si="325"/>
        <v>0.1</v>
      </c>
      <c r="B723" s="357">
        <f t="shared" ca="1" si="326"/>
        <v>26.900000000000052</v>
      </c>
      <c r="C723" s="342"/>
      <c r="D723" s="359">
        <f t="shared" ca="1" si="327"/>
        <v>-0.41643965630416785</v>
      </c>
      <c r="E723" s="360">
        <f t="shared" ca="1" si="328"/>
        <v>-9.3864343736206219</v>
      </c>
      <c r="F723" s="357">
        <f t="shared" ca="1" si="329"/>
        <v>9.3956677377198421</v>
      </c>
      <c r="G723" s="359">
        <f t="shared" ca="1" si="330"/>
        <v>36.485871412324379</v>
      </c>
      <c r="H723" s="360">
        <f t="shared" ca="1" si="331"/>
        <v>-38.091204911587269</v>
      </c>
      <c r="I723" s="357">
        <f t="shared" ca="1" si="332"/>
        <v>52.746172414054833</v>
      </c>
      <c r="J723" s="359">
        <f t="shared" ca="1" si="333"/>
        <v>1150.2937212347533</v>
      </c>
      <c r="K723" s="360">
        <f t="shared" ca="1" si="334"/>
        <v>2614.4694196897822</v>
      </c>
      <c r="L723" s="357">
        <f t="shared" ca="1" si="319"/>
        <v>2856.3308617184252</v>
      </c>
      <c r="M723" s="359">
        <f t="shared" ca="1" si="335"/>
        <v>-0.80692067001002443</v>
      </c>
      <c r="N723" s="357">
        <f t="shared" ca="1" si="336"/>
        <v>-46.233148793443021</v>
      </c>
      <c r="O723" s="343"/>
      <c r="P723" s="363">
        <f t="shared" ca="1" si="337"/>
        <v>23</v>
      </c>
      <c r="Q723" s="357">
        <f t="shared" ca="1" si="338"/>
        <v>0</v>
      </c>
      <c r="R723" s="359">
        <f t="shared" ca="1" si="339"/>
        <v>0</v>
      </c>
      <c r="S723" s="360">
        <f t="shared" ca="1" si="340"/>
        <v>9.7379999999999765</v>
      </c>
      <c r="T723" s="357">
        <f t="shared" ca="1" si="320"/>
        <v>95.529779999999775</v>
      </c>
      <c r="U723" s="364">
        <f t="shared" ca="1" si="321"/>
        <v>0</v>
      </c>
      <c r="V723" s="359">
        <f t="shared" ca="1" si="322"/>
        <v>0.94175435052820988</v>
      </c>
      <c r="W723" s="357">
        <f t="shared" ca="1" si="323"/>
        <v>5.9306070988552806</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6.4013168834284455</v>
      </c>
      <c r="AH723" s="357">
        <f t="shared" ca="1" si="347"/>
        <v>-0.59399480401169247</v>
      </c>
    </row>
    <row r="724" spans="1:34" x14ac:dyDescent="0.25">
      <c r="A724" s="402">
        <f t="shared" ca="1" si="325"/>
        <v>0.1</v>
      </c>
      <c r="B724" s="357">
        <f t="shared" ca="1" si="326"/>
        <v>27.000000000000053</v>
      </c>
      <c r="C724" s="342"/>
      <c r="D724" s="359">
        <f t="shared" ca="1" si="327"/>
        <v>-0.42127254467204334</v>
      </c>
      <c r="E724" s="360">
        <f t="shared" ca="1" si="328"/>
        <v>-9.3701919811264744</v>
      </c>
      <c r="F724" s="357">
        <f t="shared" ca="1" si="329"/>
        <v>9.3796571536523317</v>
      </c>
      <c r="G724" s="359">
        <f t="shared" ca="1" si="330"/>
        <v>36.443744157857175</v>
      </c>
      <c r="H724" s="360">
        <f t="shared" ca="1" si="331"/>
        <v>-39.02822410969992</v>
      </c>
      <c r="I724" s="357">
        <f t="shared" ca="1" si="332"/>
        <v>53.398022111313367</v>
      </c>
      <c r="J724" s="359">
        <f t="shared" ca="1" si="333"/>
        <v>1153.9402020132625</v>
      </c>
      <c r="K724" s="360">
        <f t="shared" ca="1" si="334"/>
        <v>2610.6134482387179</v>
      </c>
      <c r="L724" s="357">
        <f t="shared" ca="1" si="319"/>
        <v>2854.2740873902171</v>
      </c>
      <c r="M724" s="359">
        <f t="shared" ca="1" si="335"/>
        <v>-0.81962902388681647</v>
      </c>
      <c r="N724" s="357">
        <f t="shared" ca="1" si="336"/>
        <v>-46.96128383514192</v>
      </c>
      <c r="O724" s="343"/>
      <c r="P724" s="363">
        <f t="shared" ca="1" si="337"/>
        <v>23</v>
      </c>
      <c r="Q724" s="357">
        <f t="shared" ca="1" si="338"/>
        <v>0</v>
      </c>
      <c r="R724" s="359">
        <f t="shared" ca="1" si="339"/>
        <v>0</v>
      </c>
      <c r="S724" s="360">
        <f t="shared" ca="1" si="340"/>
        <v>9.7379999999999765</v>
      </c>
      <c r="T724" s="357">
        <f t="shared" ca="1" si="320"/>
        <v>95.529779999999775</v>
      </c>
      <c r="U724" s="364">
        <f t="shared" ca="1" si="321"/>
        <v>0</v>
      </c>
      <c r="V724" s="359">
        <f t="shared" ca="1" si="322"/>
        <v>0.94212386473605025</v>
      </c>
      <c r="W724" s="357">
        <f t="shared" ca="1" si="323"/>
        <v>6.0804814027091343</v>
      </c>
      <c r="X724" s="343"/>
      <c r="Y724" s="367" t="str">
        <f t="shared" ca="1" si="341"/>
        <v/>
      </c>
      <c r="Z724" s="368" t="str">
        <f t="shared" ca="1" si="342"/>
        <v/>
      </c>
      <c r="AA724" s="369" t="str">
        <f t="shared" ca="1" si="343"/>
        <v/>
      </c>
      <c r="AB724" s="344"/>
      <c r="AC724" s="363">
        <f t="shared" ca="1" si="344"/>
        <v>27.000000000000053</v>
      </c>
      <c r="AD724" s="376">
        <f t="shared" ca="1" si="345"/>
        <v>1153.9402020132625</v>
      </c>
      <c r="AE724" s="377" t="e">
        <f t="shared" ca="1" si="324"/>
        <v>#N/A</v>
      </c>
      <c r="AF724" s="344"/>
      <c r="AG724" s="359">
        <f t="shared" ca="1" si="346"/>
        <v>6.4753780471195519</v>
      </c>
      <c r="AH724" s="357">
        <f t="shared" ca="1" si="347"/>
        <v>-0.60901695408249079</v>
      </c>
    </row>
    <row r="725" spans="1:34" x14ac:dyDescent="0.25">
      <c r="A725" s="402">
        <f t="shared" ca="1" si="325"/>
        <v>0.1</v>
      </c>
      <c r="B725" s="357">
        <f t="shared" ca="1" si="326"/>
        <v>27.100000000000055</v>
      </c>
      <c r="C725" s="342"/>
      <c r="D725" s="359">
        <f t="shared" ca="1" si="327"/>
        <v>-0.42615345382785308</v>
      </c>
      <c r="E725" s="360">
        <f t="shared" ca="1" si="328"/>
        <v>-9.3536250339955735</v>
      </c>
      <c r="F725" s="357">
        <f t="shared" ca="1" si="329"/>
        <v>9.3633278295058169</v>
      </c>
      <c r="G725" s="359">
        <f t="shared" ca="1" si="330"/>
        <v>36.40112881247439</v>
      </c>
      <c r="H725" s="360">
        <f t="shared" ca="1" si="331"/>
        <v>-39.96358661309948</v>
      </c>
      <c r="I725" s="357">
        <f t="shared" ca="1" si="332"/>
        <v>54.056733473315397</v>
      </c>
      <c r="J725" s="359">
        <f t="shared" ca="1" si="333"/>
        <v>1157.582445661779</v>
      </c>
      <c r="K725" s="360">
        <f t="shared" ca="1" si="334"/>
        <v>2606.6638577025778</v>
      </c>
      <c r="L725" s="357">
        <f t="shared" ca="1" si="319"/>
        <v>2852.1384232812388</v>
      </c>
      <c r="M725" s="359">
        <f t="shared" ca="1" si="335"/>
        <v>-0.83201493991320297</v>
      </c>
      <c r="N725" s="357">
        <f t="shared" ca="1" si="336"/>
        <v>-47.670944548857314</v>
      </c>
      <c r="O725" s="343"/>
      <c r="P725" s="363">
        <f t="shared" ca="1" si="337"/>
        <v>23</v>
      </c>
      <c r="Q725" s="357">
        <f t="shared" ca="1" si="338"/>
        <v>0</v>
      </c>
      <c r="R725" s="359">
        <f t="shared" ca="1" si="339"/>
        <v>0</v>
      </c>
      <c r="S725" s="360">
        <f t="shared" ca="1" si="340"/>
        <v>9.7379999999999765</v>
      </c>
      <c r="T725" s="357">
        <f t="shared" ca="1" si="320"/>
        <v>95.529779999999775</v>
      </c>
      <c r="U725" s="364">
        <f t="shared" ca="1" si="321"/>
        <v>0</v>
      </c>
      <c r="V725" s="359">
        <f t="shared" ca="1" si="322"/>
        <v>0.94250248105735634</v>
      </c>
      <c r="W725" s="357">
        <f t="shared" ca="1" si="323"/>
        <v>6.2339270730718992</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6.545649685169443</v>
      </c>
      <c r="AH725" s="357">
        <f t="shared" ca="1" si="347"/>
        <v>-0.62440761991262572</v>
      </c>
    </row>
    <row r="726" spans="1:34" x14ac:dyDescent="0.25">
      <c r="A726" s="402">
        <f t="shared" ca="1" si="325"/>
        <v>0.1</v>
      </c>
      <c r="B726" s="357">
        <f t="shared" ca="1" si="326"/>
        <v>27.200000000000056</v>
      </c>
      <c r="C726" s="342"/>
      <c r="D726" s="359">
        <f t="shared" ca="1" si="327"/>
        <v>-0.4310791322719999</v>
      </c>
      <c r="E726" s="360">
        <f t="shared" ca="1" si="328"/>
        <v>-9.3367325821569551</v>
      </c>
      <c r="F726" s="357">
        <f t="shared" ca="1" si="329"/>
        <v>9.3466787967165992</v>
      </c>
      <c r="G726" s="359">
        <f t="shared" ca="1" si="330"/>
        <v>36.358020899247187</v>
      </c>
      <c r="H726" s="360">
        <f t="shared" ca="1" si="331"/>
        <v>-40.897259871315178</v>
      </c>
      <c r="I726" s="357">
        <f t="shared" ca="1" si="332"/>
        <v>54.721947595932491</v>
      </c>
      <c r="J726" s="359">
        <f t="shared" ca="1" si="333"/>
        <v>1161.2204031473652</v>
      </c>
      <c r="K726" s="360">
        <f t="shared" ca="1" si="334"/>
        <v>2602.6208153783573</v>
      </c>
      <c r="L726" s="357">
        <f t="shared" ca="1" si="319"/>
        <v>2849.9241978211339</v>
      </c>
      <c r="M726" s="359">
        <f t="shared" ca="1" si="335"/>
        <v>-0.84408704655008016</v>
      </c>
      <c r="N726" s="357">
        <f t="shared" ca="1" si="336"/>
        <v>-48.362625308982246</v>
      </c>
      <c r="O726" s="343"/>
      <c r="P726" s="363">
        <f t="shared" ca="1" si="337"/>
        <v>23</v>
      </c>
      <c r="Q726" s="357">
        <f t="shared" ca="1" si="338"/>
        <v>0</v>
      </c>
      <c r="R726" s="359">
        <f t="shared" ca="1" si="339"/>
        <v>0</v>
      </c>
      <c r="S726" s="360">
        <f t="shared" ca="1" si="340"/>
        <v>9.7379999999999765</v>
      </c>
      <c r="T726" s="357">
        <f t="shared" ca="1" si="320"/>
        <v>95.529779999999775</v>
      </c>
      <c r="U726" s="364">
        <f t="shared" ca="1" si="321"/>
        <v>0</v>
      </c>
      <c r="V726" s="359">
        <f t="shared" ca="1" si="322"/>
        <v>0.94289019292229193</v>
      </c>
      <c r="W726" s="357">
        <f t="shared" ca="1" si="323"/>
        <v>6.3909265782416353</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6.6122669876939648</v>
      </c>
      <c r="AH726" s="357">
        <f t="shared" ca="1" si="347"/>
        <v>-0.64016503112260359</v>
      </c>
    </row>
    <row r="727" spans="1:34" x14ac:dyDescent="0.25">
      <c r="A727" s="402">
        <f t="shared" ca="1" si="325"/>
        <v>0.1</v>
      </c>
      <c r="B727" s="357">
        <f t="shared" ca="1" si="326"/>
        <v>27.300000000000058</v>
      </c>
      <c r="C727" s="342"/>
      <c r="D727" s="359">
        <f t="shared" ca="1" si="327"/>
        <v>-0.43604644195460063</v>
      </c>
      <c r="E727" s="360">
        <f t="shared" ca="1" si="328"/>
        <v>-9.3195138786019882</v>
      </c>
      <c r="F727" s="357">
        <f t="shared" ca="1" si="329"/>
        <v>9.329709289843727</v>
      </c>
      <c r="G727" s="359">
        <f t="shared" ca="1" si="330"/>
        <v>36.314416255051725</v>
      </c>
      <c r="H727" s="360">
        <f t="shared" ca="1" si="331"/>
        <v>-41.829211259175381</v>
      </c>
      <c r="I727" s="357">
        <f t="shared" ca="1" si="332"/>
        <v>55.393318572819673</v>
      </c>
      <c r="J727" s="359">
        <f t="shared" ca="1" si="333"/>
        <v>1164.8540250050801</v>
      </c>
      <c r="K727" s="360">
        <f t="shared" ca="1" si="334"/>
        <v>2598.4844918218328</v>
      </c>
      <c r="L727" s="357">
        <f t="shared" ca="1" si="319"/>
        <v>2847.6317447677648</v>
      </c>
      <c r="M727" s="359">
        <f t="shared" ca="1" si="335"/>
        <v>-0.85585389972193759</v>
      </c>
      <c r="N727" s="357">
        <f t="shared" ca="1" si="336"/>
        <v>-49.036816333879806</v>
      </c>
      <c r="O727" s="343"/>
      <c r="P727" s="363">
        <f t="shared" ca="1" si="337"/>
        <v>23</v>
      </c>
      <c r="Q727" s="357">
        <f t="shared" ca="1" si="338"/>
        <v>0</v>
      </c>
      <c r="R727" s="359">
        <f t="shared" ca="1" si="339"/>
        <v>0</v>
      </c>
      <c r="S727" s="360">
        <f t="shared" ca="1" si="340"/>
        <v>9.7379999999999765</v>
      </c>
      <c r="T727" s="357">
        <f t="shared" ca="1" si="320"/>
        <v>95.529779999999775</v>
      </c>
      <c r="U727" s="364">
        <f t="shared" ca="1" si="321"/>
        <v>0</v>
      </c>
      <c r="V727" s="359">
        <f t="shared" ca="1" si="322"/>
        <v>0.94328699365803115</v>
      </c>
      <c r="W727" s="357">
        <f t="shared" ca="1" si="323"/>
        <v>6.5514620931380323</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6.6753617399582161</v>
      </c>
      <c r="AH727" s="357">
        <f t="shared" ca="1" si="347"/>
        <v>-0.6562873873733468</v>
      </c>
    </row>
    <row r="728" spans="1:34" x14ac:dyDescent="0.25">
      <c r="A728" s="402">
        <f t="shared" ca="1" si="325"/>
        <v>0.1</v>
      </c>
      <c r="B728" s="357">
        <f t="shared" ca="1" si="326"/>
        <v>27.400000000000059</v>
      </c>
      <c r="C728" s="342"/>
      <c r="D728" s="359">
        <f t="shared" ca="1" si="327"/>
        <v>-0.44105235517904312</v>
      </c>
      <c r="E728" s="360">
        <f t="shared" ca="1" si="328"/>
        <v>-9.3019683683866301</v>
      </c>
      <c r="F728" s="357">
        <f t="shared" ca="1" si="329"/>
        <v>9.3124187355635168</v>
      </c>
      <c r="G728" s="359">
        <f t="shared" ca="1" si="330"/>
        <v>36.270311019533821</v>
      </c>
      <c r="H728" s="360">
        <f t="shared" ca="1" si="331"/>
        <v>-42.759408096014042</v>
      </c>
      <c r="I728" s="357">
        <f t="shared" ca="1" si="332"/>
        <v>56.070513125663368</v>
      </c>
      <c r="J728" s="359">
        <f t="shared" ca="1" si="333"/>
        <v>1168.4832613688093</v>
      </c>
      <c r="K728" s="360">
        <f t="shared" ca="1" si="334"/>
        <v>2594.2550608540732</v>
      </c>
      <c r="L728" s="357">
        <f t="shared" ca="1" si="319"/>
        <v>2845.2614032573633</v>
      </c>
      <c r="M728" s="359">
        <f t="shared" ca="1" si="335"/>
        <v>-0.86732395954152619</v>
      </c>
      <c r="N728" s="357">
        <f t="shared" ca="1" si="336"/>
        <v>-49.694002352304821</v>
      </c>
      <c r="O728" s="343"/>
      <c r="P728" s="363">
        <f t="shared" ca="1" si="337"/>
        <v>23</v>
      </c>
      <c r="Q728" s="357">
        <f t="shared" ca="1" si="338"/>
        <v>0</v>
      </c>
      <c r="R728" s="359">
        <f t="shared" ca="1" si="339"/>
        <v>0</v>
      </c>
      <c r="S728" s="360">
        <f t="shared" ca="1" si="340"/>
        <v>9.7379999999999765</v>
      </c>
      <c r="T728" s="357">
        <f t="shared" ca="1" si="320"/>
        <v>95.529779999999775</v>
      </c>
      <c r="U728" s="364">
        <f t="shared" ca="1" si="321"/>
        <v>0</v>
      </c>
      <c r="V728" s="359">
        <f t="shared" ca="1" si="322"/>
        <v>0.94369287648679745</v>
      </c>
      <c r="W728" s="357">
        <f t="shared" ca="1" si="323"/>
        <v>6.71551549799924</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6.7350621122423551</v>
      </c>
      <c r="AH728" s="357">
        <f t="shared" ca="1" si="347"/>
        <v>-0.67277285819860833</v>
      </c>
    </row>
    <row r="729" spans="1:34" x14ac:dyDescent="0.25">
      <c r="A729" s="402">
        <f t="shared" ca="1" si="325"/>
        <v>0.1</v>
      </c>
      <c r="B729" s="357">
        <f t="shared" ca="1" si="326"/>
        <v>27.50000000000006</v>
      </c>
      <c r="C729" s="342"/>
      <c r="D729" s="359">
        <f t="shared" ca="1" si="327"/>
        <v>-0.4460939513758348</v>
      </c>
      <c r="E729" s="360">
        <f t="shared" ca="1" si="328"/>
        <v>-9.2840956782595594</v>
      </c>
      <c r="F729" s="357">
        <f t="shared" ca="1" si="329"/>
        <v>9.2948067422906604</v>
      </c>
      <c r="G729" s="359">
        <f t="shared" ca="1" si="330"/>
        <v>36.225701624396237</v>
      </c>
      <c r="H729" s="360">
        <f t="shared" ca="1" si="331"/>
        <v>-43.687817663840001</v>
      </c>
      <c r="I729" s="357">
        <f t="shared" ca="1" si="332"/>
        <v>56.753210221173518</v>
      </c>
      <c r="J729" s="359">
        <f t="shared" ca="1" si="333"/>
        <v>1172.1080620010057</v>
      </c>
      <c r="K729" s="360">
        <f t="shared" ca="1" si="334"/>
        <v>2589.9326995660804</v>
      </c>
      <c r="L729" s="357">
        <f t="shared" ca="1" si="319"/>
        <v>2842.8135178532898</v>
      </c>
      <c r="M729" s="359">
        <f t="shared" ca="1" si="335"/>
        <v>-0.8785055704073842</v>
      </c>
      <c r="N729" s="357">
        <f t="shared" ca="1" si="336"/>
        <v>-50.334661463076102</v>
      </c>
      <c r="O729" s="343"/>
      <c r="P729" s="363">
        <f t="shared" ca="1" si="337"/>
        <v>23</v>
      </c>
      <c r="Q729" s="357">
        <f t="shared" ca="1" si="338"/>
        <v>0</v>
      </c>
      <c r="R729" s="359">
        <f t="shared" ca="1" si="339"/>
        <v>0</v>
      </c>
      <c r="S729" s="360">
        <f t="shared" ca="1" si="340"/>
        <v>9.7379999999999765</v>
      </c>
      <c r="T729" s="357">
        <f t="shared" ca="1" si="320"/>
        <v>95.529779999999775</v>
      </c>
      <c r="U729" s="364">
        <f t="shared" ca="1" si="321"/>
        <v>0</v>
      </c>
      <c r="V729" s="359">
        <f t="shared" ca="1" si="322"/>
        <v>0.94410783452405844</v>
      </c>
      <c r="W729" s="357">
        <f t="shared" ca="1" si="323"/>
        <v>6.88306837738961</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6.7914925032942826</v>
      </c>
      <c r="AH729" s="357">
        <f t="shared" ca="1" si="347"/>
        <v>-0.68961958287114977</v>
      </c>
    </row>
    <row r="730" spans="1:34" x14ac:dyDescent="0.25">
      <c r="A730" s="402">
        <f t="shared" ca="1" si="325"/>
        <v>0.1</v>
      </c>
      <c r="B730" s="357">
        <f t="shared" ca="1" si="326"/>
        <v>27.600000000000062</v>
      </c>
      <c r="C730" s="342"/>
      <c r="D730" s="359">
        <f t="shared" ca="1" si="327"/>
        <v>-0.45116841378656403</v>
      </c>
      <c r="E730" s="360">
        <f t="shared" ca="1" si="328"/>
        <v>-9.2658956068937197</v>
      </c>
      <c r="F730" s="357">
        <f t="shared" ca="1" si="329"/>
        <v>9.2768730904034147</v>
      </c>
      <c r="G730" s="359">
        <f t="shared" ca="1" si="330"/>
        <v>36.180584783017579</v>
      </c>
      <c r="H730" s="360">
        <f t="shared" ca="1" si="331"/>
        <v>-44.614407224529373</v>
      </c>
      <c r="I730" s="357">
        <f t="shared" ca="1" si="332"/>
        <v>57.441100679193653</v>
      </c>
      <c r="J730" s="359">
        <f t="shared" ca="1" si="333"/>
        <v>1175.7283763213763</v>
      </c>
      <c r="K730" s="360">
        <f t="shared" ca="1" si="334"/>
        <v>2585.5175883216621</v>
      </c>
      <c r="L730" s="357">
        <f t="shared" ca="1" si="319"/>
        <v>2840.2884385935108</v>
      </c>
      <c r="M730" s="359">
        <f t="shared" ca="1" si="335"/>
        <v>-0.88940694415843746</v>
      </c>
      <c r="N730" s="357">
        <f t="shared" ca="1" si="336"/>
        <v>-50.959264169906156</v>
      </c>
      <c r="O730" s="343"/>
      <c r="P730" s="363">
        <f t="shared" ca="1" si="337"/>
        <v>23</v>
      </c>
      <c r="Q730" s="357">
        <f t="shared" ca="1" si="338"/>
        <v>0</v>
      </c>
      <c r="R730" s="359">
        <f t="shared" ca="1" si="339"/>
        <v>0</v>
      </c>
      <c r="S730" s="360">
        <f t="shared" ca="1" si="340"/>
        <v>9.7379999999999765</v>
      </c>
      <c r="T730" s="357">
        <f t="shared" ca="1" si="320"/>
        <v>95.529779999999775</v>
      </c>
      <c r="U730" s="364">
        <f t="shared" ca="1" si="321"/>
        <v>0</v>
      </c>
      <c r="V730" s="359">
        <f t="shared" ca="1" si="322"/>
        <v>0.94453186077686035</v>
      </c>
      <c r="W730" s="357">
        <f t="shared" ca="1" si="323"/>
        <v>7.0541020195013608</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6.8447734306496866</v>
      </c>
      <c r="AH730" s="357">
        <f t="shared" ca="1" si="347"/>
        <v>-0.70682567030084476</v>
      </c>
    </row>
    <row r="731" spans="1:34" x14ac:dyDescent="0.25">
      <c r="A731" s="402">
        <f t="shared" ca="1" si="325"/>
        <v>0.1</v>
      </c>
      <c r="B731" s="357">
        <f t="shared" ca="1" si="326"/>
        <v>27.700000000000063</v>
      </c>
      <c r="C731" s="342"/>
      <c r="D731" s="359">
        <f t="shared" ca="1" si="327"/>
        <v>-0.45627302609253811</v>
      </c>
      <c r="E731" s="360">
        <f t="shared" ca="1" si="328"/>
        <v>-9.2473681156968013</v>
      </c>
      <c r="F731" s="357">
        <f t="shared" ca="1" si="329"/>
        <v>9.2586177230483742</v>
      </c>
      <c r="G731" s="359">
        <f t="shared" ca="1" si="330"/>
        <v>36.134957480408325</v>
      </c>
      <c r="H731" s="360">
        <f t="shared" ca="1" si="331"/>
        <v>-45.539144036099053</v>
      </c>
      <c r="I731" s="357">
        <f t="shared" ca="1" si="332"/>
        <v>58.133886775713641</v>
      </c>
      <c r="J731" s="359">
        <f t="shared" ca="1" si="333"/>
        <v>1179.3441534345477</v>
      </c>
      <c r="K731" s="360">
        <f t="shared" ca="1" si="334"/>
        <v>2581.0099107586307</v>
      </c>
      <c r="L731" s="357">
        <f t="shared" ca="1" si="319"/>
        <v>2837.6865210369033</v>
      </c>
      <c r="M731" s="359">
        <f t="shared" ca="1" si="335"/>
        <v>-0.90003614598680715</v>
      </c>
      <c r="N731" s="357">
        <f t="shared" ca="1" si="336"/>
        <v>-51.568272574264476</v>
      </c>
      <c r="O731" s="343"/>
      <c r="P731" s="363">
        <f t="shared" ca="1" si="337"/>
        <v>23</v>
      </c>
      <c r="Q731" s="357">
        <f t="shared" ca="1" si="338"/>
        <v>0</v>
      </c>
      <c r="R731" s="359">
        <f t="shared" ca="1" si="339"/>
        <v>0</v>
      </c>
      <c r="S731" s="360">
        <f t="shared" ca="1" si="340"/>
        <v>9.7379999999999765</v>
      </c>
      <c r="T731" s="357">
        <f t="shared" ca="1" si="320"/>
        <v>95.529779999999775</v>
      </c>
      <c r="U731" s="364">
        <f t="shared" ca="1" si="321"/>
        <v>0</v>
      </c>
      <c r="V731" s="359">
        <f t="shared" ca="1" si="322"/>
        <v>0.94496494814229492</v>
      </c>
      <c r="W731" s="357">
        <f t="shared" ca="1" si="323"/>
        <v>7.2285974157343462</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6.8950214616542169</v>
      </c>
      <c r="AH731" s="357">
        <f t="shared" ca="1" si="347"/>
        <v>-0.7243891989629675</v>
      </c>
    </row>
    <row r="732" spans="1:34" x14ac:dyDescent="0.25">
      <c r="A732" s="402">
        <f t="shared" ca="1" si="325"/>
        <v>0.1</v>
      </c>
      <c r="B732" s="357">
        <f t="shared" ca="1" si="326"/>
        <v>27.800000000000065</v>
      </c>
      <c r="C732" s="342"/>
      <c r="D732" s="359">
        <f t="shared" ca="1" si="327"/>
        <v>-0.46140516901788142</v>
      </c>
      <c r="E732" s="360">
        <f t="shared" ca="1" si="328"/>
        <v>-9.2285133201748408</v>
      </c>
      <c r="F732" s="357">
        <f t="shared" ca="1" si="329"/>
        <v>9.2400407374989904</v>
      </c>
      <c r="G732" s="359">
        <f t="shared" ca="1" si="330"/>
        <v>36.088816963506538</v>
      </c>
      <c r="H732" s="360">
        <f t="shared" ca="1" si="331"/>
        <v>-46.46199536811654</v>
      </c>
      <c r="I732" s="357">
        <f t="shared" ca="1" si="332"/>
        <v>58.831281844035665</v>
      </c>
      <c r="J732" s="359">
        <f t="shared" ca="1" si="333"/>
        <v>1182.9553421567434</v>
      </c>
      <c r="K732" s="360">
        <f t="shared" ca="1" si="334"/>
        <v>2576.4098537884197</v>
      </c>
      <c r="L732" s="357">
        <f t="shared" ca="1" si="319"/>
        <v>2835.0081263085021</v>
      </c>
      <c r="M732" s="359">
        <f t="shared" ca="1" si="335"/>
        <v>-0.91040108282819743</v>
      </c>
      <c r="N732" s="357">
        <f t="shared" ca="1" si="336"/>
        <v>-52.162139710195795</v>
      </c>
      <c r="O732" s="343"/>
      <c r="P732" s="363">
        <f t="shared" ca="1" si="337"/>
        <v>23</v>
      </c>
      <c r="Q732" s="357">
        <f t="shared" ca="1" si="338"/>
        <v>0</v>
      </c>
      <c r="R732" s="359">
        <f t="shared" ca="1" si="339"/>
        <v>0</v>
      </c>
      <c r="S732" s="360">
        <f t="shared" ca="1" si="340"/>
        <v>9.7379999999999765</v>
      </c>
      <c r="T732" s="357">
        <f t="shared" ca="1" si="320"/>
        <v>95.529779999999775</v>
      </c>
      <c r="U732" s="364">
        <f t="shared" ca="1" si="321"/>
        <v>0</v>
      </c>
      <c r="V732" s="359">
        <f t="shared" ca="1" si="322"/>
        <v>0.94540708940609464</v>
      </c>
      <c r="W732" s="357">
        <f t="shared" ca="1" si="323"/>
        <v>7.4065352605389823</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6.942349179573581</v>
      </c>
      <c r="AH732" s="357">
        <f t="shared" ca="1" si="347"/>
        <v>-0.74230821685503834</v>
      </c>
    </row>
    <row r="733" spans="1:34" x14ac:dyDescent="0.25">
      <c r="A733" s="402">
        <f t="shared" ca="1" si="325"/>
        <v>0.1</v>
      </c>
      <c r="B733" s="357">
        <f t="shared" ca="1" si="326"/>
        <v>27.900000000000066</v>
      </c>
      <c r="C733" s="342"/>
      <c r="D733" s="359">
        <f t="shared" ca="1" si="327"/>
        <v>-0.46656231693254518</v>
      </c>
      <c r="E733" s="360">
        <f t="shared" ca="1" si="328"/>
        <v>-9.2093314818222467</v>
      </c>
      <c r="F733" s="357">
        <f t="shared" ca="1" si="329"/>
        <v>9.2211423770411329</v>
      </c>
      <c r="G733" s="359">
        <f t="shared" ca="1" si="330"/>
        <v>36.042160731813283</v>
      </c>
      <c r="H733" s="360">
        <f t="shared" ca="1" si="331"/>
        <v>-47.382928516298762</v>
      </c>
      <c r="I733" s="357">
        <f t="shared" ca="1" si="332"/>
        <v>59.533009876861946</v>
      </c>
      <c r="J733" s="359">
        <f t="shared" ca="1" si="333"/>
        <v>1186.5618910415094</v>
      </c>
      <c r="K733" s="360">
        <f t="shared" ca="1" si="334"/>
        <v>2571.7176075941989</v>
      </c>
      <c r="L733" s="357">
        <f t="shared" ca="1" si="319"/>
        <v>2832.2536211437764</v>
      </c>
      <c r="M733" s="359">
        <f t="shared" ca="1" si="335"/>
        <v>-0.92050949396819315</v>
      </c>
      <c r="N733" s="357">
        <f t="shared" ca="1" si="336"/>
        <v>-52.741309006100579</v>
      </c>
      <c r="O733" s="343"/>
      <c r="P733" s="363">
        <f t="shared" ca="1" si="337"/>
        <v>23</v>
      </c>
      <c r="Q733" s="357">
        <f t="shared" ca="1" si="338"/>
        <v>0</v>
      </c>
      <c r="R733" s="359">
        <f t="shared" ca="1" si="339"/>
        <v>0</v>
      </c>
      <c r="S733" s="360">
        <f t="shared" ca="1" si="340"/>
        <v>9.7379999999999765</v>
      </c>
      <c r="T733" s="357">
        <f t="shared" ca="1" si="320"/>
        <v>95.529779999999775</v>
      </c>
      <c r="U733" s="364">
        <f t="shared" ca="1" si="321"/>
        <v>0</v>
      </c>
      <c r="V733" s="359">
        <f t="shared" ca="1" si="322"/>
        <v>0.94585827724134197</v>
      </c>
      <c r="W733" s="357">
        <f t="shared" ca="1" si="323"/>
        <v>7.5878959515083064</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6.9868651797138934</v>
      </c>
      <c r="AH733" s="357">
        <f t="shared" ca="1" si="347"/>
        <v>-0.76058074148069421</v>
      </c>
    </row>
    <row r="734" spans="1:34" x14ac:dyDescent="0.25">
      <c r="A734" s="402">
        <f t="shared" ca="1" si="325"/>
        <v>0.1</v>
      </c>
      <c r="B734" s="357">
        <f t="shared" ca="1" si="326"/>
        <v>28.000000000000068</v>
      </c>
      <c r="C734" s="342"/>
      <c r="D734" s="359">
        <f t="shared" ca="1" si="327"/>
        <v>-0.47174203447678126</v>
      </c>
      <c r="E734" s="360">
        <f t="shared" ca="1" si="328"/>
        <v>-9.1898230005112662</v>
      </c>
      <c r="F734" s="357">
        <f t="shared" ca="1" si="329"/>
        <v>9.2019230233586597</v>
      </c>
      <c r="G734" s="359">
        <f t="shared" ca="1" si="330"/>
        <v>35.994986528365608</v>
      </c>
      <c r="H734" s="360">
        <f t="shared" ca="1" si="331"/>
        <v>-48.301910816349888</v>
      </c>
      <c r="I734" s="357">
        <f t="shared" ca="1" si="332"/>
        <v>60.238805131641179</v>
      </c>
      <c r="J734" s="359">
        <f t="shared" ca="1" si="333"/>
        <v>1190.1637484045184</v>
      </c>
      <c r="K734" s="360">
        <f t="shared" ca="1" si="334"/>
        <v>2566.9333656275662</v>
      </c>
      <c r="L734" s="357">
        <f t="shared" ca="1" si="319"/>
        <v>2829.4233779320407</v>
      </c>
      <c r="M734" s="359">
        <f t="shared" ca="1" si="335"/>
        <v>-0.93036894362195954</v>
      </c>
      <c r="N734" s="357">
        <f t="shared" ca="1" si="336"/>
        <v>-53.30621385958311</v>
      </c>
      <c r="O734" s="343"/>
      <c r="P734" s="363">
        <f t="shared" ca="1" si="337"/>
        <v>23</v>
      </c>
      <c r="Q734" s="357">
        <f t="shared" ca="1" si="338"/>
        <v>0</v>
      </c>
      <c r="R734" s="359">
        <f t="shared" ca="1" si="339"/>
        <v>0</v>
      </c>
      <c r="S734" s="360">
        <f t="shared" ca="1" si="340"/>
        <v>9.7379999999999765</v>
      </c>
      <c r="T734" s="357">
        <f t="shared" ca="1" si="320"/>
        <v>95.529779999999775</v>
      </c>
      <c r="U734" s="364">
        <f t="shared" ca="1" si="321"/>
        <v>0</v>
      </c>
      <c r="V734" s="359">
        <f t="shared" ca="1" si="322"/>
        <v>0.94631850420728858</v>
      </c>
      <c r="W734" s="357">
        <f t="shared" ca="1" si="323"/>
        <v>7.7726595897060724</v>
      </c>
      <c r="X734" s="343"/>
      <c r="Y734" s="367" t="str">
        <f t="shared" ca="1" si="341"/>
        <v/>
      </c>
      <c r="Z734" s="368" t="str">
        <f t="shared" ca="1" si="342"/>
        <v/>
      </c>
      <c r="AA734" s="369" t="str">
        <f t="shared" ca="1" si="343"/>
        <v/>
      </c>
      <c r="AB734" s="344"/>
      <c r="AC734" s="363">
        <f t="shared" ca="1" si="344"/>
        <v>28.000000000000068</v>
      </c>
      <c r="AD734" s="376">
        <f t="shared" ca="1" si="345"/>
        <v>1190.1637484045184</v>
      </c>
      <c r="AE734" s="377" t="e">
        <f t="shared" ca="1" si="324"/>
        <v>#N/A</v>
      </c>
      <c r="AF734" s="344"/>
      <c r="AG734" s="359">
        <f t="shared" ca="1" si="346"/>
        <v>7.0286740909891172</v>
      </c>
      <c r="AH734" s="357">
        <f t="shared" ca="1" si="347"/>
        <v>-0.77920475985914195</v>
      </c>
    </row>
    <row r="735" spans="1:34" x14ac:dyDescent="0.25">
      <c r="A735" s="402">
        <f t="shared" ca="1" si="325"/>
        <v>0.1</v>
      </c>
      <c r="B735" s="357">
        <f t="shared" ca="1" si="326"/>
        <v>28.100000000000069</v>
      </c>
      <c r="C735" s="342"/>
      <c r="D735" s="359">
        <f t="shared" ca="1" si="327"/>
        <v>-0.47694197322515552</v>
      </c>
      <c r="E735" s="360">
        <f t="shared" ca="1" si="328"/>
        <v>-9.1699884073538662</v>
      </c>
      <c r="F735" s="357">
        <f t="shared" ca="1" si="329"/>
        <v>9.1823831893919685</v>
      </c>
      <c r="G735" s="359">
        <f t="shared" ca="1" si="330"/>
        <v>35.947292331043094</v>
      </c>
      <c r="H735" s="360">
        <f t="shared" ca="1" si="331"/>
        <v>-49.218909657085277</v>
      </c>
      <c r="I735" s="357">
        <f t="shared" ca="1" si="332"/>
        <v>60.948411741125724</v>
      </c>
      <c r="J735" s="359">
        <f t="shared" ca="1" si="333"/>
        <v>1193.7608623474889</v>
      </c>
      <c r="K735" s="360">
        <f t="shared" ca="1" si="334"/>
        <v>2562.0573246038944</v>
      </c>
      <c r="L735" s="357">
        <f t="shared" ca="1" si="319"/>
        <v>2826.517774759091</v>
      </c>
      <c r="M735" s="359">
        <f t="shared" ca="1" si="335"/>
        <v>-0.93998681526384054</v>
      </c>
      <c r="N735" s="357">
        <f t="shared" ca="1" si="336"/>
        <v>-53.85727731256145</v>
      </c>
      <c r="O735" s="343"/>
      <c r="P735" s="363">
        <f t="shared" ca="1" si="337"/>
        <v>23</v>
      </c>
      <c r="Q735" s="357">
        <f t="shared" ca="1" si="338"/>
        <v>0</v>
      </c>
      <c r="R735" s="359">
        <f t="shared" ca="1" si="339"/>
        <v>0</v>
      </c>
      <c r="S735" s="360">
        <f t="shared" ca="1" si="340"/>
        <v>9.7379999999999765</v>
      </c>
      <c r="T735" s="357">
        <f t="shared" ca="1" si="320"/>
        <v>95.529779999999775</v>
      </c>
      <c r="U735" s="364">
        <f t="shared" ca="1" si="321"/>
        <v>0</v>
      </c>
      <c r="V735" s="359">
        <f t="shared" ca="1" si="322"/>
        <v>0.9467877627482828</v>
      </c>
      <c r="W735" s="357">
        <f t="shared" ca="1" si="323"/>
        <v>7.9608059802185682</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7.0678766188587829</v>
      </c>
      <c r="AH735" s="357">
        <f t="shared" ca="1" si="347"/>
        <v>-0.79817822855885101</v>
      </c>
    </row>
    <row r="736" spans="1:34" x14ac:dyDescent="0.25">
      <c r="A736" s="402">
        <f t="shared" ca="1" si="325"/>
        <v>0.1</v>
      </c>
      <c r="B736" s="357">
        <f t="shared" ca="1" si="326"/>
        <v>28.20000000000007</v>
      </c>
      <c r="C736" s="342"/>
      <c r="D736" s="359">
        <f t="shared" ca="1" si="327"/>
        <v>-0.48215986840508107</v>
      </c>
      <c r="E736" s="360">
        <f t="shared" ca="1" si="328"/>
        <v>-9.1498283580093727</v>
      </c>
      <c r="F736" s="357">
        <f t="shared" ca="1" si="329"/>
        <v>9.1625235126428404</v>
      </c>
      <c r="G736" s="359">
        <f t="shared" ca="1" si="330"/>
        <v>35.899076344202584</v>
      </c>
      <c r="H736" s="360">
        <f t="shared" ca="1" si="331"/>
        <v>-50.133892492886211</v>
      </c>
      <c r="I736" s="357">
        <f t="shared" ca="1" si="332"/>
        <v>61.661583330751064</v>
      </c>
      <c r="J736" s="359">
        <f t="shared" ca="1" si="333"/>
        <v>1197.3531807812512</v>
      </c>
      <c r="K736" s="360">
        <f t="shared" ca="1" si="334"/>
        <v>2557.0896844963959</v>
      </c>
      <c r="L736" s="357">
        <f t="shared" ca="1" si="319"/>
        <v>2823.5371954491511</v>
      </c>
      <c r="M736" s="359">
        <f t="shared" ca="1" si="335"/>
        <v>-0.94937030750188089</v>
      </c>
      <c r="N736" s="357">
        <f t="shared" ca="1" si="336"/>
        <v>-54.394911814894932</v>
      </c>
      <c r="O736" s="343"/>
      <c r="P736" s="363">
        <f t="shared" ca="1" si="337"/>
        <v>23</v>
      </c>
      <c r="Q736" s="357">
        <f t="shared" ca="1" si="338"/>
        <v>0</v>
      </c>
      <c r="R736" s="359">
        <f t="shared" ca="1" si="339"/>
        <v>0</v>
      </c>
      <c r="S736" s="360">
        <f t="shared" ca="1" si="340"/>
        <v>9.7379999999999765</v>
      </c>
      <c r="T736" s="357">
        <f t="shared" ca="1" si="320"/>
        <v>95.529779999999775</v>
      </c>
      <c r="U736" s="364">
        <f t="shared" ca="1" si="321"/>
        <v>0</v>
      </c>
      <c r="V736" s="359">
        <f t="shared" ca="1" si="322"/>
        <v>0.94726604519278701</v>
      </c>
      <c r="W736" s="357">
        <f t="shared" ca="1" si="323"/>
        <v>8.1523146329185217</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7.1045696060142767</v>
      </c>
      <c r="AH736" s="357">
        <f t="shared" ca="1" si="347"/>
        <v>-0.81749907375421926</v>
      </c>
    </row>
    <row r="737" spans="1:34" x14ac:dyDescent="0.25">
      <c r="A737" s="402">
        <f t="shared" ca="1" si="325"/>
        <v>0.1</v>
      </c>
      <c r="B737" s="357">
        <f t="shared" ca="1" si="326"/>
        <v>28.300000000000072</v>
      </c>
      <c r="C737" s="342"/>
      <c r="D737" s="359">
        <f t="shared" ca="1" si="327"/>
        <v>-0.48739353568211224</v>
      </c>
      <c r="E737" s="360">
        <f t="shared" ca="1" si="328"/>
        <v>-9.1293436264116927</v>
      </c>
      <c r="F737" s="357">
        <f t="shared" ca="1" si="329"/>
        <v>9.1423447488994025</v>
      </c>
      <c r="G737" s="359">
        <f t="shared" ca="1" si="330"/>
        <v>35.850336990634375</v>
      </c>
      <c r="H737" s="360">
        <f t="shared" ca="1" si="331"/>
        <v>-51.046826855527378</v>
      </c>
      <c r="I737" s="357">
        <f t="shared" ca="1" si="332"/>
        <v>62.378082644148648</v>
      </c>
      <c r="J737" s="359">
        <f t="shared" ca="1" si="333"/>
        <v>1200.9406514479931</v>
      </c>
      <c r="K737" s="360">
        <f t="shared" ca="1" si="334"/>
        <v>2552.0306485289752</v>
      </c>
      <c r="L737" s="357">
        <f t="shared" ca="1" si="319"/>
        <v>2820.4820296062076</v>
      </c>
      <c r="M737" s="359">
        <f t="shared" ca="1" si="335"/>
        <v>-0.95852643131015103</v>
      </c>
      <c r="N737" s="357">
        <f t="shared" ca="1" si="336"/>
        <v>-54.919519065808061</v>
      </c>
      <c r="O737" s="343"/>
      <c r="P737" s="363">
        <f t="shared" ca="1" si="337"/>
        <v>23</v>
      </c>
      <c r="Q737" s="357">
        <f t="shared" ca="1" si="338"/>
        <v>0</v>
      </c>
      <c r="R737" s="359">
        <f t="shared" ca="1" si="339"/>
        <v>0</v>
      </c>
      <c r="S737" s="360">
        <f t="shared" ca="1" si="340"/>
        <v>9.7379999999999765</v>
      </c>
      <c r="T737" s="357">
        <f t="shared" ca="1" si="320"/>
        <v>95.529779999999775</v>
      </c>
      <c r="U737" s="364">
        <f t="shared" ca="1" si="321"/>
        <v>0</v>
      </c>
      <c r="V737" s="359">
        <f t="shared" ca="1" si="322"/>
        <v>0.94775334375249143</v>
      </c>
      <c r="W737" s="357">
        <f t="shared" ca="1" si="323"/>
        <v>8.3471647634304276</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7.1388461076134853</v>
      </c>
      <c r="AH737" s="357">
        <f t="shared" ca="1" si="347"/>
        <v>-0.83716519130401945</v>
      </c>
    </row>
    <row r="738" spans="1:34" x14ac:dyDescent="0.25">
      <c r="A738" s="402">
        <f t="shared" ca="1" si="325"/>
        <v>0.1</v>
      </c>
      <c r="B738" s="357">
        <f t="shared" ca="1" si="326"/>
        <v>28.400000000000073</v>
      </c>
      <c r="C738" s="342"/>
      <c r="D738" s="359">
        <f t="shared" ca="1" si="327"/>
        <v>-0.4926408680218497</v>
      </c>
      <c r="E738" s="360">
        <f t="shared" ca="1" si="328"/>
        <v>-9.1085350988907656</v>
      </c>
      <c r="F738" s="357">
        <f t="shared" ca="1" si="329"/>
        <v>9.1218477663558009</v>
      </c>
      <c r="G738" s="359">
        <f t="shared" ca="1" si="330"/>
        <v>35.801072903832193</v>
      </c>
      <c r="H738" s="360">
        <f t="shared" ca="1" si="331"/>
        <v>-51.957680365416458</v>
      </c>
      <c r="I738" s="357">
        <f t="shared" ca="1" si="332"/>
        <v>63.097681177839576</v>
      </c>
      <c r="J738" s="359">
        <f t="shared" ca="1" si="333"/>
        <v>1204.5232219427164</v>
      </c>
      <c r="K738" s="360">
        <f t="shared" ca="1" si="334"/>
        <v>2546.8804231679283</v>
      </c>
      <c r="L738" s="357">
        <f t="shared" ca="1" si="319"/>
        <v>2817.3526726548289</v>
      </c>
      <c r="M738" s="359">
        <f t="shared" ca="1" si="335"/>
        <v>-0.96746200844875629</v>
      </c>
      <c r="N738" s="357">
        <f t="shared" ca="1" si="336"/>
        <v>-55.431489923363728</v>
      </c>
      <c r="O738" s="343"/>
      <c r="P738" s="363">
        <f t="shared" ca="1" si="337"/>
        <v>23</v>
      </c>
      <c r="Q738" s="357">
        <f t="shared" ca="1" si="338"/>
        <v>0</v>
      </c>
      <c r="R738" s="359">
        <f t="shared" ca="1" si="339"/>
        <v>0</v>
      </c>
      <c r="S738" s="360">
        <f t="shared" ca="1" si="340"/>
        <v>9.7379999999999765</v>
      </c>
      <c r="T738" s="357">
        <f t="shared" ca="1" si="320"/>
        <v>95.529779999999775</v>
      </c>
      <c r="U738" s="364">
        <f t="shared" ca="1" si="321"/>
        <v>0</v>
      </c>
      <c r="V738" s="359">
        <f t="shared" ca="1" si="322"/>
        <v>0.94824965052151111</v>
      </c>
      <c r="W738" s="357">
        <f t="shared" ca="1" si="323"/>
        <v>8.5453352942870335</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7.1707954782510104</v>
      </c>
      <c r="AH738" s="357">
        <f t="shared" ca="1" si="347"/>
        <v>-0.85717444685052857</v>
      </c>
    </row>
    <row r="739" spans="1:34" x14ac:dyDescent="0.25">
      <c r="A739" s="402">
        <f t="shared" ca="1" si="325"/>
        <v>0.1</v>
      </c>
      <c r="B739" s="357">
        <f t="shared" ca="1" si="326"/>
        <v>28.500000000000075</v>
      </c>
      <c r="C739" s="342"/>
      <c r="D739" s="359">
        <f t="shared" ca="1" si="327"/>
        <v>-0.49789983263619614</v>
      </c>
      <c r="E739" s="360">
        <f t="shared" ca="1" si="328"/>
        <v>-9.0874037686636839</v>
      </c>
      <c r="F739" s="357">
        <f t="shared" ca="1" si="329"/>
        <v>9.1010335401020299</v>
      </c>
      <c r="G739" s="359">
        <f t="shared" ca="1" si="330"/>
        <v>35.75128292056857</v>
      </c>
      <c r="H739" s="360">
        <f t="shared" ca="1" si="331"/>
        <v>-52.866420742282827</v>
      </c>
      <c r="I739" s="357">
        <f t="shared" ca="1" si="332"/>
        <v>63.820158825927486</v>
      </c>
      <c r="J739" s="359">
        <f t="shared" ca="1" si="333"/>
        <v>1208.1008397339365</v>
      </c>
      <c r="K739" s="360">
        <f t="shared" ca="1" si="334"/>
        <v>2541.6392181125434</v>
      </c>
      <c r="L739" s="357">
        <f t="shared" ca="1" si="319"/>
        <v>2814.1495258805248</v>
      </c>
      <c r="M739" s="359">
        <f t="shared" ca="1" si="335"/>
        <v>-0.9761836709174766</v>
      </c>
      <c r="N739" s="357">
        <f t="shared" ca="1" si="336"/>
        <v>-55.931204373159055</v>
      </c>
      <c r="O739" s="343"/>
      <c r="P739" s="363">
        <f t="shared" ca="1" si="337"/>
        <v>23</v>
      </c>
      <c r="Q739" s="357">
        <f t="shared" ca="1" si="338"/>
        <v>0</v>
      </c>
      <c r="R739" s="359">
        <f t="shared" ca="1" si="339"/>
        <v>0</v>
      </c>
      <c r="S739" s="360">
        <f t="shared" ca="1" si="340"/>
        <v>9.7379999999999765</v>
      </c>
      <c r="T739" s="357">
        <f t="shared" ca="1" si="320"/>
        <v>95.529779999999775</v>
      </c>
      <c r="U739" s="364">
        <f t="shared" ca="1" si="321"/>
        <v>0</v>
      </c>
      <c r="V739" s="359">
        <f t="shared" ca="1" si="322"/>
        <v>0.9487549574756643</v>
      </c>
      <c r="W739" s="357">
        <f t="shared" ca="1" si="323"/>
        <v>8.7468048562675715</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7.20050346820448</v>
      </c>
      <c r="AH739" s="357">
        <f t="shared" ca="1" si="347"/>
        <v>-0.87752467593828853</v>
      </c>
    </row>
    <row r="740" spans="1:34" x14ac:dyDescent="0.25">
      <c r="A740" s="402">
        <f t="shared" ca="1" si="325"/>
        <v>0.1</v>
      </c>
      <c r="B740" s="357">
        <f t="shared" ca="1" si="326"/>
        <v>28.600000000000076</v>
      </c>
      <c r="C740" s="342"/>
      <c r="D740" s="359">
        <f t="shared" ca="1" si="327"/>
        <v>-0.50316846801988302</v>
      </c>
      <c r="E740" s="360">
        <f t="shared" ca="1" si="328"/>
        <v>-9.0659507306719629</v>
      </c>
      <c r="F740" s="357">
        <f t="shared" ca="1" si="329"/>
        <v>9.0799031469603779</v>
      </c>
      <c r="G740" s="359">
        <f t="shared" ca="1" si="330"/>
        <v>35.70096607376658</v>
      </c>
      <c r="H740" s="360">
        <f t="shared" ca="1" si="331"/>
        <v>-53.773015815350021</v>
      </c>
      <c r="I740" s="357">
        <f t="shared" ca="1" si="332"/>
        <v>64.545303535409261</v>
      </c>
      <c r="J740" s="359">
        <f t="shared" ca="1" si="333"/>
        <v>1211.6734521836534</v>
      </c>
      <c r="K740" s="360">
        <f t="shared" ca="1" si="334"/>
        <v>2536.3072462846617</v>
      </c>
      <c r="L740" s="357">
        <f t="shared" ca="1" si="319"/>
        <v>2810.8729964697327</v>
      </c>
      <c r="M740" s="359">
        <f t="shared" ca="1" si="335"/>
        <v>-0.98469786130403381</v>
      </c>
      <c r="N740" s="357">
        <f t="shared" ca="1" si="336"/>
        <v>-56.419031548279641</v>
      </c>
      <c r="O740" s="343"/>
      <c r="P740" s="363">
        <f t="shared" ca="1" si="337"/>
        <v>23</v>
      </c>
      <c r="Q740" s="357">
        <f t="shared" ca="1" si="338"/>
        <v>0</v>
      </c>
      <c r="R740" s="359">
        <f t="shared" ca="1" si="339"/>
        <v>0</v>
      </c>
      <c r="S740" s="360">
        <f t="shared" ca="1" si="340"/>
        <v>9.7379999999999765</v>
      </c>
      <c r="T740" s="357">
        <f t="shared" ca="1" si="320"/>
        <v>95.529779999999775</v>
      </c>
      <c r="U740" s="364">
        <f t="shared" ca="1" si="321"/>
        <v>0</v>
      </c>
      <c r="V740" s="359">
        <f t="shared" ca="1" si="322"/>
        <v>0.94926925647182714</v>
      </c>
      <c r="W740" s="357">
        <f t="shared" ca="1" si="323"/>
        <v>8.9515517899088195</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7.2280523268177328</v>
      </c>
      <c r="AH740" s="357">
        <f t="shared" ca="1" si="347"/>
        <v>-0.89821368415152936</v>
      </c>
    </row>
    <row r="741" spans="1:34" x14ac:dyDescent="0.25">
      <c r="A741" s="402">
        <f t="shared" ca="1" si="325"/>
        <v>0.1</v>
      </c>
      <c r="B741" s="357">
        <f t="shared" ca="1" si="326"/>
        <v>28.700000000000077</v>
      </c>
      <c r="C741" s="342"/>
      <c r="D741" s="359">
        <f t="shared" ca="1" si="327"/>
        <v>-0.50844488108160812</v>
      </c>
      <c r="E741" s="360">
        <f t="shared" ca="1" si="328"/>
        <v>-9.0441771767424193</v>
      </c>
      <c r="F741" s="357">
        <f t="shared" ca="1" si="329"/>
        <v>9.0584577606459344</v>
      </c>
      <c r="G741" s="359">
        <f t="shared" ca="1" si="330"/>
        <v>35.650121585658418</v>
      </c>
      <c r="H741" s="360">
        <f t="shared" ca="1" si="331"/>
        <v>-54.677433533024264</v>
      </c>
      <c r="I741" s="357">
        <f t="shared" ca="1" si="332"/>
        <v>65.272910972550591</v>
      </c>
      <c r="J741" s="359">
        <f t="shared" ca="1" si="333"/>
        <v>1215.2410065666245</v>
      </c>
      <c r="K741" s="360">
        <f t="shared" ca="1" si="334"/>
        <v>2530.884723817243</v>
      </c>
      <c r="L741" s="357">
        <f t="shared" ca="1" si="319"/>
        <v>2807.5234975494941</v>
      </c>
      <c r="M741" s="359">
        <f t="shared" ca="1" si="335"/>
        <v>-0.99301083390199685</v>
      </c>
      <c r="N741" s="357">
        <f t="shared" ca="1" si="336"/>
        <v>-56.895329793350825</v>
      </c>
      <c r="O741" s="343"/>
      <c r="P741" s="363">
        <f t="shared" ca="1" si="337"/>
        <v>23</v>
      </c>
      <c r="Q741" s="357">
        <f t="shared" ca="1" si="338"/>
        <v>0</v>
      </c>
      <c r="R741" s="359">
        <f t="shared" ca="1" si="339"/>
        <v>0</v>
      </c>
      <c r="S741" s="360">
        <f t="shared" ca="1" si="340"/>
        <v>9.7379999999999765</v>
      </c>
      <c r="T741" s="357">
        <f t="shared" ca="1" si="320"/>
        <v>95.529779999999775</v>
      </c>
      <c r="U741" s="364">
        <f t="shared" ca="1" si="321"/>
        <v>0</v>
      </c>
      <c r="V741" s="359">
        <f t="shared" ca="1" si="322"/>
        <v>0.94979253924735763</v>
      </c>
      <c r="W741" s="357">
        <f t="shared" ca="1" si="323"/>
        <v>9.1595541471806392</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7.2535209111702619</v>
      </c>
      <c r="AH741" s="357">
        <f t="shared" ca="1" si="347"/>
        <v>-0.91923924726934081</v>
      </c>
    </row>
    <row r="742" spans="1:34" x14ac:dyDescent="0.25">
      <c r="A742" s="402">
        <f t="shared" ca="1" si="325"/>
        <v>0.1</v>
      </c>
      <c r="B742" s="357">
        <f t="shared" ca="1" si="326"/>
        <v>28.800000000000079</v>
      </c>
      <c r="C742" s="342"/>
      <c r="D742" s="359">
        <f t="shared" ca="1" si="327"/>
        <v>-0.5137272443727694</v>
      </c>
      <c r="E742" s="360">
        <f t="shared" ca="1" si="328"/>
        <v>-9.0220843910502744</v>
      </c>
      <c r="F742" s="357">
        <f t="shared" ca="1" si="329"/>
        <v>9.0366986472297413</v>
      </c>
      <c r="G742" s="359">
        <f t="shared" ca="1" si="330"/>
        <v>35.598748861221139</v>
      </c>
      <c r="H742" s="360">
        <f t="shared" ca="1" si="331"/>
        <v>-55.579641972129288</v>
      </c>
      <c r="I742" s="357">
        <f t="shared" ca="1" si="332"/>
        <v>66.002784200625726</v>
      </c>
      <c r="J742" s="359">
        <f t="shared" ca="1" si="333"/>
        <v>1218.8034500889685</v>
      </c>
      <c r="K742" s="360">
        <f t="shared" ca="1" si="334"/>
        <v>2525.3718700419854</v>
      </c>
      <c r="L742" s="357">
        <f t="shared" ca="1" si="319"/>
        <v>2804.1014482268874</v>
      </c>
      <c r="M742" s="359">
        <f t="shared" ca="1" si="335"/>
        <v>-1.0011286564863069</v>
      </c>
      <c r="N742" s="357">
        <f t="shared" ca="1" si="336"/>
        <v>-57.360446766267771</v>
      </c>
      <c r="O742" s="343"/>
      <c r="P742" s="363">
        <f t="shared" ca="1" si="337"/>
        <v>23</v>
      </c>
      <c r="Q742" s="357">
        <f t="shared" ca="1" si="338"/>
        <v>0</v>
      </c>
      <c r="R742" s="359">
        <f t="shared" ca="1" si="339"/>
        <v>0</v>
      </c>
      <c r="S742" s="360">
        <f t="shared" ca="1" si="340"/>
        <v>9.7379999999999765</v>
      </c>
      <c r="T742" s="357">
        <f t="shared" ca="1" si="320"/>
        <v>95.529779999999775</v>
      </c>
      <c r="U742" s="364">
        <f t="shared" ca="1" si="321"/>
        <v>0</v>
      </c>
      <c r="V742" s="359">
        <f t="shared" ca="1" si="322"/>
        <v>0.95032479741958953</v>
      </c>
      <c r="W742" s="357">
        <f t="shared" ca="1" si="323"/>
        <v>9.3707896933181907</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7.2769847984408358</v>
      </c>
      <c r="AH742" s="357">
        <f t="shared" ca="1" si="347"/>
        <v>-0.94059911143773478</v>
      </c>
    </row>
    <row r="743" spans="1:34" x14ac:dyDescent="0.25">
      <c r="A743" s="402">
        <f t="shared" ca="1" si="325"/>
        <v>0.1</v>
      </c>
      <c r="B743" s="357">
        <f t="shared" ca="1" si="326"/>
        <v>28.90000000000008</v>
      </c>
      <c r="C743" s="342"/>
      <c r="D743" s="359">
        <f t="shared" ca="1" si="327"/>
        <v>-0.51901379341561815</v>
      </c>
      <c r="E743" s="360">
        <f t="shared" ca="1" si="328"/>
        <v>-8.9996737458641345</v>
      </c>
      <c r="F743" s="357">
        <f t="shared" ca="1" si="329"/>
        <v>9.0146271608842401</v>
      </c>
      <c r="G743" s="359">
        <f t="shared" ca="1" si="330"/>
        <v>35.546847481879574</v>
      </c>
      <c r="H743" s="360">
        <f t="shared" ca="1" si="331"/>
        <v>-56.479609346715698</v>
      </c>
      <c r="I743" s="357">
        <f t="shared" ca="1" si="332"/>
        <v>66.734733369195567</v>
      </c>
      <c r="J743" s="359">
        <f t="shared" ca="1" si="333"/>
        <v>1222.3607299061234</v>
      </c>
      <c r="K743" s="360">
        <f t="shared" ca="1" si="334"/>
        <v>2519.7689074760433</v>
      </c>
      <c r="L743" s="357">
        <f t="shared" ca="1" si="319"/>
        <v>2800.6072736282831</v>
      </c>
      <c r="M743" s="359">
        <f t="shared" ca="1" si="335"/>
        <v>-1.0090572126463471</v>
      </c>
      <c r="N743" s="357">
        <f t="shared" ca="1" si="336"/>
        <v>-57.814719571870526</v>
      </c>
      <c r="O743" s="343"/>
      <c r="P743" s="363">
        <f t="shared" ca="1" si="337"/>
        <v>23</v>
      </c>
      <c r="Q743" s="357">
        <f t="shared" ca="1" si="338"/>
        <v>0</v>
      </c>
      <c r="R743" s="359">
        <f t="shared" ca="1" si="339"/>
        <v>0</v>
      </c>
      <c r="S743" s="360">
        <f t="shared" ca="1" si="340"/>
        <v>9.7379999999999765</v>
      </c>
      <c r="T743" s="357">
        <f t="shared" ca="1" si="320"/>
        <v>95.529779999999775</v>
      </c>
      <c r="U743" s="364">
        <f t="shared" ca="1" si="321"/>
        <v>0</v>
      </c>
      <c r="V743" s="359">
        <f t="shared" ca="1" si="322"/>
        <v>0.95086602248538776</v>
      </c>
      <c r="W743" s="357">
        <f t="shared" ca="1" si="323"/>
        <v>9.5852359088035364</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7.2985164006039192</v>
      </c>
      <c r="AH743" s="357">
        <f t="shared" ca="1" si="347"/>
        <v>-0.96229099335779555</v>
      </c>
    </row>
    <row r="744" spans="1:34" x14ac:dyDescent="0.25">
      <c r="A744" s="402">
        <f t="shared" ca="1" si="325"/>
        <v>0.1</v>
      </c>
      <c r="B744" s="357">
        <f t="shared" ca="1" si="326"/>
        <v>29.000000000000082</v>
      </c>
      <c r="C744" s="342"/>
      <c r="D744" s="359">
        <f t="shared" ca="1" si="327"/>
        <v>-0.52430282413168028</v>
      </c>
      <c r="E744" s="360">
        <f t="shared" ca="1" si="328"/>
        <v>-8.9769466975536343</v>
      </c>
      <c r="F744" s="357">
        <f t="shared" ca="1" si="329"/>
        <v>8.99224473989179</v>
      </c>
      <c r="G744" s="359">
        <f t="shared" ca="1" si="330"/>
        <v>35.494417199466405</v>
      </c>
      <c r="H744" s="360">
        <f t="shared" ca="1" si="331"/>
        <v>-57.377304016471058</v>
      </c>
      <c r="I744" s="357">
        <f t="shared" ca="1" si="332"/>
        <v>67.468575414990951</v>
      </c>
      <c r="J744" s="359">
        <f t="shared" ca="1" si="333"/>
        <v>1225.9127931401906</v>
      </c>
      <c r="K744" s="360">
        <f t="shared" ca="1" si="334"/>
        <v>2514.0760618078839</v>
      </c>
      <c r="L744" s="357">
        <f t="shared" ca="1" si="319"/>
        <v>2797.0414049384794</v>
      </c>
      <c r="M744" s="359">
        <f t="shared" ca="1" si="335"/>
        <v>-1.0168022045874334</v>
      </c>
      <c r="N744" s="357">
        <f t="shared" ca="1" si="336"/>
        <v>-58.258474922457609</v>
      </c>
      <c r="O744" s="343"/>
      <c r="P744" s="363">
        <f t="shared" ca="1" si="337"/>
        <v>23</v>
      </c>
      <c r="Q744" s="357">
        <f t="shared" ca="1" si="338"/>
        <v>0</v>
      </c>
      <c r="R744" s="359">
        <f t="shared" ca="1" si="339"/>
        <v>0</v>
      </c>
      <c r="S744" s="360">
        <f t="shared" ca="1" si="340"/>
        <v>9.7379999999999765</v>
      </c>
      <c r="T744" s="357">
        <f t="shared" ca="1" si="320"/>
        <v>95.529779999999775</v>
      </c>
      <c r="U744" s="364">
        <f t="shared" ca="1" si="321"/>
        <v>0</v>
      </c>
      <c r="V744" s="359">
        <f t="shared" ca="1" si="322"/>
        <v>0.95141620582076369</v>
      </c>
      <c r="W744" s="357">
        <f t="shared" ca="1" si="323"/>
        <v>9.8028699914896826</v>
      </c>
      <c r="X744" s="343"/>
      <c r="Y744" s="367" t="str">
        <f t="shared" ca="1" si="341"/>
        <v/>
      </c>
      <c r="Z744" s="368" t="str">
        <f t="shared" ca="1" si="342"/>
        <v/>
      </c>
      <c r="AA744" s="369" t="str">
        <f t="shared" ca="1" si="343"/>
        <v/>
      </c>
      <c r="AB744" s="344"/>
      <c r="AC744" s="363">
        <f t="shared" ca="1" si="344"/>
        <v>29.000000000000082</v>
      </c>
      <c r="AD744" s="376">
        <f t="shared" ca="1" si="345"/>
        <v>1225.9127931401906</v>
      </c>
      <c r="AE744" s="377" t="e">
        <f t="shared" ca="1" si="324"/>
        <v>#N/A</v>
      </c>
      <c r="AF744" s="344"/>
      <c r="AG744" s="359">
        <f t="shared" ca="1" si="346"/>
        <v>7.3181850803021842</v>
      </c>
      <c r="AH744" s="357">
        <f t="shared" ca="1" si="347"/>
        <v>-0.98431258048917225</v>
      </c>
    </row>
    <row r="745" spans="1:34" x14ac:dyDescent="0.25">
      <c r="A745" s="402">
        <f t="shared" ca="1" si="325"/>
        <v>0.1</v>
      </c>
      <c r="B745" s="357">
        <f t="shared" ca="1" si="326"/>
        <v>29.100000000000083</v>
      </c>
      <c r="C745" s="342"/>
      <c r="D745" s="359">
        <f t="shared" ca="1" si="327"/>
        <v>-0.52959269037045642</v>
      </c>
      <c r="E745" s="360">
        <f t="shared" ca="1" si="328"/>
        <v>-8.9539047828416436</v>
      </c>
      <c r="F745" s="357">
        <f t="shared" ca="1" si="329"/>
        <v>8.9695529028981316</v>
      </c>
      <c r="G745" s="359">
        <f t="shared" ca="1" si="330"/>
        <v>35.441457930429358</v>
      </c>
      <c r="H745" s="360">
        <f t="shared" ca="1" si="331"/>
        <v>-58.272694494755221</v>
      </c>
      <c r="I745" s="357">
        <f t="shared" ca="1" si="332"/>
        <v>68.204133774379613</v>
      </c>
      <c r="J745" s="359">
        <f t="shared" ca="1" si="333"/>
        <v>1229.4595868966853</v>
      </c>
      <c r="K745" s="360">
        <f t="shared" ca="1" si="334"/>
        <v>2508.2935618823226</v>
      </c>
      <c r="L745" s="357">
        <f t="shared" ca="1" si="319"/>
        <v>2793.4042794397801</v>
      </c>
      <c r="M745" s="359">
        <f t="shared" ca="1" si="335"/>
        <v>-1.024369156321598</v>
      </c>
      <c r="N745" s="357">
        <f t="shared" ca="1" si="336"/>
        <v>-58.692029320604433</v>
      </c>
      <c r="O745" s="343"/>
      <c r="P745" s="363">
        <f t="shared" ca="1" si="337"/>
        <v>23</v>
      </c>
      <c r="Q745" s="357">
        <f t="shared" ca="1" si="338"/>
        <v>0</v>
      </c>
      <c r="R745" s="359">
        <f t="shared" ca="1" si="339"/>
        <v>0</v>
      </c>
      <c r="S745" s="360">
        <f t="shared" ca="1" si="340"/>
        <v>9.7379999999999765</v>
      </c>
      <c r="T745" s="357">
        <f t="shared" ca="1" si="320"/>
        <v>95.529779999999775</v>
      </c>
      <c r="U745" s="364">
        <f t="shared" ca="1" si="321"/>
        <v>0</v>
      </c>
      <c r="V745" s="359">
        <f t="shared" ca="1" si="322"/>
        <v>0.95197533868054973</v>
      </c>
      <c r="W745" s="357">
        <f t="shared" ca="1" si="323"/>
        <v>10.023668858860693</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7.3360572669193784</v>
      </c>
      <c r="AH745" s="357">
        <f t="shared" ca="1" si="347"/>
        <v>-1.0066615312681975</v>
      </c>
    </row>
    <row r="746" spans="1:34" x14ac:dyDescent="0.25">
      <c r="A746" s="402">
        <f t="shared" ca="1" si="325"/>
        <v>0.1</v>
      </c>
      <c r="B746" s="357">
        <f t="shared" ca="1" si="326"/>
        <v>29.200000000000085</v>
      </c>
      <c r="C746" s="342"/>
      <c r="D746" s="359">
        <f t="shared" ca="1" si="327"/>
        <v>-0.53488180153772824</v>
      </c>
      <c r="E746" s="360">
        <f t="shared" ca="1" si="328"/>
        <v>-8.9305496152839918</v>
      </c>
      <c r="F746" s="357">
        <f t="shared" ca="1" si="329"/>
        <v>8.9465532453937424</v>
      </c>
      <c r="G746" s="359">
        <f t="shared" ca="1" si="330"/>
        <v>35.387969750275587</v>
      </c>
      <c r="H746" s="360">
        <f t="shared" ca="1" si="331"/>
        <v>-59.165749456283621</v>
      </c>
      <c r="I746" s="357">
        <f t="shared" ca="1" si="332"/>
        <v>68.941238107319663</v>
      </c>
      <c r="J746" s="359">
        <f t="shared" ca="1" si="333"/>
        <v>1233.0010582807206</v>
      </c>
      <c r="K746" s="360">
        <f t="shared" ca="1" si="334"/>
        <v>2502.4216396847705</v>
      </c>
      <c r="L746" s="357">
        <f t="shared" ca="1" si="319"/>
        <v>2789.6963405510628</v>
      </c>
      <c r="M746" s="359">
        <f t="shared" ca="1" si="335"/>
        <v>-1.0317634171776247</v>
      </c>
      <c r="N746" s="357">
        <f t="shared" ca="1" si="336"/>
        <v>-59.115689260273555</v>
      </c>
      <c r="O746" s="343"/>
      <c r="P746" s="363">
        <f t="shared" ca="1" si="337"/>
        <v>23</v>
      </c>
      <c r="Q746" s="357">
        <f t="shared" ca="1" si="338"/>
        <v>0</v>
      </c>
      <c r="R746" s="359">
        <f t="shared" ca="1" si="339"/>
        <v>0</v>
      </c>
      <c r="S746" s="360">
        <f t="shared" ca="1" si="340"/>
        <v>9.7379999999999765</v>
      </c>
      <c r="T746" s="357">
        <f t="shared" ca="1" si="320"/>
        <v>95.529779999999775</v>
      </c>
      <c r="U746" s="364">
        <f t="shared" ca="1" si="321"/>
        <v>0</v>
      </c>
      <c r="V746" s="359">
        <f t="shared" ca="1" si="322"/>
        <v>0.95254341219812066</v>
      </c>
      <c r="W746" s="357">
        <f t="shared" ca="1" si="323"/>
        <v>10.247609150421653</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7.3521965720369922</v>
      </c>
      <c r="AH746" s="357">
        <f t="shared" ca="1" si="347"/>
        <v>-1.0293354753399793</v>
      </c>
    </row>
    <row r="747" spans="1:34" x14ac:dyDescent="0.25">
      <c r="A747" s="402">
        <f t="shared" ca="1" si="325"/>
        <v>0.1</v>
      </c>
      <c r="B747" s="357">
        <f t="shared" ca="1" si="326"/>
        <v>29.300000000000086</v>
      </c>
      <c r="C747" s="342"/>
      <c r="D747" s="359">
        <f t="shared" ca="1" si="327"/>
        <v>-0.54016862032221924</v>
      </c>
      <c r="E747" s="360">
        <f t="shared" ca="1" si="328"/>
        <v>-8.9068828819607013</v>
      </c>
      <c r="F747" s="357">
        <f t="shared" ca="1" si="329"/>
        <v>8.9232474364070722</v>
      </c>
      <c r="G747" s="359">
        <f t="shared" ca="1" si="330"/>
        <v>35.333952888243367</v>
      </c>
      <c r="H747" s="360">
        <f t="shared" ca="1" si="331"/>
        <v>-60.056437744479688</v>
      </c>
      <c r="I747" s="357">
        <f t="shared" ca="1" si="332"/>
        <v>69.679724032642142</v>
      </c>
      <c r="J747" s="359">
        <f t="shared" ca="1" si="333"/>
        <v>1236.5371544126465</v>
      </c>
      <c r="K747" s="360">
        <f t="shared" ca="1" si="334"/>
        <v>2496.4605303247322</v>
      </c>
      <c r="L747" s="357">
        <f t="shared" ca="1" si="319"/>
        <v>2785.9180378669016</v>
      </c>
      <c r="M747" s="359">
        <f t="shared" ca="1" si="335"/>
        <v>-1.0389901655685443</v>
      </c>
      <c r="N747" s="357">
        <f t="shared" ca="1" si="336"/>
        <v>-59.529751442676208</v>
      </c>
      <c r="O747" s="343"/>
      <c r="P747" s="363">
        <f t="shared" ca="1" si="337"/>
        <v>23</v>
      </c>
      <c r="Q747" s="357">
        <f t="shared" ca="1" si="338"/>
        <v>0</v>
      </c>
      <c r="R747" s="359">
        <f t="shared" ca="1" si="339"/>
        <v>0</v>
      </c>
      <c r="S747" s="360">
        <f t="shared" ca="1" si="340"/>
        <v>9.7379999999999765</v>
      </c>
      <c r="T747" s="357">
        <f t="shared" ca="1" si="320"/>
        <v>95.529779999999775</v>
      </c>
      <c r="U747" s="364">
        <f t="shared" ca="1" si="321"/>
        <v>0</v>
      </c>
      <c r="V747" s="359">
        <f t="shared" ca="1" si="322"/>
        <v>0.95312041738517406</v>
      </c>
      <c r="W747" s="357">
        <f t="shared" ca="1" si="323"/>
        <v>10.474667230213051</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7.3666639035978649</v>
      </c>
      <c r="AH747" s="357">
        <f t="shared" ca="1" si="347"/>
        <v>-1.0523320138038281</v>
      </c>
    </row>
    <row r="748" spans="1:34" x14ac:dyDescent="0.25">
      <c r="A748" s="402">
        <f t="shared" ca="1" si="325"/>
        <v>0.1</v>
      </c>
      <c r="B748" s="357">
        <f t="shared" ca="1" si="326"/>
        <v>29.400000000000087</v>
      </c>
      <c r="C748" s="342"/>
      <c r="D748" s="359">
        <f t="shared" ca="1" si="327"/>
        <v>-0.54545166051890737</v>
      </c>
      <c r="E748" s="360">
        <f t="shared" ca="1" si="328"/>
        <v>-8.8829063403637374</v>
      </c>
      <c r="F748" s="357">
        <f t="shared" ca="1" si="329"/>
        <v>8.8996372153946322</v>
      </c>
      <c r="G748" s="359">
        <f t="shared" ca="1" si="330"/>
        <v>35.279407722191479</v>
      </c>
      <c r="H748" s="360">
        <f t="shared" ca="1" si="331"/>
        <v>-60.944728378516061</v>
      </c>
      <c r="I748" s="357">
        <f t="shared" ca="1" si="332"/>
        <v>70.419432874453946</v>
      </c>
      <c r="J748" s="359">
        <f t="shared" ca="1" si="333"/>
        <v>1240.0678224431683</v>
      </c>
      <c r="K748" s="360">
        <f t="shared" ca="1" si="334"/>
        <v>2490.4104720185824</v>
      </c>
      <c r="L748" s="357">
        <f t="shared" ca="1" si="319"/>
        <v>2782.0698271967867</v>
      </c>
      <c r="M748" s="359">
        <f t="shared" ca="1" si="335"/>
        <v>-1.0460544129622349</v>
      </c>
      <c r="N748" s="357">
        <f t="shared" ca="1" si="336"/>
        <v>-59.934503003770971</v>
      </c>
      <c r="O748" s="343"/>
      <c r="P748" s="363">
        <f t="shared" ca="1" si="337"/>
        <v>23</v>
      </c>
      <c r="Q748" s="357">
        <f t="shared" ca="1" si="338"/>
        <v>0</v>
      </c>
      <c r="R748" s="359">
        <f t="shared" ca="1" si="339"/>
        <v>0</v>
      </c>
      <c r="S748" s="360">
        <f t="shared" ca="1" si="340"/>
        <v>9.7379999999999765</v>
      </c>
      <c r="T748" s="357">
        <f t="shared" ca="1" si="320"/>
        <v>95.529779999999775</v>
      </c>
      <c r="U748" s="364">
        <f t="shared" ca="1" si="321"/>
        <v>0</v>
      </c>
      <c r="V748" s="359">
        <f t="shared" ca="1" si="322"/>
        <v>0.95370634513155261</v>
      </c>
      <c r="W748" s="357">
        <f t="shared" ca="1" si="323"/>
        <v>10.704819189443901</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7.3795175782215541</v>
      </c>
      <c r="AH748" s="357">
        <f t="shared" ca="1" si="347"/>
        <v>-1.0756487194714599</v>
      </c>
    </row>
    <row r="749" spans="1:34" x14ac:dyDescent="0.25">
      <c r="A749" s="402">
        <f t="shared" ca="1" si="325"/>
        <v>0.1</v>
      </c>
      <c r="B749" s="357">
        <f t="shared" ca="1" si="326"/>
        <v>29.500000000000089</v>
      </c>
      <c r="C749" s="342"/>
      <c r="D749" s="359">
        <f t="shared" ca="1" si="327"/>
        <v>-0.55072948494688556</v>
      </c>
      <c r="E749" s="360">
        <f t="shared" ca="1" si="328"/>
        <v>-8.858621815467286</v>
      </c>
      <c r="F749" s="357">
        <f t="shared" ca="1" si="329"/>
        <v>8.8757243893139659</v>
      </c>
      <c r="G749" s="359">
        <f t="shared" ca="1" si="330"/>
        <v>35.224334773696789</v>
      </c>
      <c r="H749" s="360">
        <f t="shared" ca="1" si="331"/>
        <v>-61.830590560062788</v>
      </c>
      <c r="I749" s="357">
        <f t="shared" ca="1" si="332"/>
        <v>71.16021141941323</v>
      </c>
      <c r="J749" s="359">
        <f t="shared" ca="1" si="333"/>
        <v>1243.5930095679628</v>
      </c>
      <c r="K749" s="360">
        <f t="shared" ca="1" si="334"/>
        <v>2484.2717060716536</v>
      </c>
      <c r="L749" s="357">
        <f t="shared" ca="1" si="319"/>
        <v>2778.152170604495</v>
      </c>
      <c r="M749" s="359">
        <f t="shared" ca="1" si="335"/>
        <v>-1.0529610080074898</v>
      </c>
      <c r="N749" s="357">
        <f t="shared" ca="1" si="336"/>
        <v>-60.330221750670049</v>
      </c>
      <c r="O749" s="343"/>
      <c r="P749" s="363">
        <f t="shared" ca="1" si="337"/>
        <v>23</v>
      </c>
      <c r="Q749" s="357">
        <f t="shared" ca="1" si="338"/>
        <v>0</v>
      </c>
      <c r="R749" s="359">
        <f t="shared" ca="1" si="339"/>
        <v>0</v>
      </c>
      <c r="S749" s="360">
        <f t="shared" ca="1" si="340"/>
        <v>9.7379999999999765</v>
      </c>
      <c r="T749" s="357">
        <f t="shared" ca="1" si="320"/>
        <v>95.529779999999775</v>
      </c>
      <c r="U749" s="364">
        <f t="shared" ca="1" si="321"/>
        <v>0</v>
      </c>
      <c r="V749" s="359">
        <f t="shared" ca="1" si="322"/>
        <v>0.95430118620511251</v>
      </c>
      <c r="W749" s="357">
        <f t="shared" ca="1" si="323"/>
        <v>10.938040849238762</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7.3908134312223766</v>
      </c>
      <c r="AH749" s="357">
        <f t="shared" ca="1" si="347"/>
        <v>-1.0992831371373923</v>
      </c>
    </row>
    <row r="750" spans="1:34" x14ac:dyDescent="0.25">
      <c r="A750" s="402">
        <f t="shared" ca="1" si="325"/>
        <v>0.1</v>
      </c>
      <c r="B750" s="357">
        <f t="shared" ca="1" si="326"/>
        <v>29.60000000000009</v>
      </c>
      <c r="C750" s="342"/>
      <c r="D750" s="359">
        <f t="shared" ca="1" si="327"/>
        <v>-0.55600070345938901</v>
      </c>
      <c r="E750" s="360">
        <f t="shared" ca="1" si="328"/>
        <v>-8.8340311969674019</v>
      </c>
      <c r="F750" s="357">
        <f t="shared" ca="1" si="329"/>
        <v>8.8515108298663137</v>
      </c>
      <c r="G750" s="359">
        <f t="shared" ca="1" si="330"/>
        <v>35.16873470335085</v>
      </c>
      <c r="H750" s="360">
        <f t="shared" ca="1" si="331"/>
        <v>-62.713993679759525</v>
      </c>
      <c r="I750" s="357">
        <f t="shared" ca="1" si="332"/>
        <v>71.901911684597039</v>
      </c>
      <c r="J750" s="359">
        <f t="shared" ca="1" si="333"/>
        <v>1247.1126630418153</v>
      </c>
      <c r="K750" s="360">
        <f t="shared" ca="1" si="334"/>
        <v>2478.0444768596626</v>
      </c>
      <c r="L750" s="357">
        <f t="shared" ca="1" si="319"/>
        <v>2774.1655364476587</v>
      </c>
      <c r="M750" s="359">
        <f t="shared" ca="1" si="335"/>
        <v>-1.0597146407739346</v>
      </c>
      <c r="N750" s="357">
        <f t="shared" ca="1" si="336"/>
        <v>-60.717176404568598</v>
      </c>
      <c r="O750" s="343"/>
      <c r="P750" s="363">
        <f t="shared" ca="1" si="337"/>
        <v>23</v>
      </c>
      <c r="Q750" s="357">
        <f t="shared" ca="1" si="338"/>
        <v>0</v>
      </c>
      <c r="R750" s="359">
        <f t="shared" ca="1" si="339"/>
        <v>0</v>
      </c>
      <c r="S750" s="360">
        <f t="shared" ca="1" si="340"/>
        <v>9.7379999999999765</v>
      </c>
      <c r="T750" s="357">
        <f t="shared" ca="1" si="320"/>
        <v>95.529779999999775</v>
      </c>
      <c r="U750" s="364">
        <f t="shared" ca="1" si="321"/>
        <v>0</v>
      </c>
      <c r="V750" s="359">
        <f t="shared" ca="1" si="322"/>
        <v>0.95490493125163689</v>
      </c>
      <c r="W750" s="357">
        <f t="shared" ca="1" si="323"/>
        <v>11.174307763493822</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7.4006049239727059</v>
      </c>
      <c r="AH750" s="357">
        <f t="shared" ca="1" si="347"/>
        <v>-1.1232327838610381</v>
      </c>
    </row>
    <row r="751" spans="1:34" x14ac:dyDescent="0.25">
      <c r="A751" s="402">
        <f t="shared" ca="1" si="325"/>
        <v>0.1</v>
      </c>
      <c r="B751" s="357">
        <f t="shared" ca="1" si="326"/>
        <v>29.700000000000092</v>
      </c>
      <c r="C751" s="342"/>
      <c r="D751" s="359">
        <f t="shared" ca="1" si="327"/>
        <v>-0.56126397104337267</v>
      </c>
      <c r="E751" s="360">
        <f t="shared" ca="1" si="328"/>
        <v>-8.809136436678882</v>
      </c>
      <c r="F751" s="357">
        <f t="shared" ca="1" si="329"/>
        <v>8.8269984708968252</v>
      </c>
      <c r="G751" s="359">
        <f t="shared" ca="1" si="330"/>
        <v>35.112608306246514</v>
      </c>
      <c r="H751" s="360">
        <f t="shared" ca="1" si="331"/>
        <v>-63.594907323427414</v>
      </c>
      <c r="I751" s="357">
        <f t="shared" ca="1" si="332"/>
        <v>72.644390695656696</v>
      </c>
      <c r="J751" s="359">
        <f t="shared" ca="1" si="333"/>
        <v>1250.6267301922951</v>
      </c>
      <c r="K751" s="360">
        <f t="shared" ca="1" si="334"/>
        <v>2471.7290318095033</v>
      </c>
      <c r="L751" s="357">
        <f t="shared" ca="1" si="319"/>
        <v>2770.1103994175783</v>
      </c>
      <c r="M751" s="359">
        <f t="shared" ca="1" si="335"/>
        <v>-1.0663198470695874</v>
      </c>
      <c r="N751" s="357">
        <f t="shared" ca="1" si="336"/>
        <v>-61.095626848122741</v>
      </c>
      <c r="O751" s="343"/>
      <c r="P751" s="363">
        <f t="shared" ca="1" si="337"/>
        <v>23</v>
      </c>
      <c r="Q751" s="357">
        <f t="shared" ca="1" si="338"/>
        <v>0</v>
      </c>
      <c r="R751" s="359">
        <f t="shared" ca="1" si="339"/>
        <v>0</v>
      </c>
      <c r="S751" s="360">
        <f t="shared" ca="1" si="340"/>
        <v>9.7379999999999765</v>
      </c>
      <c r="T751" s="357">
        <f t="shared" ca="1" si="320"/>
        <v>95.529779999999775</v>
      </c>
      <c r="U751" s="364">
        <f t="shared" ca="1" si="321"/>
        <v>0</v>
      </c>
      <c r="V751" s="359">
        <f t="shared" ca="1" si="322"/>
        <v>0.95551757079478927</v>
      </c>
      <c r="W751" s="357">
        <f t="shared" ca="1" si="323"/>
        <v>11.413595221837507</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7.4089432483332009</v>
      </c>
      <c r="AH751" s="357">
        <f t="shared" ca="1" si="347"/>
        <v>-1.1474951492599967</v>
      </c>
    </row>
    <row r="752" spans="1:34" x14ac:dyDescent="0.25">
      <c r="A752" s="402">
        <f t="shared" ca="1" si="325"/>
        <v>0.1</v>
      </c>
      <c r="B752" s="357">
        <f t="shared" ca="1" si="326"/>
        <v>29.800000000000093</v>
      </c>
      <c r="C752" s="342"/>
      <c r="D752" s="359">
        <f t="shared" ca="1" si="327"/>
        <v>-0.56651798600583925</v>
      </c>
      <c r="E752" s="360">
        <f t="shared" ca="1" si="328"/>
        <v>-8.7839395460779031</v>
      </c>
      <c r="F752" s="357">
        <f t="shared" ca="1" si="329"/>
        <v>8.8021893059408463</v>
      </c>
      <c r="G752" s="359">
        <f t="shared" ca="1" si="330"/>
        <v>35.055956507645931</v>
      </c>
      <c r="H752" s="360">
        <f t="shared" ca="1" si="331"/>
        <v>-64.473301278035208</v>
      </c>
      <c r="I752" s="357">
        <f t="shared" ca="1" si="332"/>
        <v>73.387510274938876</v>
      </c>
      <c r="J752" s="359">
        <f t="shared" ca="1" si="333"/>
        <v>1254.1351584329898</v>
      </c>
      <c r="K752" s="360">
        <f t="shared" ca="1" si="334"/>
        <v>2465.3256213794302</v>
      </c>
      <c r="L752" s="357">
        <f t="shared" ca="1" si="319"/>
        <v>2765.9872405793221</v>
      </c>
      <c r="M752" s="359">
        <f t="shared" ca="1" si="335"/>
        <v>-1.0727810128046749</v>
      </c>
      <c r="N752" s="357">
        <f t="shared" ca="1" si="336"/>
        <v>-61.465824375477794</v>
      </c>
      <c r="O752" s="343"/>
      <c r="P752" s="363">
        <f t="shared" ca="1" si="337"/>
        <v>23</v>
      </c>
      <c r="Q752" s="357">
        <f t="shared" ca="1" si="338"/>
        <v>0</v>
      </c>
      <c r="R752" s="359">
        <f t="shared" ca="1" si="339"/>
        <v>0</v>
      </c>
      <c r="S752" s="360">
        <f t="shared" ca="1" si="340"/>
        <v>9.7379999999999765</v>
      </c>
      <c r="T752" s="357">
        <f t="shared" ca="1" si="320"/>
        <v>95.529779999999775</v>
      </c>
      <c r="U752" s="364">
        <f t="shared" ca="1" si="321"/>
        <v>0</v>
      </c>
      <c r="V752" s="359">
        <f t="shared" ca="1" si="322"/>
        <v>0.9561390952361043</v>
      </c>
      <c r="W752" s="357">
        <f t="shared" ca="1" si="323"/>
        <v>11.65587825269141</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7.4158774279396091</v>
      </c>
      <c r="AH752" s="357">
        <f t="shared" ca="1" si="347"/>
        <v>-1.1720676958140825</v>
      </c>
    </row>
    <row r="753" spans="1:34" x14ac:dyDescent="0.25">
      <c r="A753" s="402">
        <f t="shared" ca="1" si="325"/>
        <v>0.1</v>
      </c>
      <c r="B753" s="357">
        <f t="shared" ca="1" si="326"/>
        <v>29.900000000000095</v>
      </c>
      <c r="C753" s="342"/>
      <c r="D753" s="359">
        <f t="shared" ca="1" si="327"/>
        <v>-0.57176148824401163</v>
      </c>
      <c r="E753" s="360">
        <f t="shared" ca="1" si="328"/>
        <v>-8.7584425939798898</v>
      </c>
      <c r="F753" s="357">
        <f t="shared" ca="1" si="329"/>
        <v>8.7770853859057443</v>
      </c>
      <c r="G753" s="359">
        <f t="shared" ca="1" si="330"/>
        <v>34.998780358821527</v>
      </c>
      <c r="H753" s="360">
        <f t="shared" ca="1" si="331"/>
        <v>-65.349145537433202</v>
      </c>
      <c r="I753" s="357">
        <f t="shared" ca="1" si="332"/>
        <v>74.131136839236831</v>
      </c>
      <c r="J753" s="359">
        <f t="shared" ca="1" si="333"/>
        <v>1257.6378952763132</v>
      </c>
      <c r="K753" s="360">
        <f t="shared" ca="1" si="334"/>
        <v>2458.8344990386568</v>
      </c>
      <c r="L753" s="357">
        <f t="shared" ca="1" si="319"/>
        <v>2761.7965474121579</v>
      </c>
      <c r="M753" s="359">
        <f t="shared" ca="1" si="335"/>
        <v>-1.0791023783746339</v>
      </c>
      <c r="N753" s="357">
        <f t="shared" ca="1" si="336"/>
        <v>-61.828011943395758</v>
      </c>
      <c r="O753" s="343"/>
      <c r="P753" s="363">
        <f t="shared" ca="1" si="337"/>
        <v>23</v>
      </c>
      <c r="Q753" s="357">
        <f t="shared" ca="1" si="338"/>
        <v>0</v>
      </c>
      <c r="R753" s="359">
        <f t="shared" ca="1" si="339"/>
        <v>0</v>
      </c>
      <c r="S753" s="360">
        <f t="shared" ca="1" si="340"/>
        <v>9.7379999999999765</v>
      </c>
      <c r="T753" s="357">
        <f t="shared" ca="1" si="320"/>
        <v>95.529779999999775</v>
      </c>
      <c r="U753" s="364">
        <f t="shared" ca="1" si="321"/>
        <v>0</v>
      </c>
      <c r="V753" s="359">
        <f t="shared" ca="1" si="322"/>
        <v>0.95676949485501694</v>
      </c>
      <c r="W753" s="357">
        <f t="shared" ca="1" si="323"/>
        <v>11.901131626427492</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7.4214544161937956</v>
      </c>
      <c r="AH753" s="357">
        <f t="shared" ca="1" si="347"/>
        <v>-1.1969478591796507</v>
      </c>
    </row>
    <row r="754" spans="1:34" x14ac:dyDescent="0.25">
      <c r="A754" s="402">
        <f t="shared" ca="1" si="325"/>
        <v>0.1</v>
      </c>
      <c r="B754" s="357">
        <f t="shared" ca="1" si="326"/>
        <v>30.000000000000096</v>
      </c>
      <c r="C754" s="342"/>
      <c r="D754" s="359">
        <f t="shared" ca="1" si="327"/>
        <v>-0.57699325759634867</v>
      </c>
      <c r="E754" s="360">
        <f t="shared" ca="1" si="328"/>
        <v>-8.7326477043427158</v>
      </c>
      <c r="F754" s="357">
        <f t="shared" ca="1" si="329"/>
        <v>8.7516888168783602</v>
      </c>
      <c r="G754" s="359">
        <f t="shared" ca="1" si="330"/>
        <v>34.941081033061892</v>
      </c>
      <c r="H754" s="360">
        <f t="shared" ca="1" si="331"/>
        <v>-66.222410307867477</v>
      </c>
      <c r="I754" s="357">
        <f t="shared" ca="1" si="332"/>
        <v>74.875141206828786</v>
      </c>
      <c r="J754" s="359">
        <f t="shared" ca="1" si="333"/>
        <v>1261.1348883459075</v>
      </c>
      <c r="K754" s="360">
        <f t="shared" ca="1" si="334"/>
        <v>2452.2559212463916</v>
      </c>
      <c r="L754" s="357">
        <f t="shared" ca="1" si="319"/>
        <v>2757.5388138503567</v>
      </c>
      <c r="M754" s="359">
        <f t="shared" ca="1" si="335"/>
        <v>-1.0852880430390528</v>
      </c>
      <c r="N754" s="357">
        <f t="shared" ca="1" si="336"/>
        <v>-62.18242442215017</v>
      </c>
      <c r="O754" s="343"/>
      <c r="P754" s="363">
        <f t="shared" ca="1" si="337"/>
        <v>23</v>
      </c>
      <c r="Q754" s="357">
        <f t="shared" ca="1" si="338"/>
        <v>0</v>
      </c>
      <c r="R754" s="359">
        <f t="shared" ca="1" si="339"/>
        <v>0</v>
      </c>
      <c r="S754" s="360">
        <f t="shared" ca="1" si="340"/>
        <v>9.7379999999999765</v>
      </c>
      <c r="T754" s="357">
        <f t="shared" ca="1" si="320"/>
        <v>95.529779999999775</v>
      </c>
      <c r="U754" s="364">
        <f t="shared" ca="1" si="321"/>
        <v>0</v>
      </c>
      <c r="V754" s="359">
        <f t="shared" ca="1" si="322"/>
        <v>0.95740875980892814</v>
      </c>
      <c r="W754" s="357">
        <f t="shared" ca="1" si="323"/>
        <v>12.149329858617772</v>
      </c>
      <c r="X754" s="343"/>
      <c r="Y754" s="367" t="str">
        <f t="shared" ca="1" si="341"/>
        <v/>
      </c>
      <c r="Z754" s="368" t="str">
        <f t="shared" ca="1" si="342"/>
        <v/>
      </c>
      <c r="AA754" s="369" t="str">
        <f t="shared" ca="1" si="343"/>
        <v/>
      </c>
      <c r="AB754" s="344"/>
      <c r="AC754" s="363">
        <f t="shared" ca="1" si="344"/>
        <v>30.000000000000096</v>
      </c>
      <c r="AD754" s="376">
        <f t="shared" ca="1" si="345"/>
        <v>1261.1348883459075</v>
      </c>
      <c r="AE754" s="377" t="e">
        <f t="shared" ca="1" si="324"/>
        <v>#N/A</v>
      </c>
      <c r="AF754" s="344"/>
      <c r="AG754" s="359">
        <f t="shared" ca="1" si="346"/>
        <v>7.4257191908559372</v>
      </c>
      <c r="AH754" s="357">
        <f t="shared" ca="1" si="347"/>
        <v>-1.222133048513814</v>
      </c>
    </row>
    <row r="755" spans="1:34" x14ac:dyDescent="0.25">
      <c r="A755" s="402">
        <f t="shared" ca="1" si="325"/>
        <v>0.1</v>
      </c>
      <c r="B755" s="357">
        <f t="shared" ca="1" si="326"/>
        <v>30.100000000000097</v>
      </c>
      <c r="C755" s="342"/>
      <c r="D755" s="359">
        <f t="shared" ca="1" si="327"/>
        <v>-0.58221211227136882</v>
      </c>
      <c r="E755" s="360">
        <f t="shared" ca="1" si="328"/>
        <v>-8.7065570541860779</v>
      </c>
      <c r="F755" s="357">
        <f t="shared" ca="1" si="329"/>
        <v>8.7260017580489198</v>
      </c>
      <c r="G755" s="359">
        <f t="shared" ca="1" si="330"/>
        <v>34.882859821834757</v>
      </c>
      <c r="H755" s="360">
        <f t="shared" ca="1" si="331"/>
        <v>-67.093066013286091</v>
      </c>
      <c r="I755" s="357">
        <f t="shared" ca="1" si="332"/>
        <v>75.619398413455642</v>
      </c>
      <c r="J755" s="359">
        <f t="shared" ca="1" si="333"/>
        <v>1264.6260853886524</v>
      </c>
      <c r="K755" s="360">
        <f t="shared" ca="1" si="334"/>
        <v>2445.5901474303341</v>
      </c>
      <c r="L755" s="357">
        <f t="shared" ca="1" si="319"/>
        <v>2753.2145403244099</v>
      </c>
      <c r="M755" s="359">
        <f t="shared" ca="1" si="335"/>
        <v>-1.0913419692767163</v>
      </c>
      <c r="N755" s="357">
        <f t="shared" ca="1" si="336"/>
        <v>-62.529288845051802</v>
      </c>
      <c r="O755" s="343"/>
      <c r="P755" s="363">
        <f t="shared" ca="1" si="337"/>
        <v>23</v>
      </c>
      <c r="Q755" s="357">
        <f t="shared" ca="1" si="338"/>
        <v>0</v>
      </c>
      <c r="R755" s="359">
        <f t="shared" ca="1" si="339"/>
        <v>0</v>
      </c>
      <c r="S755" s="360">
        <f t="shared" ca="1" si="340"/>
        <v>9.7379999999999765</v>
      </c>
      <c r="T755" s="357">
        <f t="shared" ca="1" si="320"/>
        <v>95.529779999999775</v>
      </c>
      <c r="U755" s="364">
        <f t="shared" ca="1" si="321"/>
        <v>0</v>
      </c>
      <c r="V755" s="359">
        <f t="shared" ca="1" si="322"/>
        <v>0.95805688013329993</v>
      </c>
      <c r="W755" s="357">
        <f t="shared" ca="1" si="323"/>
        <v>12.400447213372752</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7.4287148451766152</v>
      </c>
      <c r="AH755" s="357">
        <f t="shared" ca="1" si="347"/>
        <v>-1.2476206468081539</v>
      </c>
    </row>
    <row r="756" spans="1:34" x14ac:dyDescent="0.25">
      <c r="A756" s="402">
        <f t="shared" ca="1" si="325"/>
        <v>0.1</v>
      </c>
      <c r="B756" s="357">
        <f t="shared" ca="1" si="326"/>
        <v>30.200000000000099</v>
      </c>
      <c r="C756" s="342"/>
      <c r="D756" s="359">
        <f t="shared" ca="1" si="327"/>
        <v>-0.58741690735121332</v>
      </c>
      <c r="E756" s="360">
        <f t="shared" ca="1" si="328"/>
        <v>-8.6801728716185771</v>
      </c>
      <c r="F756" s="357">
        <f t="shared" ca="1" si="329"/>
        <v>8.7000264197429402</v>
      </c>
      <c r="G756" s="359">
        <f t="shared" ca="1" si="330"/>
        <v>34.824118131099638</v>
      </c>
      <c r="H756" s="360">
        <f t="shared" ca="1" si="331"/>
        <v>-67.961083300447953</v>
      </c>
      <c r="I756" s="357">
        <f t="shared" ca="1" si="332"/>
        <v>76.363787536889561</v>
      </c>
      <c r="J756" s="359">
        <f t="shared" ca="1" si="333"/>
        <v>1268.1114342862991</v>
      </c>
      <c r="K756" s="360">
        <f t="shared" ca="1" si="334"/>
        <v>2438.8374399646473</v>
      </c>
      <c r="L756" s="357">
        <f t="shared" ca="1" si="319"/>
        <v>2748.8242338026944</v>
      </c>
      <c r="M756" s="359">
        <f t="shared" ca="1" si="335"/>
        <v>-1.097267987099928</v>
      </c>
      <c r="N756" s="357">
        <f t="shared" ca="1" si="336"/>
        <v>-62.868824655641134</v>
      </c>
      <c r="O756" s="343"/>
      <c r="P756" s="363">
        <f t="shared" ca="1" si="337"/>
        <v>23</v>
      </c>
      <c r="Q756" s="357">
        <f t="shared" ca="1" si="338"/>
        <v>0</v>
      </c>
      <c r="R756" s="359">
        <f t="shared" ca="1" si="339"/>
        <v>0</v>
      </c>
      <c r="S756" s="360">
        <f t="shared" ca="1" si="340"/>
        <v>9.7379999999999765</v>
      </c>
      <c r="T756" s="357">
        <f t="shared" ca="1" si="320"/>
        <v>95.529779999999775</v>
      </c>
      <c r="U756" s="364">
        <f t="shared" ca="1" si="321"/>
        <v>0</v>
      </c>
      <c r="V756" s="359">
        <f t="shared" ca="1" si="322"/>
        <v>0.9587138457417872</v>
      </c>
      <c r="W756" s="357">
        <f t="shared" ca="1" si="323"/>
        <v>12.654457706765381</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7.4304826755425522</v>
      </c>
      <c r="AH756" s="357">
        <f t="shared" ca="1" si="347"/>
        <v>-1.2734080112315447</v>
      </c>
    </row>
    <row r="757" spans="1:34" x14ac:dyDescent="0.25">
      <c r="A757" s="402">
        <f t="shared" ca="1" si="325"/>
        <v>0.1</v>
      </c>
      <c r="B757" s="357">
        <f t="shared" ca="1" si="326"/>
        <v>30.3000000000001</v>
      </c>
      <c r="C757" s="342"/>
      <c r="D757" s="359">
        <f t="shared" ca="1" si="327"/>
        <v>-0.5926065333669156</v>
      </c>
      <c r="E757" s="360">
        <f t="shared" ca="1" si="328"/>
        <v>-8.6534974339645423</v>
      </c>
      <c r="F757" s="357">
        <f t="shared" ca="1" si="329"/>
        <v>8.6737650615531479</v>
      </c>
      <c r="G757" s="359">
        <f t="shared" ca="1" si="330"/>
        <v>34.764857477762945</v>
      </c>
      <c r="H757" s="360">
        <f t="shared" ca="1" si="331"/>
        <v>-68.826433043844403</v>
      </c>
      <c r="I757" s="357">
        <f t="shared" ca="1" si="332"/>
        <v>77.108191529745838</v>
      </c>
      <c r="J757" s="359">
        <f t="shared" ca="1" si="333"/>
        <v>1271.5908830667422</v>
      </c>
      <c r="K757" s="360">
        <f t="shared" ca="1" si="334"/>
        <v>2431.9980641474326</v>
      </c>
      <c r="L757" s="357">
        <f t="shared" ca="1" si="319"/>
        <v>2744.3684078336341</v>
      </c>
      <c r="M757" s="359">
        <f t="shared" ca="1" si="335"/>
        <v>-1.1030697983139468</v>
      </c>
      <c r="N757" s="357">
        <f t="shared" ca="1" si="336"/>
        <v>-63.201243951736082</v>
      </c>
      <c r="O757" s="343"/>
      <c r="P757" s="363">
        <f t="shared" ca="1" si="337"/>
        <v>23</v>
      </c>
      <c r="Q757" s="357">
        <f t="shared" ca="1" si="338"/>
        <v>0</v>
      </c>
      <c r="R757" s="359">
        <f t="shared" ca="1" si="339"/>
        <v>0</v>
      </c>
      <c r="S757" s="360">
        <f t="shared" ca="1" si="340"/>
        <v>9.7379999999999765</v>
      </c>
      <c r="T757" s="357">
        <f t="shared" ca="1" si="320"/>
        <v>95.529779999999775</v>
      </c>
      <c r="U757" s="364">
        <f t="shared" ca="1" si="321"/>
        <v>0</v>
      </c>
      <c r="V757" s="359">
        <f t="shared" ca="1" si="322"/>
        <v>0.95937964642639761</v>
      </c>
      <c r="W757" s="357">
        <f t="shared" ca="1" si="323"/>
        <v>12.911335110336967</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7.4310622656389</v>
      </c>
      <c r="AH757" s="357">
        <f t="shared" ca="1" si="347"/>
        <v>-1.2994924734817634</v>
      </c>
    </row>
    <row r="758" spans="1:34" x14ac:dyDescent="0.25">
      <c r="A758" s="402">
        <f t="shared" ca="1" si="325"/>
        <v>0.1</v>
      </c>
      <c r="B758" s="357">
        <f t="shared" ca="1" si="326"/>
        <v>30.400000000000102</v>
      </c>
      <c r="C758" s="342"/>
      <c r="D758" s="359">
        <f t="shared" ca="1" si="327"/>
        <v>-0.59777991494234195</v>
      </c>
      <c r="E758" s="360">
        <f t="shared" ca="1" si="328"/>
        <v>-8.6265330659833452</v>
      </c>
      <c r="F758" s="357">
        <f t="shared" ca="1" si="329"/>
        <v>8.6472199905641638</v>
      </c>
      <c r="G758" s="359">
        <f t="shared" ca="1" si="330"/>
        <v>34.705079486268708</v>
      </c>
      <c r="H758" s="360">
        <f t="shared" ca="1" si="331"/>
        <v>-69.689086350442736</v>
      </c>
      <c r="I758" s="357">
        <f t="shared" ca="1" si="332"/>
        <v>77.852497060195134</v>
      </c>
      <c r="J758" s="359">
        <f t="shared" ca="1" si="333"/>
        <v>1275.0643799149439</v>
      </c>
      <c r="K758" s="360">
        <f t="shared" ca="1" si="334"/>
        <v>2425.0722881777183</v>
      </c>
      <c r="L758" s="357">
        <f t="shared" ca="1" si="319"/>
        <v>2739.8475825883806</v>
      </c>
      <c r="M758" s="359">
        <f t="shared" ca="1" si="335"/>
        <v>-1.1087509807097307</v>
      </c>
      <c r="N758" s="357">
        <f t="shared" ca="1" si="336"/>
        <v>-63.526751725658521</v>
      </c>
      <c r="O758" s="343"/>
      <c r="P758" s="363">
        <f t="shared" ca="1" si="337"/>
        <v>23</v>
      </c>
      <c r="Q758" s="357">
        <f t="shared" ca="1" si="338"/>
        <v>0</v>
      </c>
      <c r="R758" s="359">
        <f t="shared" ca="1" si="339"/>
        <v>0</v>
      </c>
      <c r="S758" s="360">
        <f t="shared" ca="1" si="340"/>
        <v>9.7379999999999765</v>
      </c>
      <c r="T758" s="357">
        <f t="shared" ca="1" si="320"/>
        <v>95.529779999999775</v>
      </c>
      <c r="U758" s="364">
        <f t="shared" ca="1" si="321"/>
        <v>0</v>
      </c>
      <c r="V758" s="359">
        <f t="shared" ca="1" si="322"/>
        <v>0.96005427185768</v>
      </c>
      <c r="W758" s="357">
        <f t="shared" ca="1" si="323"/>
        <v>13.171052954682226</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7.4304915671553067</v>
      </c>
      <c r="AH758" s="357">
        <f t="shared" ca="1" si="347"/>
        <v>-1.3258713401455122</v>
      </c>
    </row>
    <row r="759" spans="1:34" x14ac:dyDescent="0.25">
      <c r="A759" s="402">
        <f t="shared" ca="1" si="325"/>
        <v>0.1</v>
      </c>
      <c r="B759" s="357">
        <f t="shared" ca="1" si="326"/>
        <v>30.500000000000103</v>
      </c>
      <c r="C759" s="342"/>
      <c r="D759" s="359">
        <f t="shared" ca="1" si="327"/>
        <v>-0.60293600950384219</v>
      </c>
      <c r="E759" s="360">
        <f t="shared" ca="1" si="328"/>
        <v>-8.5992821381743454</v>
      </c>
      <c r="F759" s="357">
        <f t="shared" ca="1" si="329"/>
        <v>8.6203935596630821</v>
      </c>
      <c r="G759" s="359">
        <f t="shared" ca="1" si="330"/>
        <v>34.644785885318328</v>
      </c>
      <c r="H759" s="360">
        <f t="shared" ca="1" si="331"/>
        <v>-70.549014564260176</v>
      </c>
      <c r="I759" s="357">
        <f t="shared" ca="1" si="332"/>
        <v>78.596594360237688</v>
      </c>
      <c r="J759" s="359">
        <f t="shared" ca="1" si="333"/>
        <v>1278.5318731835232</v>
      </c>
      <c r="K759" s="360">
        <f t="shared" ca="1" si="334"/>
        <v>2418.0603831319831</v>
      </c>
      <c r="L759" s="357">
        <f t="shared" ca="1" si="319"/>
        <v>2735.2622849040567</v>
      </c>
      <c r="M759" s="359">
        <f t="shared" ca="1" si="335"/>
        <v>-1.1143149921802376</v>
      </c>
      <c r="N759" s="357">
        <f t="shared" ca="1" si="336"/>
        <v>-63.845546100080945</v>
      </c>
      <c r="O759" s="343"/>
      <c r="P759" s="363">
        <f t="shared" ca="1" si="337"/>
        <v>23</v>
      </c>
      <c r="Q759" s="357">
        <f t="shared" ca="1" si="338"/>
        <v>0</v>
      </c>
      <c r="R759" s="359">
        <f t="shared" ca="1" si="339"/>
        <v>0</v>
      </c>
      <c r="S759" s="360">
        <f t="shared" ca="1" si="340"/>
        <v>9.7379999999999765</v>
      </c>
      <c r="T759" s="357">
        <f t="shared" ca="1" si="320"/>
        <v>95.529779999999775</v>
      </c>
      <c r="U759" s="364">
        <f t="shared" ca="1" si="321"/>
        <v>0</v>
      </c>
      <c r="V759" s="359">
        <f t="shared" ca="1" si="322"/>
        <v>0.96073771158494448</v>
      </c>
      <c r="W759" s="357">
        <f t="shared" ca="1" si="323"/>
        <v>13.433584533110249</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7.4288069770826901</v>
      </c>
      <c r="AH759" s="357">
        <f t="shared" ca="1" si="347"/>
        <v>-1.35254189306657</v>
      </c>
    </row>
    <row r="760" spans="1:34" x14ac:dyDescent="0.25">
      <c r="A760" s="402">
        <f t="shared" ca="1" si="325"/>
        <v>0.1</v>
      </c>
      <c r="B760" s="357">
        <f t="shared" ca="1" si="326"/>
        <v>30.600000000000104</v>
      </c>
      <c r="C760" s="342"/>
      <c r="D760" s="359">
        <f t="shared" ca="1" si="327"/>
        <v>-0.60807380605268424</v>
      </c>
      <c r="E760" s="360">
        <f t="shared" ca="1" si="328"/>
        <v>-8.5717470651612384</v>
      </c>
      <c r="F760" s="357">
        <f t="shared" ca="1" si="329"/>
        <v>8.5932881659297156</v>
      </c>
      <c r="G760" s="359">
        <f t="shared" ca="1" si="330"/>
        <v>34.583978504713059</v>
      </c>
      <c r="H760" s="360">
        <f t="shared" ca="1" si="331"/>
        <v>-71.406189270776295</v>
      </c>
      <c r="I760" s="357">
        <f t="shared" ca="1" si="332"/>
        <v>79.340377081208672</v>
      </c>
      <c r="J760" s="359">
        <f t="shared" ca="1" si="333"/>
        <v>1281.9933114030248</v>
      </c>
      <c r="K760" s="360">
        <f t="shared" ca="1" si="334"/>
        <v>2410.9626229402315</v>
      </c>
      <c r="L760" s="357">
        <f t="shared" ca="1" si="319"/>
        <v>2730.6130483275974</v>
      </c>
      <c r="M760" s="359">
        <f t="shared" ca="1" si="335"/>
        <v>-1.1197651747523534</v>
      </c>
      <c r="N760" s="357">
        <f t="shared" ca="1" si="336"/>
        <v>-64.15781855903893</v>
      </c>
      <c r="O760" s="343"/>
      <c r="P760" s="363">
        <f t="shared" ca="1" si="337"/>
        <v>23</v>
      </c>
      <c r="Q760" s="357">
        <f t="shared" ca="1" si="338"/>
        <v>0</v>
      </c>
      <c r="R760" s="359">
        <f t="shared" ca="1" si="339"/>
        <v>0</v>
      </c>
      <c r="S760" s="360">
        <f t="shared" ca="1" si="340"/>
        <v>9.7379999999999765</v>
      </c>
      <c r="T760" s="357">
        <f t="shared" ca="1" si="320"/>
        <v>95.529779999999775</v>
      </c>
      <c r="U760" s="364">
        <f t="shared" ca="1" si="321"/>
        <v>0</v>
      </c>
      <c r="V760" s="359">
        <f t="shared" ca="1" si="322"/>
        <v>0.96142995503650486</v>
      </c>
      <c r="W760" s="357">
        <f t="shared" ca="1" si="323"/>
        <v>13.698902905378596</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7.4260434116637173</v>
      </c>
      <c r="AH760" s="357">
        <f t="shared" ca="1" si="347"/>
        <v>-1.3795013897217376</v>
      </c>
    </row>
    <row r="761" spans="1:34" x14ac:dyDescent="0.25">
      <c r="A761" s="402">
        <f t="shared" ca="1" si="325"/>
        <v>0.1</v>
      </c>
      <c r="B761" s="357">
        <f t="shared" ca="1" si="326"/>
        <v>30.700000000000106</v>
      </c>
      <c r="C761" s="342"/>
      <c r="D761" s="359">
        <f t="shared" ca="1" si="327"/>
        <v>-0.61319232399743495</v>
      </c>
      <c r="E761" s="360">
        <f t="shared" ca="1" si="328"/>
        <v>-8.5439303041499137</v>
      </c>
      <c r="F761" s="357">
        <f t="shared" ca="1" si="329"/>
        <v>8.5659062491005944</v>
      </c>
      <c r="G761" s="359">
        <f t="shared" ca="1" si="330"/>
        <v>34.522659272313312</v>
      </c>
      <c r="H761" s="360">
        <f t="shared" ca="1" si="331"/>
        <v>-72.260582301191292</v>
      </c>
      <c r="I761" s="357">
        <f t="shared" ca="1" si="332"/>
        <v>80.08374215619223</v>
      </c>
      <c r="J761" s="359">
        <f t="shared" ca="1" si="333"/>
        <v>1285.4486432918761</v>
      </c>
      <c r="K761" s="360">
        <f t="shared" ca="1" si="334"/>
        <v>2403.779284361633</v>
      </c>
      <c r="L761" s="357">
        <f t="shared" ca="1" si="319"/>
        <v>2725.9004131602187</v>
      </c>
      <c r="M761" s="359">
        <f t="shared" ca="1" si="335"/>
        <v>-1.1251047585281047</v>
      </c>
      <c r="N761" s="357">
        <f t="shared" ca="1" si="336"/>
        <v>-64.463754173746011</v>
      </c>
      <c r="O761" s="343"/>
      <c r="P761" s="363">
        <f t="shared" ca="1" si="337"/>
        <v>23</v>
      </c>
      <c r="Q761" s="357">
        <f t="shared" ca="1" si="338"/>
        <v>0</v>
      </c>
      <c r="R761" s="359">
        <f t="shared" ca="1" si="339"/>
        <v>0</v>
      </c>
      <c r="S761" s="360">
        <f t="shared" ca="1" si="340"/>
        <v>9.7379999999999765</v>
      </c>
      <c r="T761" s="357">
        <f t="shared" ca="1" si="320"/>
        <v>95.529779999999775</v>
      </c>
      <c r="U761" s="364">
        <f t="shared" ca="1" si="321"/>
        <v>0</v>
      </c>
      <c r="V761" s="359">
        <f t="shared" ca="1" si="322"/>
        <v>0.96213099151995118</v>
      </c>
      <c r="W761" s="357">
        <f t="shared" ca="1" si="323"/>
        <v>13.966980901497918</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7.4222343770728214</v>
      </c>
      <c r="AH761" s="357">
        <f t="shared" ca="1" si="347"/>
        <v>-1.4067470636042954</v>
      </c>
    </row>
    <row r="762" spans="1:34" x14ac:dyDescent="0.25">
      <c r="A762" s="402">
        <f t="shared" ca="1" si="325"/>
        <v>0.1</v>
      </c>
      <c r="B762" s="357">
        <f t="shared" ca="1" si="326"/>
        <v>30.800000000000107</v>
      </c>
      <c r="C762" s="342"/>
      <c r="D762" s="359">
        <f t="shared" ca="1" si="327"/>
        <v>-0.61829061204351687</v>
      </c>
      <c r="E762" s="360">
        <f t="shared" ca="1" si="328"/>
        <v>-8.5158343534544674</v>
      </c>
      <c r="F762" s="357">
        <f t="shared" ca="1" si="329"/>
        <v>8.5382502901013879</v>
      </c>
      <c r="G762" s="359">
        <f t="shared" ca="1" si="330"/>
        <v>34.460830211108963</v>
      </c>
      <c r="H762" s="360">
        <f t="shared" ca="1" si="331"/>
        <v>-73.112165736536738</v>
      </c>
      <c r="I762" s="357">
        <f t="shared" ca="1" si="332"/>
        <v>80.826589669029687</v>
      </c>
      <c r="J762" s="359">
        <f t="shared" ca="1" si="333"/>
        <v>1288.8978177660472</v>
      </c>
      <c r="K762" s="360">
        <f t="shared" ca="1" si="334"/>
        <v>2396.5106469597467</v>
      </c>
      <c r="L762" s="357">
        <f t="shared" ca="1" si="319"/>
        <v>2721.124926502549</v>
      </c>
      <c r="M762" s="359">
        <f t="shared" ca="1" si="335"/>
        <v>-1.1303368655301924</v>
      </c>
      <c r="N762" s="357">
        <f t="shared" ca="1" si="336"/>
        <v>-64.763531822926481</v>
      </c>
      <c r="O762" s="343"/>
      <c r="P762" s="363">
        <f t="shared" ca="1" si="337"/>
        <v>23</v>
      </c>
      <c r="Q762" s="357">
        <f t="shared" ca="1" si="338"/>
        <v>0</v>
      </c>
      <c r="R762" s="359">
        <f t="shared" ca="1" si="339"/>
        <v>0</v>
      </c>
      <c r="S762" s="360">
        <f t="shared" ca="1" si="340"/>
        <v>9.7379999999999765</v>
      </c>
      <c r="T762" s="357">
        <f t="shared" ca="1" si="320"/>
        <v>95.529779999999775</v>
      </c>
      <c r="U762" s="364">
        <f t="shared" ca="1" si="321"/>
        <v>0</v>
      </c>
      <c r="V762" s="359">
        <f t="shared" ca="1" si="322"/>
        <v>0.96284081022244405</v>
      </c>
      <c r="W762" s="357">
        <f t="shared" ca="1" si="323"/>
        <v>14.237791125604225</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7.4174120369115402</v>
      </c>
      <c r="AH762" s="357">
        <f t="shared" ca="1" si="347"/>
        <v>-1.4342761246147002</v>
      </c>
    </row>
    <row r="763" spans="1:34" x14ac:dyDescent="0.25">
      <c r="A763" s="402">
        <f t="shared" ca="1" si="325"/>
        <v>0.1</v>
      </c>
      <c r="B763" s="357">
        <f t="shared" ca="1" si="326"/>
        <v>30.900000000000109</v>
      </c>
      <c r="C763" s="342"/>
      <c r="D763" s="359">
        <f t="shared" ca="1" si="327"/>
        <v>-0.62336774713725585</v>
      </c>
      <c r="E763" s="360">
        <f t="shared" ca="1" si="328"/>
        <v>-8.4874617510863537</v>
      </c>
      <c r="F763" s="357">
        <f t="shared" ca="1" si="329"/>
        <v>8.5103228096426999</v>
      </c>
      <c r="G763" s="359">
        <f t="shared" ca="1" si="330"/>
        <v>34.398493436395235</v>
      </c>
      <c r="H763" s="360">
        <f t="shared" ca="1" si="331"/>
        <v>-73.960911911645368</v>
      </c>
      <c r="I763" s="357">
        <f t="shared" ca="1" si="332"/>
        <v>81.568822729618276</v>
      </c>
      <c r="J763" s="359">
        <f t="shared" ca="1" si="333"/>
        <v>1292.3407839484223</v>
      </c>
      <c r="K763" s="360">
        <f t="shared" ca="1" si="334"/>
        <v>2389.1569930773376</v>
      </c>
      <c r="L763" s="357">
        <f t="shared" ca="1" si="319"/>
        <v>2716.287142300454</v>
      </c>
      <c r="M763" s="359">
        <f t="shared" ca="1" si="335"/>
        <v>-1.1354645134481012</v>
      </c>
      <c r="N763" s="357">
        <f t="shared" ca="1" si="336"/>
        <v>-65.057324407451702</v>
      </c>
      <c r="O763" s="343"/>
      <c r="P763" s="363">
        <f t="shared" ca="1" si="337"/>
        <v>23</v>
      </c>
      <c r="Q763" s="357">
        <f t="shared" ca="1" si="338"/>
        <v>0</v>
      </c>
      <c r="R763" s="359">
        <f t="shared" ca="1" si="339"/>
        <v>0</v>
      </c>
      <c r="S763" s="360">
        <f t="shared" ca="1" si="340"/>
        <v>9.7379999999999765</v>
      </c>
      <c r="T763" s="357">
        <f t="shared" ca="1" si="320"/>
        <v>95.529779999999775</v>
      </c>
      <c r="U763" s="364">
        <f t="shared" ca="1" si="321"/>
        <v>0</v>
      </c>
      <c r="V763" s="359">
        <f t="shared" ca="1" si="322"/>
        <v>0.96355940021103348</v>
      </c>
      <c r="W763" s="357">
        <f t="shared" ca="1" si="323"/>
        <v>14.511305959896543</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7.4116072766126244</v>
      </c>
      <c r="AH763" s="357">
        <f t="shared" ca="1" si="347"/>
        <v>-1.4620857594582317</v>
      </c>
    </row>
    <row r="764" spans="1:34" x14ac:dyDescent="0.25">
      <c r="A764" s="402">
        <f t="shared" ca="1" si="325"/>
        <v>0.1</v>
      </c>
      <c r="B764" s="357">
        <f t="shared" ca="1" si="326"/>
        <v>31.00000000000011</v>
      </c>
      <c r="C764" s="342"/>
      <c r="D764" s="359">
        <f t="shared" ca="1" si="327"/>
        <v>-0.62842283346182604</v>
      </c>
      <c r="E764" s="360">
        <f t="shared" ca="1" si="328"/>
        <v>-8.4588150734020235</v>
      </c>
      <c r="F764" s="357">
        <f t="shared" ca="1" si="329"/>
        <v>8.4821263668746099</v>
      </c>
      <c r="G764" s="359">
        <f t="shared" ca="1" si="330"/>
        <v>34.335651153049049</v>
      </c>
      <c r="H764" s="360">
        <f t="shared" ca="1" si="331"/>
        <v>-74.806793418985578</v>
      </c>
      <c r="I764" s="357">
        <f t="shared" ca="1" si="332"/>
        <v>82.310347355205977</v>
      </c>
      <c r="J764" s="359">
        <f t="shared" ca="1" si="333"/>
        <v>1295.7774911778945</v>
      </c>
      <c r="K764" s="360">
        <f t="shared" ca="1" si="334"/>
        <v>2381.7186078108061</v>
      </c>
      <c r="L764" s="357">
        <f t="shared" ca="1" si="319"/>
        <v>2711.387621391586</v>
      </c>
      <c r="M764" s="359">
        <f t="shared" ca="1" si="335"/>
        <v>-1.1404906192820707</v>
      </c>
      <c r="N764" s="357">
        <f t="shared" ca="1" si="336"/>
        <v>-65.345299059124244</v>
      </c>
      <c r="O764" s="343"/>
      <c r="P764" s="363">
        <f t="shared" ca="1" si="337"/>
        <v>23</v>
      </c>
      <c r="Q764" s="357">
        <f t="shared" ca="1" si="338"/>
        <v>0</v>
      </c>
      <c r="R764" s="359">
        <f t="shared" ca="1" si="339"/>
        <v>0</v>
      </c>
      <c r="S764" s="360">
        <f t="shared" ca="1" si="340"/>
        <v>9.7379999999999765</v>
      </c>
      <c r="T764" s="357">
        <f t="shared" ca="1" si="320"/>
        <v>95.529779999999775</v>
      </c>
      <c r="U764" s="364">
        <f t="shared" ca="1" si="321"/>
        <v>0</v>
      </c>
      <c r="V764" s="359">
        <f t="shared" ca="1" si="322"/>
        <v>0.96428675043300327</v>
      </c>
      <c r="W764" s="357">
        <f t="shared" ca="1" si="323"/>
        <v>14.787497568637354</v>
      </c>
      <c r="X764" s="343"/>
      <c r="Y764" s="367" t="str">
        <f t="shared" ca="1" si="341"/>
        <v/>
      </c>
      <c r="Z764" s="368" t="str">
        <f t="shared" ca="1" si="342"/>
        <v/>
      </c>
      <c r="AA764" s="369" t="str">
        <f t="shared" ca="1" si="343"/>
        <v/>
      </c>
      <c r="AB764" s="344"/>
      <c r="AC764" s="363">
        <f t="shared" ca="1" si="344"/>
        <v>31.00000000000011</v>
      </c>
      <c r="AD764" s="376">
        <f t="shared" ca="1" si="345"/>
        <v>1295.7774911778945</v>
      </c>
      <c r="AE764" s="377" t="e">
        <f t="shared" ca="1" si="324"/>
        <v>#N/A</v>
      </c>
      <c r="AF764" s="344"/>
      <c r="AG764" s="359">
        <f t="shared" ca="1" si="346"/>
        <v>7.4048497648519893</v>
      </c>
      <c r="AH764" s="357">
        <f t="shared" ca="1" si="347"/>
        <v>-1.4901731320493508</v>
      </c>
    </row>
    <row r="765" spans="1:34" x14ac:dyDescent="0.25">
      <c r="A765" s="402">
        <f t="shared" ca="1" si="325"/>
        <v>0.1</v>
      </c>
      <c r="B765" s="357">
        <f t="shared" ca="1" si="326"/>
        <v>31.100000000000112</v>
      </c>
      <c r="C765" s="342"/>
      <c r="D765" s="359">
        <f t="shared" ca="1" si="327"/>
        <v>-0.63345500148259226</v>
      </c>
      <c r="E765" s="360">
        <f t="shared" ca="1" si="328"/>
        <v>-8.4298969338048089</v>
      </c>
      <c r="F765" s="357">
        <f t="shared" ca="1" si="329"/>
        <v>8.4536635580956858</v>
      </c>
      <c r="G765" s="359">
        <f t="shared" ca="1" si="330"/>
        <v>34.272305652900791</v>
      </c>
      <c r="H765" s="360">
        <f t="shared" ca="1" si="331"/>
        <v>-75.649783112366052</v>
      </c>
      <c r="I765" s="357">
        <f t="shared" ca="1" si="332"/>
        <v>83.051072357398738</v>
      </c>
      <c r="J765" s="359">
        <f t="shared" ca="1" si="333"/>
        <v>1299.207889018192</v>
      </c>
      <c r="K765" s="360">
        <f t="shared" ca="1" si="334"/>
        <v>2374.1957789842386</v>
      </c>
      <c r="L765" s="357">
        <f t="shared" ca="1" si="319"/>
        <v>2706.4269315526849</v>
      </c>
      <c r="M765" s="359">
        <f t="shared" ca="1" si="335"/>
        <v>-1.1454180028831342</v>
      </c>
      <c r="N765" s="357">
        <f t="shared" ca="1" si="336"/>
        <v>-65.627617343507154</v>
      </c>
      <c r="O765" s="343"/>
      <c r="P765" s="363">
        <f t="shared" ca="1" si="337"/>
        <v>23</v>
      </c>
      <c r="Q765" s="357">
        <f t="shared" ca="1" si="338"/>
        <v>0</v>
      </c>
      <c r="R765" s="359">
        <f t="shared" ca="1" si="339"/>
        <v>0</v>
      </c>
      <c r="S765" s="360">
        <f t="shared" ca="1" si="340"/>
        <v>9.7379999999999765</v>
      </c>
      <c r="T765" s="357">
        <f t="shared" ca="1" si="320"/>
        <v>95.529779999999775</v>
      </c>
      <c r="U765" s="364">
        <f t="shared" ca="1" si="321"/>
        <v>0</v>
      </c>
      <c r="V765" s="359">
        <f t="shared" ca="1" si="322"/>
        <v>0.9650228497162342</v>
      </c>
      <c r="W765" s="357">
        <f t="shared" ca="1" si="323"/>
        <v>15.066337902213508</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7.397168012071405</v>
      </c>
      <c r="AH765" s="357">
        <f t="shared" ca="1" si="347"/>
        <v>-1.5185353839225086</v>
      </c>
    </row>
    <row r="766" spans="1:34" x14ac:dyDescent="0.25">
      <c r="A766" s="402">
        <f t="shared" ca="1" si="325"/>
        <v>0.1</v>
      </c>
      <c r="B766" s="357">
        <f t="shared" ca="1" si="326"/>
        <v>31.200000000000113</v>
      </c>
      <c r="C766" s="342"/>
      <c r="D766" s="359">
        <f t="shared" ca="1" si="327"/>
        <v>-0.63846340703942894</v>
      </c>
      <c r="E766" s="360">
        <f t="shared" ca="1" si="328"/>
        <v>-8.4007099814970569</v>
      </c>
      <c r="F766" s="357">
        <f t="shared" ca="1" si="329"/>
        <v>8.4249370155125014</v>
      </c>
      <c r="G766" s="359">
        <f t="shared" ca="1" si="330"/>
        <v>34.208459312196851</v>
      </c>
      <c r="H766" s="360">
        <f t="shared" ca="1" si="331"/>
        <v>-76.489854110515751</v>
      </c>
      <c r="I766" s="357">
        <f t="shared" ca="1" si="332"/>
        <v>83.790909234607369</v>
      </c>
      <c r="J766" s="359">
        <f t="shared" ca="1" si="333"/>
        <v>1302.6319272664468</v>
      </c>
      <c r="K766" s="360">
        <f t="shared" ca="1" si="334"/>
        <v>2366.5887971230945</v>
      </c>
      <c r="L766" s="357">
        <f t="shared" ca="1" si="319"/>
        <v>2701.4056475476677</v>
      </c>
      <c r="M766" s="359">
        <f t="shared" ca="1" si="335"/>
        <v>-1.150249390388195</v>
      </c>
      <c r="N766" s="357">
        <f t="shared" ca="1" si="336"/>
        <v>-65.904435456739378</v>
      </c>
      <c r="O766" s="343"/>
      <c r="P766" s="363">
        <f t="shared" ca="1" si="337"/>
        <v>23</v>
      </c>
      <c r="Q766" s="357">
        <f t="shared" ca="1" si="338"/>
        <v>0</v>
      </c>
      <c r="R766" s="359">
        <f t="shared" ca="1" si="339"/>
        <v>0</v>
      </c>
      <c r="S766" s="360">
        <f t="shared" ca="1" si="340"/>
        <v>9.7379999999999765</v>
      </c>
      <c r="T766" s="357">
        <f t="shared" ca="1" si="320"/>
        <v>95.529779999999775</v>
      </c>
      <c r="U766" s="364">
        <f t="shared" ca="1" si="321"/>
        <v>0</v>
      </c>
      <c r="V766" s="359">
        <f t="shared" ca="1" si="322"/>
        <v>0.96576768676959057</v>
      </c>
      <c r="W766" s="357">
        <f t="shared" ca="1" si="323"/>
        <v>15.347798701255444</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7.3885894262174103</v>
      </c>
      <c r="AH766" s="357">
        <f t="shared" ca="1" si="347"/>
        <v>-1.5471696346491626</v>
      </c>
    </row>
    <row r="767" spans="1:34" x14ac:dyDescent="0.25">
      <c r="A767" s="402">
        <f t="shared" ca="1" si="325"/>
        <v>0.1</v>
      </c>
      <c r="B767" s="357">
        <f t="shared" ca="1" si="326"/>
        <v>31.300000000000114</v>
      </c>
      <c r="C767" s="342"/>
      <c r="D767" s="359">
        <f t="shared" ca="1" si="327"/>
        <v>-0.64344723048371733</v>
      </c>
      <c r="E767" s="360">
        <f t="shared" ca="1" si="328"/>
        <v>-8.3712569002788495</v>
      </c>
      <c r="F767" s="357">
        <f t="shared" ca="1" si="329"/>
        <v>8.3959494060459541</v>
      </c>
      <c r="G767" s="359">
        <f t="shared" ca="1" si="330"/>
        <v>34.144114589148479</v>
      </c>
      <c r="H767" s="360">
        <f t="shared" ca="1" si="331"/>
        <v>-77.32697980054364</v>
      </c>
      <c r="I767" s="357">
        <f t="shared" ca="1" si="332"/>
        <v>84.529772069671324</v>
      </c>
      <c r="J767" s="359">
        <f t="shared" ca="1" si="333"/>
        <v>1306.0495559615142</v>
      </c>
      <c r="K767" s="360">
        <f t="shared" ca="1" si="334"/>
        <v>2358.8979554275415</v>
      </c>
      <c r="L767" s="357">
        <f t="shared" ca="1" si="319"/>
        <v>2696.3243511765245</v>
      </c>
      <c r="M767" s="359">
        <f t="shared" ca="1" si="335"/>
        <v>-1.1549874175497941</v>
      </c>
      <c r="N767" s="357">
        <f t="shared" ca="1" si="336"/>
        <v>-66.175904416317351</v>
      </c>
      <c r="O767" s="343"/>
      <c r="P767" s="363">
        <f t="shared" ca="1" si="337"/>
        <v>23</v>
      </c>
      <c r="Q767" s="357">
        <f t="shared" ca="1" si="338"/>
        <v>0</v>
      </c>
      <c r="R767" s="359">
        <f t="shared" ca="1" si="339"/>
        <v>0</v>
      </c>
      <c r="S767" s="360">
        <f t="shared" ca="1" si="340"/>
        <v>9.7379999999999765</v>
      </c>
      <c r="T767" s="357">
        <f t="shared" ca="1" si="320"/>
        <v>95.529779999999775</v>
      </c>
      <c r="U767" s="364">
        <f t="shared" ca="1" si="321"/>
        <v>0</v>
      </c>
      <c r="V767" s="359">
        <f t="shared" ca="1" si="322"/>
        <v>0.96652125018332702</v>
      </c>
      <c r="W767" s="357">
        <f t="shared" ca="1" si="323"/>
        <v>15.631851500812369</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7.3791403658030355</v>
      </c>
      <c r="AH767" s="357">
        <f t="shared" ca="1" si="347"/>
        <v>-1.5760729822607806</v>
      </c>
    </row>
    <row r="768" spans="1:34" x14ac:dyDescent="0.25">
      <c r="A768" s="402">
        <f t="shared" ca="1" si="325"/>
        <v>0.1</v>
      </c>
      <c r="B768" s="357">
        <f t="shared" ca="1" si="326"/>
        <v>31.400000000000116</v>
      </c>
      <c r="C768" s="342"/>
      <c r="D768" s="359">
        <f t="shared" ca="1" si="327"/>
        <v>-0.64840567585778019</v>
      </c>
      <c r="E768" s="360">
        <f t="shared" ca="1" si="328"/>
        <v>-8.3415404073899335</v>
      </c>
      <c r="F768" s="357">
        <f t="shared" ca="1" si="329"/>
        <v>8.3667034301810652</v>
      </c>
      <c r="G768" s="359">
        <f t="shared" ca="1" si="330"/>
        <v>34.079274021562703</v>
      </c>
      <c r="H768" s="360">
        <f t="shared" ca="1" si="331"/>
        <v>-78.161133841282634</v>
      </c>
      <c r="I768" s="357">
        <f t="shared" ca="1" si="332"/>
        <v>85.267577432407776</v>
      </c>
      <c r="J768" s="359">
        <f t="shared" ca="1" si="333"/>
        <v>1309.4607253920499</v>
      </c>
      <c r="K768" s="360">
        <f t="shared" ca="1" si="334"/>
        <v>2351.1235497454504</v>
      </c>
      <c r="L768" s="357">
        <f t="shared" ca="1" si="319"/>
        <v>2691.1836313250574</v>
      </c>
      <c r="M768" s="359">
        <f t="shared" ca="1" si="335"/>
        <v>-1.159634632960777</v>
      </c>
      <c r="N768" s="357">
        <f t="shared" ca="1" si="336"/>
        <v>-66.442170245854825</v>
      </c>
      <c r="O768" s="343"/>
      <c r="P768" s="363">
        <f t="shared" ca="1" si="337"/>
        <v>23</v>
      </c>
      <c r="Q768" s="357">
        <f t="shared" ca="1" si="338"/>
        <v>0</v>
      </c>
      <c r="R768" s="359">
        <f t="shared" ca="1" si="339"/>
        <v>0</v>
      </c>
      <c r="S768" s="360">
        <f t="shared" ca="1" si="340"/>
        <v>9.7379999999999765</v>
      </c>
      <c r="T768" s="357">
        <f t="shared" ca="1" si="320"/>
        <v>95.529779999999775</v>
      </c>
      <c r="U768" s="364">
        <f t="shared" ca="1" si="321"/>
        <v>0</v>
      </c>
      <c r="V768" s="359">
        <f t="shared" ca="1" si="322"/>
        <v>0.96728352842951593</v>
      </c>
      <c r="W768" s="357">
        <f t="shared" ca="1" si="323"/>
        <v>15.918467634581388</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7.3688461903992879</v>
      </c>
      <c r="AH768" s="357">
        <f t="shared" ca="1" si="347"/>
        <v>-1.6052425036775937</v>
      </c>
    </row>
    <row r="769" spans="1:34" x14ac:dyDescent="0.25">
      <c r="A769" s="402">
        <f t="shared" ca="1" si="325"/>
        <v>0.1</v>
      </c>
      <c r="B769" s="357">
        <f t="shared" ca="1" si="326"/>
        <v>31.500000000000117</v>
      </c>
      <c r="C769" s="342"/>
      <c r="D769" s="359">
        <f t="shared" ca="1" si="327"/>
        <v>-0.65333797011464179</v>
      </c>
      <c r="E769" s="360">
        <f t="shared" ca="1" si="328"/>
        <v>-8.3115632523917</v>
      </c>
      <c r="F769" s="357">
        <f t="shared" ca="1" si="329"/>
        <v>8.33720182085702</v>
      </c>
      <c r="G769" s="359">
        <f t="shared" ca="1" si="330"/>
        <v>34.013940224551241</v>
      </c>
      <c r="H769" s="360">
        <f t="shared" ca="1" si="331"/>
        <v>-78.992290166521798</v>
      </c>
      <c r="I769" s="357">
        <f t="shared" ca="1" si="332"/>
        <v>86.004244286845065</v>
      </c>
      <c r="J769" s="359">
        <f t="shared" ca="1" si="333"/>
        <v>1312.8653861043556</v>
      </c>
      <c r="K769" s="360">
        <f t="shared" ca="1" si="334"/>
        <v>2343.2658785450603</v>
      </c>
      <c r="L769" s="357">
        <f t="shared" ca="1" si="319"/>
        <v>2685.9840840154829</v>
      </c>
      <c r="M769" s="359">
        <f t="shared" ca="1" si="335"/>
        <v>-1.1641935011745634</v>
      </c>
      <c r="N769" s="357">
        <f t="shared" ca="1" si="336"/>
        <v>-66.703374153861134</v>
      </c>
      <c r="O769" s="343"/>
      <c r="P769" s="363">
        <f t="shared" ca="1" si="337"/>
        <v>23</v>
      </c>
      <c r="Q769" s="357">
        <f t="shared" ca="1" si="338"/>
        <v>0</v>
      </c>
      <c r="R769" s="359">
        <f t="shared" ca="1" si="339"/>
        <v>0</v>
      </c>
      <c r="S769" s="360">
        <f t="shared" ca="1" si="340"/>
        <v>9.7379999999999765</v>
      </c>
      <c r="T769" s="357">
        <f t="shared" ca="1" si="320"/>
        <v>95.529779999999775</v>
      </c>
      <c r="U769" s="364">
        <f t="shared" ca="1" si="321"/>
        <v>0</v>
      </c>
      <c r="V769" s="359">
        <f t="shared" ca="1" si="322"/>
        <v>0.96805450986249275</v>
      </c>
      <c r="W769" s="357">
        <f t="shared" ca="1" si="323"/>
        <v>16.207618239188474</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7.3577313086626752</v>
      </c>
      <c r="AH769" s="357">
        <f t="shared" ca="1" si="347"/>
        <v>-1.6346752551428863</v>
      </c>
    </row>
    <row r="770" spans="1:34" x14ac:dyDescent="0.25">
      <c r="A770" s="402">
        <f t="shared" ca="1" si="325"/>
        <v>0.1</v>
      </c>
      <c r="B770" s="357">
        <f t="shared" ca="1" si="326"/>
        <v>31.600000000000119</v>
      </c>
      <c r="C770" s="342"/>
      <c r="D770" s="359">
        <f t="shared" ca="1" si="327"/>
        <v>-0.65824336237606873</v>
      </c>
      <c r="E770" s="360">
        <f t="shared" ca="1" si="328"/>
        <v>-8.2813282160863402</v>
      </c>
      <c r="F770" s="357">
        <f t="shared" ca="1" si="329"/>
        <v>8.3074473423946493</v>
      </c>
      <c r="G770" s="359">
        <f t="shared" ca="1" si="330"/>
        <v>33.948115888313637</v>
      </c>
      <c r="H770" s="360">
        <f t="shared" ca="1" si="331"/>
        <v>-79.820422988130431</v>
      </c>
      <c r="I770" s="357">
        <f t="shared" ca="1" si="332"/>
        <v>86.739693902909494</v>
      </c>
      <c r="J770" s="359">
        <f t="shared" ca="1" si="333"/>
        <v>1316.2634889099988</v>
      </c>
      <c r="K770" s="360">
        <f t="shared" ca="1" si="334"/>
        <v>2335.3252428873279</v>
      </c>
      <c r="L770" s="357">
        <f t="shared" ca="1" si="319"/>
        <v>2680.7263124579276</v>
      </c>
      <c r="M770" s="359">
        <f t="shared" ca="1" si="335"/>
        <v>-1.1686664057221248</v>
      </c>
      <c r="N770" s="357">
        <f t="shared" ca="1" si="336"/>
        <v>-66.959652706601275</v>
      </c>
      <c r="O770" s="343"/>
      <c r="P770" s="363">
        <f t="shared" ca="1" si="337"/>
        <v>23</v>
      </c>
      <c r="Q770" s="357">
        <f t="shared" ca="1" si="338"/>
        <v>0</v>
      </c>
      <c r="R770" s="359">
        <f t="shared" ca="1" si="339"/>
        <v>0</v>
      </c>
      <c r="S770" s="360">
        <f t="shared" ca="1" si="340"/>
        <v>9.7379999999999765</v>
      </c>
      <c r="T770" s="357">
        <f t="shared" ca="1" si="320"/>
        <v>95.529779999999775</v>
      </c>
      <c r="U770" s="364">
        <f t="shared" ca="1" si="321"/>
        <v>0</v>
      </c>
      <c r="V770" s="359">
        <f t="shared" ca="1" si="322"/>
        <v>0.96883418271932376</v>
      </c>
      <c r="W770" s="357">
        <f t="shared" ca="1" si="323"/>
        <v>16.499274258519325</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7.3458192240038436</v>
      </c>
      <c r="AH770" s="357">
        <f t="shared" ca="1" si="347"/>
        <v>-1.6643682726626117</v>
      </c>
    </row>
    <row r="771" spans="1:34" x14ac:dyDescent="0.25">
      <c r="A771" s="402">
        <f t="shared" ca="1" si="325"/>
        <v>0.1</v>
      </c>
      <c r="B771" s="357">
        <f t="shared" ca="1" si="326"/>
        <v>31.70000000000012</v>
      </c>
      <c r="C771" s="342"/>
      <c r="D771" s="359">
        <f t="shared" ca="1" si="327"/>
        <v>-0.6631211232269496</v>
      </c>
      <c r="E771" s="360">
        <f t="shared" ca="1" si="328"/>
        <v>-8.2508381094704522</v>
      </c>
      <c r="F771" s="357">
        <f t="shared" ca="1" si="329"/>
        <v>8.2774427894585738</v>
      </c>
      <c r="G771" s="359">
        <f t="shared" ca="1" si="330"/>
        <v>33.881803775990946</v>
      </c>
      <c r="H771" s="360">
        <f t="shared" ca="1" si="331"/>
        <v>-80.645506799077481</v>
      </c>
      <c r="I771" s="357">
        <f t="shared" ca="1" si="332"/>
        <v>87.473849772345147</v>
      </c>
      <c r="J771" s="359">
        <f t="shared" ca="1" si="333"/>
        <v>1319.6549848932141</v>
      </c>
      <c r="K771" s="360">
        <f t="shared" ca="1" si="334"/>
        <v>2327.3019463979676</v>
      </c>
      <c r="L771" s="357">
        <f t="shared" ca="1" si="319"/>
        <v>2675.4109271028401</v>
      </c>
      <c r="M771" s="359">
        <f t="shared" ca="1" si="335"/>
        <v>-1.1730556520271131</v>
      </c>
      <c r="N771" s="357">
        <f t="shared" ca="1" si="336"/>
        <v>-67.211137995120495</v>
      </c>
      <c r="O771" s="343"/>
      <c r="P771" s="363">
        <f t="shared" ca="1" si="337"/>
        <v>23</v>
      </c>
      <c r="Q771" s="357">
        <f t="shared" ca="1" si="338"/>
        <v>0</v>
      </c>
      <c r="R771" s="359">
        <f t="shared" ca="1" si="339"/>
        <v>0</v>
      </c>
      <c r="S771" s="360">
        <f t="shared" ca="1" si="340"/>
        <v>9.7379999999999765</v>
      </c>
      <c r="T771" s="357">
        <f t="shared" ca="1" si="320"/>
        <v>95.529779999999775</v>
      </c>
      <c r="U771" s="364">
        <f t="shared" ca="1" si="321"/>
        <v>0</v>
      </c>
      <c r="V771" s="359">
        <f t="shared" ca="1" si="322"/>
        <v>0.96962253512028573</v>
      </c>
      <c r="W771" s="357">
        <f t="shared" ca="1" si="323"/>
        <v>16.793406448098001</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7.3331325780005434</v>
      </c>
      <c r="AH771" s="357">
        <f t="shared" ca="1" si="347"/>
        <v>-1.69431857245013</v>
      </c>
    </row>
    <row r="772" spans="1:34" x14ac:dyDescent="0.25">
      <c r="A772" s="402">
        <f t="shared" ca="1" si="325"/>
        <v>0.1</v>
      </c>
      <c r="B772" s="357">
        <f t="shared" ca="1" si="326"/>
        <v>31.800000000000122</v>
      </c>
      <c r="C772" s="342"/>
      <c r="D772" s="359">
        <f t="shared" ca="1" si="327"/>
        <v>-0.66797054404415557</v>
      </c>
      <c r="E772" s="360">
        <f t="shared" ca="1" si="328"/>
        <v>-8.2200957727206809</v>
      </c>
      <c r="F772" s="357">
        <f t="shared" ca="1" si="329"/>
        <v>8.2471909860516188</v>
      </c>
      <c r="G772" s="359">
        <f t="shared" ca="1" si="330"/>
        <v>33.815006721586528</v>
      </c>
      <c r="H772" s="360">
        <f t="shared" ca="1" si="331"/>
        <v>-81.46751637634955</v>
      </c>
      <c r="I772" s="357">
        <f t="shared" ca="1" si="332"/>
        <v>88.206637528656117</v>
      </c>
      <c r="J772" s="359">
        <f t="shared" ca="1" si="333"/>
        <v>1323.039825418093</v>
      </c>
      <c r="K772" s="360">
        <f t="shared" ca="1" si="334"/>
        <v>2319.1962952391964</v>
      </c>
      <c r="L772" s="357">
        <f t="shared" ref="L772:L835" ca="1" si="348">SQRT(pos_x^2+pos_z^2)</f>
        <v>2670.0385456943409</v>
      </c>
      <c r="M772" s="359">
        <f t="shared" ca="1" si="335"/>
        <v>-1.1773634702208757</v>
      </c>
      <c r="N772" s="357">
        <f t="shared" ca="1" si="336"/>
        <v>-67.457957796532767</v>
      </c>
      <c r="O772" s="343"/>
      <c r="P772" s="363">
        <f t="shared" ca="1" si="337"/>
        <v>23</v>
      </c>
      <c r="Q772" s="357">
        <f t="shared" ca="1" si="338"/>
        <v>0</v>
      </c>
      <c r="R772" s="359">
        <f t="shared" ca="1" si="339"/>
        <v>0</v>
      </c>
      <c r="S772" s="360">
        <f t="shared" ca="1" si="340"/>
        <v>9.7379999999999765</v>
      </c>
      <c r="T772" s="357">
        <f t="shared" ref="T772:T835" ca="1" si="349">m*g</f>
        <v>95.529779999999775</v>
      </c>
      <c r="U772" s="364">
        <f t="shared" ref="U772:U835" ca="1" si="350">IF(pos_xz&lt;L_rampe,Poids*COS(Beta),0)</f>
        <v>0</v>
      </c>
      <c r="V772" s="359">
        <f t="shared" ref="V772:V835" ca="1" si="351">Rho_moyen*(20000-Alt_rampe-pos_z)/(20000+Alt_rampe+pos_z)</f>
        <v>0.97041955506937161</v>
      </c>
      <c r="W772" s="357">
        <f t="shared" ref="W772:W835" ca="1" si="352">1/2*Rho*Sref*Cx*vit_xz^2</f>
        <v>17.089985379511646</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7.3196931916559222</v>
      </c>
      <c r="AH772" s="357">
        <f t="shared" ca="1" si="347"/>
        <v>-1.7245231513758514</v>
      </c>
    </row>
    <row r="773" spans="1:34" x14ac:dyDescent="0.25">
      <c r="A773" s="402">
        <f t="shared" ref="A773:A836" ca="1" si="354">IF(B772+0.01&lt;=T_ini+ROUNDUP(Temps_fin_propu,0), 0.01, IF(K772&gt;0, 0.1, 0.0001))</f>
        <v>0.1</v>
      </c>
      <c r="B773" s="357">
        <f t="shared" ref="B773:B836" ca="1" si="355">B772+pas</f>
        <v>31.900000000000123</v>
      </c>
      <c r="C773" s="342"/>
      <c r="D773" s="359">
        <f t="shared" ref="D773:D836" ca="1" si="356">IF(AND(L772&lt;L_rampe,Poussee&lt;Poids*SIN(M772)),0,(-W772+Poussee)/m*COS(M772)-U772/m*SIN(M772))</f>
        <v>-0.67279093635811094</v>
      </c>
      <c r="E773" s="360">
        <f t="shared" ref="E773:E836" ca="1" si="357">IF(AND(L772&lt;L_rampe,Poussee&lt;Poids*SIN(M772)),0,(-W772+Poussee)/m*SIN(M772)+U772/m*COS(M772)-Poids/m)</f>
        <v>-8.1891040742090286</v>
      </c>
      <c r="F773" s="357">
        <f t="shared" ref="F773:F836" ca="1" si="358">SQRT(acc_x^2+acc_z^2)</f>
        <v>8.2166947845391292</v>
      </c>
      <c r="G773" s="359">
        <f t="shared" ref="G773:G836" ca="1" si="359">G772+acc_x*pas</f>
        <v>33.747727627950717</v>
      </c>
      <c r="H773" s="360">
        <f t="shared" ref="H773:H836" ca="1" si="360">H772+acc_z*pas</f>
        <v>-82.286426783770452</v>
      </c>
      <c r="I773" s="357">
        <f t="shared" ref="I773:I836" ca="1" si="361">SQRT(vit_x^2+vit_z^2)</f>
        <v>88.937984870870352</v>
      </c>
      <c r="J773" s="359">
        <f t="shared" ref="J773:J836" ca="1" si="362">J772+0.5*(vit_x+G772)*pas*(K772&gt;=0)</f>
        <v>1326.4179621355697</v>
      </c>
      <c r="K773" s="360">
        <f t="shared" ref="K773:K836" ca="1" si="363">K772+0.5*(vit_z+H772)*pas</f>
        <v>2311.0085980811905</v>
      </c>
      <c r="L773" s="357">
        <f t="shared" ca="1" si="348"/>
        <v>2664.6097933245437</v>
      </c>
      <c r="M773" s="359">
        <f t="shared" ref="M773:M836" ca="1" si="364">IF(AND(L772&gt;L_rampe,G773&gt;0),ATAN2(G773,H773),$M$4)</f>
        <v>-1.1815920178593089</v>
      </c>
      <c r="N773" s="357">
        <f t="shared" ref="N773:N836" ca="1" si="365">DEGREES(Beta)</f>
        <v>-67.700235729684991</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9.7379999999999765</v>
      </c>
      <c r="T773" s="357">
        <f t="shared" ca="1" si="349"/>
        <v>95.529779999999775</v>
      </c>
      <c r="U773" s="364">
        <f t="shared" ca="1" si="350"/>
        <v>0</v>
      </c>
      <c r="V773" s="359">
        <f t="shared" ca="1" si="351"/>
        <v>0.97122523045480535</v>
      </c>
      <c r="W773" s="357">
        <f t="shared" ca="1" si="352"/>
        <v>17.388981444879263</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7.3055221046005174</v>
      </c>
      <c r="AH773" s="357">
        <f t="shared" ref="AH773:AH836" ca="1" si="376">IF(AND(L772&lt;L_rampe,Poussee&lt;Poids*SIN(M772)), g*SIN(M772), (-W772+Poussee)/m)</f>
        <v>-1.7549789874216151</v>
      </c>
    </row>
    <row r="774" spans="1:34" x14ac:dyDescent="0.25">
      <c r="A774" s="402">
        <f t="shared" ca="1" si="354"/>
        <v>0.1</v>
      </c>
      <c r="B774" s="357">
        <f t="shared" ca="1" si="355"/>
        <v>32.000000000000121</v>
      </c>
      <c r="C774" s="342"/>
      <c r="D774" s="359">
        <f t="shared" ca="1" si="356"/>
        <v>-0.67758163124538606</v>
      </c>
      <c r="E774" s="360">
        <f t="shared" ca="1" si="357"/>
        <v>-8.1578659095457784</v>
      </c>
      <c r="F774" s="357">
        <f t="shared" ca="1" si="358"/>
        <v>8.1859570647011299</v>
      </c>
      <c r="G774" s="359">
        <f t="shared" ca="1" si="359"/>
        <v>33.679969464826179</v>
      </c>
      <c r="H774" s="360">
        <f t="shared" ca="1" si="360"/>
        <v>-83.102213374725025</v>
      </c>
      <c r="I774" s="357">
        <f t="shared" ca="1" si="361"/>
        <v>89.66782149093369</v>
      </c>
      <c r="J774" s="359">
        <f t="shared" ca="1" si="362"/>
        <v>1329.7893469902085</v>
      </c>
      <c r="K774" s="360">
        <f t="shared" ca="1" si="363"/>
        <v>2302.7391660732656</v>
      </c>
      <c r="L774" s="357">
        <f t="shared" ca="1" si="348"/>
        <v>2659.1253024888547</v>
      </c>
      <c r="M774" s="359">
        <f t="shared" ca="1" si="364"/>
        <v>-1.1857433825436978</v>
      </c>
      <c r="N774" s="357">
        <f t="shared" ca="1" si="365"/>
        <v>-67.938091405320137</v>
      </c>
      <c r="O774" s="343"/>
      <c r="P774" s="363">
        <f t="shared" ca="1" si="366"/>
        <v>23</v>
      </c>
      <c r="Q774" s="357">
        <f t="shared" ca="1" si="367"/>
        <v>0</v>
      </c>
      <c r="R774" s="359">
        <f t="shared" ca="1" si="368"/>
        <v>0</v>
      </c>
      <c r="S774" s="360">
        <f t="shared" ca="1" si="369"/>
        <v>9.7379999999999765</v>
      </c>
      <c r="T774" s="357">
        <f t="shared" ca="1" si="349"/>
        <v>95.529779999999775</v>
      </c>
      <c r="U774" s="364">
        <f t="shared" ca="1" si="350"/>
        <v>0</v>
      </c>
      <c r="V774" s="359">
        <f t="shared" ca="1" si="351"/>
        <v>0.97203954904957945</v>
      </c>
      <c r="W774" s="357">
        <f t="shared" ca="1" si="352"/>
        <v>17.690364861362799</v>
      </c>
      <c r="X774" s="343"/>
      <c r="Y774" s="367" t="str">
        <f t="shared" ca="1" si="370"/>
        <v/>
      </c>
      <c r="Z774" s="368" t="str">
        <f t="shared" ca="1" si="371"/>
        <v/>
      </c>
      <c r="AA774" s="369" t="str">
        <f t="shared" ca="1" si="372"/>
        <v/>
      </c>
      <c r="AB774" s="344"/>
      <c r="AC774" s="363">
        <f t="shared" ca="1" si="373"/>
        <v>32.000000000000121</v>
      </c>
      <c r="AD774" s="376">
        <f t="shared" ca="1" si="374"/>
        <v>1329.7893469902085</v>
      </c>
      <c r="AE774" s="377" t="e">
        <f t="shared" ca="1" si="353"/>
        <v>#N/A</v>
      </c>
      <c r="AF774" s="344"/>
      <c r="AG774" s="359">
        <f t="shared" ca="1" si="375"/>
        <v>7.2906396123334858</v>
      </c>
      <c r="AH774" s="357">
        <f t="shared" ca="1" si="376"/>
        <v>-1.7856830401395878</v>
      </c>
    </row>
    <row r="775" spans="1:34" x14ac:dyDescent="0.25">
      <c r="A775" s="402">
        <f t="shared" ca="1" si="354"/>
        <v>0.1</v>
      </c>
      <c r="B775" s="357">
        <f t="shared" ca="1" si="355"/>
        <v>32.100000000000122</v>
      </c>
      <c r="C775" s="342"/>
      <c r="D775" s="359">
        <f t="shared" ca="1" si="356"/>
        <v>-0.68234197875070679</v>
      </c>
      <c r="E775" s="360">
        <f t="shared" ca="1" si="357"/>
        <v>-8.1263842006480296</v>
      </c>
      <c r="F775" s="357">
        <f t="shared" ca="1" si="358"/>
        <v>8.1549807328103086</v>
      </c>
      <c r="G775" s="359">
        <f t="shared" ca="1" si="359"/>
        <v>33.611735266951108</v>
      </c>
      <c r="H775" s="360">
        <f t="shared" ca="1" si="360"/>
        <v>-83.914851794789826</v>
      </c>
      <c r="I775" s="357">
        <f t="shared" ca="1" si="361"/>
        <v>90.396079004551666</v>
      </c>
      <c r="J775" s="359">
        <f t="shared" ca="1" si="362"/>
        <v>1333.1539322267975</v>
      </c>
      <c r="K775" s="360">
        <f t="shared" ca="1" si="363"/>
        <v>2294.38831281479</v>
      </c>
      <c r="L775" s="357">
        <f t="shared" ca="1" si="348"/>
        <v>2653.585713142289</v>
      </c>
      <c r="M775" s="359">
        <f t="shared" ca="1" si="364"/>
        <v>-1.1898195844478352</v>
      </c>
      <c r="N775" s="357">
        <f t="shared" ca="1" si="365"/>
        <v>-68.171640570870395</v>
      </c>
      <c r="O775" s="343"/>
      <c r="P775" s="363">
        <f t="shared" ca="1" si="366"/>
        <v>23</v>
      </c>
      <c r="Q775" s="357">
        <f t="shared" ca="1" si="367"/>
        <v>0</v>
      </c>
      <c r="R775" s="359">
        <f t="shared" ca="1" si="368"/>
        <v>0</v>
      </c>
      <c r="S775" s="360">
        <f t="shared" ca="1" si="369"/>
        <v>9.7379999999999765</v>
      </c>
      <c r="T775" s="357">
        <f t="shared" ca="1" si="349"/>
        <v>95.529779999999775</v>
      </c>
      <c r="U775" s="364">
        <f t="shared" ca="1" si="350"/>
        <v>0</v>
      </c>
      <c r="V775" s="359">
        <f t="shared" ca="1" si="351"/>
        <v>0.97286249851200701</v>
      </c>
      <c r="W775" s="357">
        <f t="shared" ca="1" si="352"/>
        <v>17.994105675718707</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7.2750653015955322</v>
      </c>
      <c r="AH775" s="357">
        <f t="shared" ca="1" si="376"/>
        <v>-1.8166322511155104</v>
      </c>
    </row>
    <row r="776" spans="1:34" x14ac:dyDescent="0.25">
      <c r="A776" s="402">
        <f t="shared" ca="1" si="354"/>
        <v>0.1</v>
      </c>
      <c r="B776" s="357">
        <f t="shared" ca="1" si="355"/>
        <v>32.200000000000124</v>
      </c>
      <c r="C776" s="342"/>
      <c r="D776" s="359">
        <f t="shared" ca="1" si="356"/>
        <v>-0.68707134733684838</v>
      </c>
      <c r="E776" s="360">
        <f t="shared" ca="1" si="357"/>
        <v>-8.0946618948320648</v>
      </c>
      <c r="F776" s="357">
        <f t="shared" ca="1" si="358"/>
        <v>8.1237687207340841</v>
      </c>
      <c r="G776" s="359">
        <f t="shared" ca="1" si="359"/>
        <v>33.543028132217422</v>
      </c>
      <c r="H776" s="360">
        <f t="shared" ca="1" si="360"/>
        <v>-84.724317984273029</v>
      </c>
      <c r="I776" s="357">
        <f t="shared" ca="1" si="361"/>
        <v>91.122690885305516</v>
      </c>
      <c r="J776" s="359">
        <f t="shared" ca="1" si="362"/>
        <v>1336.5116703967558</v>
      </c>
      <c r="K776" s="360">
        <f t="shared" ca="1" si="363"/>
        <v>2285.9563543258369</v>
      </c>
      <c r="L776" s="357">
        <f t="shared" ca="1" si="348"/>
        <v>2647.9916727568079</v>
      </c>
      <c r="M776" s="359">
        <f t="shared" ca="1" si="364"/>
        <v>-1.1938225787538208</v>
      </c>
      <c r="N776" s="357">
        <f t="shared" ca="1" si="365"/>
        <v>-68.400995250018269</v>
      </c>
      <c r="O776" s="343"/>
      <c r="P776" s="363">
        <f t="shared" ca="1" si="366"/>
        <v>23</v>
      </c>
      <c r="Q776" s="357">
        <f t="shared" ca="1" si="367"/>
        <v>0</v>
      </c>
      <c r="R776" s="359">
        <f t="shared" ca="1" si="368"/>
        <v>0</v>
      </c>
      <c r="S776" s="360">
        <f t="shared" ca="1" si="369"/>
        <v>9.7379999999999765</v>
      </c>
      <c r="T776" s="357">
        <f t="shared" ca="1" si="349"/>
        <v>95.529779999999775</v>
      </c>
      <c r="U776" s="364">
        <f t="shared" ca="1" si="350"/>
        <v>0</v>
      </c>
      <c r="V776" s="359">
        <f t="shared" ca="1" si="351"/>
        <v>0.97369406638628764</v>
      </c>
      <c r="W776" s="357">
        <f t="shared" ca="1" si="352"/>
        <v>18.300173768888246</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7.2588180839628231</v>
      </c>
      <c r="AH776" s="357">
        <f t="shared" ca="1" si="376"/>
        <v>-1.8478235444361009</v>
      </c>
    </row>
    <row r="777" spans="1:34" x14ac:dyDescent="0.25">
      <c r="A777" s="402">
        <f t="shared" ca="1" si="354"/>
        <v>0.1</v>
      </c>
      <c r="B777" s="357">
        <f t="shared" ca="1" si="355"/>
        <v>32.300000000000125</v>
      </c>
      <c r="C777" s="342"/>
      <c r="D777" s="359">
        <f t="shared" ca="1" si="356"/>
        <v>-0.69176912336096119</v>
      </c>
      <c r="E777" s="360">
        <f t="shared" ca="1" si="357"/>
        <v>-8.0627019639278661</v>
      </c>
      <c r="F777" s="357">
        <f t="shared" ca="1" si="358"/>
        <v>8.0923239850590427</v>
      </c>
      <c r="G777" s="359">
        <f t="shared" ca="1" si="359"/>
        <v>33.473851219881325</v>
      </c>
      <c r="H777" s="360">
        <f t="shared" ca="1" si="360"/>
        <v>-85.530588180665816</v>
      </c>
      <c r="I777" s="357">
        <f t="shared" ca="1" si="361"/>
        <v>91.847592401877364</v>
      </c>
      <c r="J777" s="359">
        <f t="shared" ca="1" si="362"/>
        <v>1339.8625143643608</v>
      </c>
      <c r="K777" s="360">
        <f t="shared" ca="1" si="363"/>
        <v>2277.44360901759</v>
      </c>
      <c r="L777" s="357">
        <f t="shared" ca="1" si="348"/>
        <v>2642.3438363797113</v>
      </c>
      <c r="M777" s="359">
        <f t="shared" ca="1" si="364"/>
        <v>-1.1977542579990315</v>
      </c>
      <c r="N777" s="357">
        <f t="shared" ca="1" si="365"/>
        <v>-68.626263877168029</v>
      </c>
      <c r="O777" s="343"/>
      <c r="P777" s="363">
        <f t="shared" ca="1" si="366"/>
        <v>23</v>
      </c>
      <c r="Q777" s="357">
        <f t="shared" ca="1" si="367"/>
        <v>0</v>
      </c>
      <c r="R777" s="359">
        <f t="shared" ca="1" si="368"/>
        <v>0</v>
      </c>
      <c r="S777" s="360">
        <f t="shared" ca="1" si="369"/>
        <v>9.7379999999999765</v>
      </c>
      <c r="T777" s="357">
        <f t="shared" ca="1" si="349"/>
        <v>95.529779999999775</v>
      </c>
      <c r="U777" s="364">
        <f t="shared" ca="1" si="350"/>
        <v>0</v>
      </c>
      <c r="V777" s="359">
        <f t="shared" ca="1" si="351"/>
        <v>0.97453424010309253</v>
      </c>
      <c r="W777" s="357">
        <f t="shared" ca="1" si="352"/>
        <v>18.608538860624797</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7.2419162277479163</v>
      </c>
      <c r="AH777" s="357">
        <f t="shared" ca="1" si="376"/>
        <v>-1.8792538271604324</v>
      </c>
    </row>
    <row r="778" spans="1:34" x14ac:dyDescent="0.25">
      <c r="A778" s="402">
        <f t="shared" ca="1" si="354"/>
        <v>0.1</v>
      </c>
      <c r="B778" s="357">
        <f t="shared" ca="1" si="355"/>
        <v>32.400000000000126</v>
      </c>
      <c r="C778" s="342"/>
      <c r="D778" s="359">
        <f t="shared" ca="1" si="356"/>
        <v>-0.6964347105759453</v>
      </c>
      <c r="E778" s="360">
        <f t="shared" ca="1" si="357"/>
        <v>-8.0305074034142301</v>
      </c>
      <c r="F778" s="357">
        <f t="shared" ca="1" si="358"/>
        <v>8.0606495062361923</v>
      </c>
      <c r="G778" s="359">
        <f t="shared" ca="1" si="359"/>
        <v>33.40420774882373</v>
      </c>
      <c r="H778" s="360">
        <f t="shared" ca="1" si="360"/>
        <v>-86.333638921007235</v>
      </c>
      <c r="I778" s="357">
        <f t="shared" ca="1" si="361"/>
        <v>92.570720558227436</v>
      </c>
      <c r="J778" s="359">
        <f t="shared" ca="1" si="362"/>
        <v>1343.206417312796</v>
      </c>
      <c r="K778" s="360">
        <f t="shared" ca="1" si="363"/>
        <v>2268.8503976625066</v>
      </c>
      <c r="L778" s="357">
        <f t="shared" ca="1" si="348"/>
        <v>2636.6428666930969</v>
      </c>
      <c r="M778" s="359">
        <f t="shared" ca="1" si="364"/>
        <v>-1.2016164543368089</v>
      </c>
      <c r="N778" s="357">
        <f t="shared" ca="1" si="365"/>
        <v>-68.847551426973553</v>
      </c>
      <c r="O778" s="343"/>
      <c r="P778" s="363">
        <f t="shared" ca="1" si="366"/>
        <v>23</v>
      </c>
      <c r="Q778" s="357">
        <f t="shared" ca="1" si="367"/>
        <v>0</v>
      </c>
      <c r="R778" s="359">
        <f t="shared" ca="1" si="368"/>
        <v>0</v>
      </c>
      <c r="S778" s="360">
        <f t="shared" ca="1" si="369"/>
        <v>9.7379999999999765</v>
      </c>
      <c r="T778" s="357">
        <f t="shared" ca="1" si="349"/>
        <v>95.529779999999775</v>
      </c>
      <c r="U778" s="364">
        <f t="shared" ca="1" si="350"/>
        <v>0</v>
      </c>
      <c r="V778" s="359">
        <f t="shared" ca="1" si="351"/>
        <v>0.975383006980162</v>
      </c>
      <c r="W778" s="357">
        <f t="shared" ca="1" si="352"/>
        <v>18.919170514156555</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7.2243773882903373</v>
      </c>
      <c r="AH778" s="357">
        <f t="shared" ca="1" si="376"/>
        <v>-1.9109199897951163</v>
      </c>
    </row>
    <row r="779" spans="1:34" x14ac:dyDescent="0.25">
      <c r="A779" s="402">
        <f t="shared" ca="1" si="354"/>
        <v>0.1</v>
      </c>
      <c r="B779" s="357">
        <f t="shared" ca="1" si="355"/>
        <v>32.500000000000128</v>
      </c>
      <c r="C779" s="342"/>
      <c r="D779" s="359">
        <f t="shared" ca="1" si="356"/>
        <v>-0.70106752965556074</v>
      </c>
      <c r="E779" s="360">
        <f t="shared" ca="1" si="357"/>
        <v>-7.9980812315730789</v>
      </c>
      <c r="F779" s="357">
        <f t="shared" ca="1" si="358"/>
        <v>8.0287482877456604</v>
      </c>
      <c r="G779" s="359">
        <f t="shared" ca="1" si="359"/>
        <v>33.334100995858172</v>
      </c>
      <c r="H779" s="360">
        <f t="shared" ca="1" si="360"/>
        <v>-87.133447044164541</v>
      </c>
      <c r="I779" s="357">
        <f t="shared" ca="1" si="361"/>
        <v>93.292014036573889</v>
      </c>
      <c r="J779" s="359">
        <f t="shared" ca="1" si="362"/>
        <v>1346.54333275003</v>
      </c>
      <c r="K779" s="360">
        <f t="shared" ca="1" si="363"/>
        <v>2260.1770433642478</v>
      </c>
      <c r="L779" s="357">
        <f t="shared" ca="1" si="348"/>
        <v>2630.8894340743987</v>
      </c>
      <c r="M779" s="359">
        <f t="shared" ca="1" si="364"/>
        <v>-1.2054109417134453</v>
      </c>
      <c r="N779" s="357">
        <f t="shared" ca="1" si="365"/>
        <v>-69.064959539070486</v>
      </c>
      <c r="O779" s="343"/>
      <c r="P779" s="363">
        <f t="shared" ca="1" si="366"/>
        <v>23</v>
      </c>
      <c r="Q779" s="357">
        <f t="shared" ca="1" si="367"/>
        <v>0</v>
      </c>
      <c r="R779" s="359">
        <f t="shared" ca="1" si="368"/>
        <v>0</v>
      </c>
      <c r="S779" s="360">
        <f t="shared" ca="1" si="369"/>
        <v>9.7379999999999765</v>
      </c>
      <c r="T779" s="357">
        <f t="shared" ca="1" si="349"/>
        <v>95.529779999999775</v>
      </c>
      <c r="U779" s="364">
        <f t="shared" ca="1" si="350"/>
        <v>0</v>
      </c>
      <c r="V779" s="359">
        <f t="shared" ca="1" si="351"/>
        <v>0.97624035422291877</v>
      </c>
      <c r="W779" s="357">
        <f t="shared" ca="1" si="352"/>
        <v>19.232038140882732</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7.2062186367161996</v>
      </c>
      <c r="AH779" s="357">
        <f t="shared" ca="1" si="376"/>
        <v>-1.9428189067731156</v>
      </c>
    </row>
    <row r="780" spans="1:34" x14ac:dyDescent="0.25">
      <c r="A780" s="402">
        <f t="shared" ca="1" si="354"/>
        <v>0.1</v>
      </c>
      <c r="B780" s="357">
        <f t="shared" ca="1" si="355"/>
        <v>32.600000000000129</v>
      </c>
      <c r="C780" s="342"/>
      <c r="D780" s="359">
        <f t="shared" ca="1" si="356"/>
        <v>-0.70566701774202156</v>
      </c>
      <c r="E780" s="360">
        <f t="shared" ca="1" si="357"/>
        <v>-7.9654264886616311</v>
      </c>
      <c r="F780" s="357">
        <f t="shared" ca="1" si="358"/>
        <v>7.9966233552794819</v>
      </c>
      <c r="G780" s="359">
        <f t="shared" ca="1" si="359"/>
        <v>33.263534294083968</v>
      </c>
      <c r="H780" s="360">
        <f t="shared" ca="1" si="360"/>
        <v>-87.929989693030706</v>
      </c>
      <c r="I780" s="357">
        <f t="shared" ca="1" si="361"/>
        <v>94.011413143033778</v>
      </c>
      <c r="J780" s="359">
        <f t="shared" ca="1" si="362"/>
        <v>1349.873214514527</v>
      </c>
      <c r="K780" s="360">
        <f t="shared" ca="1" si="363"/>
        <v>2251.4238715273882</v>
      </c>
      <c r="L780" s="357">
        <f t="shared" ca="1" si="348"/>
        <v>2625.0842166580401</v>
      </c>
      <c r="M780" s="359">
        <f t="shared" ca="1" si="364"/>
        <v>-1.2091394379640721</v>
      </c>
      <c r="N780" s="357">
        <f t="shared" ca="1" si="365"/>
        <v>-69.278586638161755</v>
      </c>
      <c r="O780" s="343"/>
      <c r="P780" s="363">
        <f t="shared" ca="1" si="366"/>
        <v>23</v>
      </c>
      <c r="Q780" s="357">
        <f t="shared" ca="1" si="367"/>
        <v>0</v>
      </c>
      <c r="R780" s="359">
        <f t="shared" ca="1" si="368"/>
        <v>0</v>
      </c>
      <c r="S780" s="360">
        <f t="shared" ca="1" si="369"/>
        <v>9.7379999999999765</v>
      </c>
      <c r="T780" s="357">
        <f t="shared" ca="1" si="349"/>
        <v>95.529779999999775</v>
      </c>
      <c r="U780" s="364">
        <f t="shared" ca="1" si="350"/>
        <v>0</v>
      </c>
      <c r="V780" s="359">
        <f t="shared" ca="1" si="351"/>
        <v>0.97710626892509633</v>
      </c>
      <c r="W780" s="357">
        <f t="shared" ca="1" si="352"/>
        <v>19.547111005101897</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7.1874564872428612</v>
      </c>
      <c r="AH780" s="357">
        <f t="shared" ca="1" si="376"/>
        <v>-1.9749474369360012</v>
      </c>
    </row>
    <row r="781" spans="1:34" x14ac:dyDescent="0.25">
      <c r="A781" s="402">
        <f t="shared" ca="1" si="354"/>
        <v>0.1</v>
      </c>
      <c r="B781" s="357">
        <f t="shared" ca="1" si="355"/>
        <v>32.700000000000131</v>
      </c>
      <c r="C781" s="342"/>
      <c r="D781" s="359">
        <f t="shared" ca="1" si="356"/>
        <v>-0.71023262801489262</v>
      </c>
      <c r="E781" s="360">
        <f t="shared" ca="1" si="357"/>
        <v>-7.9325462361012349</v>
      </c>
      <c r="F781" s="357">
        <f t="shared" ca="1" si="358"/>
        <v>7.9642777559412634</v>
      </c>
      <c r="G781" s="359">
        <f t="shared" ca="1" si="359"/>
        <v>33.192511031282478</v>
      </c>
      <c r="H781" s="360">
        <f t="shared" ca="1" si="360"/>
        <v>-88.72324431664083</v>
      </c>
      <c r="I781" s="357">
        <f t="shared" ca="1" si="361"/>
        <v>94.728859755790097</v>
      </c>
      <c r="J781" s="359">
        <f t="shared" ca="1" si="362"/>
        <v>1353.1960167807954</v>
      </c>
      <c r="K781" s="360">
        <f t="shared" ca="1" si="363"/>
        <v>2242.5912098269046</v>
      </c>
      <c r="L781" s="357">
        <f t="shared" ca="1" si="348"/>
        <v>2619.2279003981898</v>
      </c>
      <c r="M781" s="359">
        <f t="shared" ca="1" si="364"/>
        <v>-1.2128036068300481</v>
      </c>
      <c r="N781" s="357">
        <f t="shared" ca="1" si="365"/>
        <v>-69.488528049605421</v>
      </c>
      <c r="O781" s="343"/>
      <c r="P781" s="363">
        <f t="shared" ca="1" si="366"/>
        <v>23</v>
      </c>
      <c r="Q781" s="357">
        <f t="shared" ca="1" si="367"/>
        <v>0</v>
      </c>
      <c r="R781" s="359">
        <f t="shared" ca="1" si="368"/>
        <v>0</v>
      </c>
      <c r="S781" s="360">
        <f t="shared" ca="1" si="369"/>
        <v>9.7379999999999765</v>
      </c>
      <c r="T781" s="357">
        <f t="shared" ca="1" si="349"/>
        <v>95.529779999999775</v>
      </c>
      <c r="U781" s="364">
        <f t="shared" ca="1" si="350"/>
        <v>0</v>
      </c>
      <c r="V781" s="359">
        <f t="shared" ca="1" si="351"/>
        <v>0.97798073806938113</v>
      </c>
      <c r="W781" s="357">
        <f t="shared" ca="1" si="352"/>
        <v>19.86435822877062</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7.1681069231013357</v>
      </c>
      <c r="AH781" s="357">
        <f t="shared" ca="1" si="376"/>
        <v>-2.0073024240195054</v>
      </c>
    </row>
    <row r="782" spans="1:34" x14ac:dyDescent="0.25">
      <c r="A782" s="402">
        <f t="shared" ca="1" si="354"/>
        <v>0.1</v>
      </c>
      <c r="B782" s="357">
        <f t="shared" ca="1" si="355"/>
        <v>32.800000000000132</v>
      </c>
      <c r="C782" s="342"/>
      <c r="D782" s="359">
        <f t="shared" ca="1" si="356"/>
        <v>-0.71476382928016657</v>
      </c>
      <c r="E782" s="360">
        <f t="shared" ca="1" si="357"/>
        <v>-7.8994435556817315</v>
      </c>
      <c r="F782" s="357">
        <f t="shared" ca="1" si="358"/>
        <v>7.931714557461639</v>
      </c>
      <c r="G782" s="359">
        <f t="shared" ca="1" si="359"/>
        <v>33.12103464835446</v>
      </c>
      <c r="H782" s="360">
        <f t="shared" ca="1" si="360"/>
        <v>-89.513188672208997</v>
      </c>
      <c r="I782" s="357">
        <f t="shared" ca="1" si="361"/>
        <v>95.444297275656979</v>
      </c>
      <c r="J782" s="359">
        <f t="shared" ca="1" si="362"/>
        <v>1356.5116940647772</v>
      </c>
      <c r="K782" s="360">
        <f t="shared" ca="1" si="363"/>
        <v>2233.679388177462</v>
      </c>
      <c r="L782" s="357">
        <f t="shared" ca="1" si="348"/>
        <v>2613.321179132663</v>
      </c>
      <c r="M782" s="359">
        <f t="shared" ca="1" si="364"/>
        <v>-1.2164050599004446</v>
      </c>
      <c r="N782" s="357">
        <f t="shared" ca="1" si="365"/>
        <v>-69.694876110653567</v>
      </c>
      <c r="O782" s="343"/>
      <c r="P782" s="363">
        <f t="shared" ca="1" si="366"/>
        <v>23</v>
      </c>
      <c r="Q782" s="357">
        <f t="shared" ca="1" si="367"/>
        <v>0</v>
      </c>
      <c r="R782" s="359">
        <f t="shared" ca="1" si="368"/>
        <v>0</v>
      </c>
      <c r="S782" s="360">
        <f t="shared" ca="1" si="369"/>
        <v>9.7379999999999765</v>
      </c>
      <c r="T782" s="357">
        <f t="shared" ca="1" si="349"/>
        <v>95.529779999999775</v>
      </c>
      <c r="U782" s="364">
        <f t="shared" ca="1" si="350"/>
        <v>0</v>
      </c>
      <c r="V782" s="359">
        <f t="shared" ca="1" si="351"/>
        <v>0.97886374852806712</v>
      </c>
      <c r="W782" s="357">
        <f t="shared" ca="1" si="352"/>
        <v>20.183748796290818</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7.1481854211459757</v>
      </c>
      <c r="AH782" s="357">
        <f t="shared" ca="1" si="376"/>
        <v>-2.0398806971421921</v>
      </c>
    </row>
    <row r="783" spans="1:34" x14ac:dyDescent="0.25">
      <c r="A783" s="402">
        <f t="shared" ca="1" si="354"/>
        <v>0.1</v>
      </c>
      <c r="B783" s="357">
        <f t="shared" ca="1" si="355"/>
        <v>32.900000000000134</v>
      </c>
      <c r="C783" s="342"/>
      <c r="D783" s="359">
        <f t="shared" ca="1" si="356"/>
        <v>-0.71926010557844355</v>
      </c>
      <c r="E783" s="360">
        <f t="shared" ca="1" si="357"/>
        <v>-7.8661215487803338</v>
      </c>
      <c r="F783" s="357">
        <f t="shared" ca="1" si="358"/>
        <v>7.898936847428458</v>
      </c>
      <c r="G783" s="359">
        <f t="shared" ca="1" si="359"/>
        <v>33.049108637796614</v>
      </c>
      <c r="H783" s="360">
        <f t="shared" ca="1" si="360"/>
        <v>-90.299800827087026</v>
      </c>
      <c r="I783" s="357">
        <f t="shared" ca="1" si="361"/>
        <v>96.157670578921937</v>
      </c>
      <c r="J783" s="359">
        <f t="shared" ca="1" si="362"/>
        <v>1359.8202012290847</v>
      </c>
      <c r="K783" s="360">
        <f t="shared" ca="1" si="363"/>
        <v>2224.6887387024972</v>
      </c>
      <c r="L783" s="357">
        <f t="shared" ca="1" si="348"/>
        <v>2607.3647546479601</v>
      </c>
      <c r="M783" s="359">
        <f t="shared" ca="1" si="364"/>
        <v>-1.219945358480192</v>
      </c>
      <c r="N783" s="357">
        <f t="shared" ca="1" si="365"/>
        <v>-69.897720277489256</v>
      </c>
      <c r="O783" s="343"/>
      <c r="P783" s="363">
        <f t="shared" ca="1" si="366"/>
        <v>23</v>
      </c>
      <c r="Q783" s="357">
        <f t="shared" ca="1" si="367"/>
        <v>0</v>
      </c>
      <c r="R783" s="359">
        <f t="shared" ca="1" si="368"/>
        <v>0</v>
      </c>
      <c r="S783" s="360">
        <f t="shared" ca="1" si="369"/>
        <v>9.7379999999999765</v>
      </c>
      <c r="T783" s="357">
        <f t="shared" ca="1" si="349"/>
        <v>95.529779999999775</v>
      </c>
      <c r="U783" s="364">
        <f t="shared" ca="1" si="350"/>
        <v>0</v>
      </c>
      <c r="V783" s="359">
        <f t="shared" ca="1" si="351"/>
        <v>0.97975528706372683</v>
      </c>
      <c r="W783" s="357">
        <f t="shared" ca="1" si="352"/>
        <v>20.505251559324432</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7.1277069752177855</v>
      </c>
      <c r="AH783" s="357">
        <f t="shared" ca="1" si="376"/>
        <v>-2.07267907129707</v>
      </c>
    </row>
    <row r="784" spans="1:34" x14ac:dyDescent="0.25">
      <c r="A784" s="402">
        <f t="shared" ca="1" si="354"/>
        <v>0.1</v>
      </c>
      <c r="B784" s="357">
        <f t="shared" ca="1" si="355"/>
        <v>33.000000000000135</v>
      </c>
      <c r="C784" s="342"/>
      <c r="D784" s="359">
        <f t="shared" ca="1" si="356"/>
        <v>-0.72372095581121354</v>
      </c>
      <c r="E784" s="360">
        <f t="shared" ca="1" si="357"/>
        <v>-7.8325833355940508</v>
      </c>
      <c r="F784" s="357">
        <f t="shared" ca="1" si="358"/>
        <v>7.8659477325307678</v>
      </c>
      <c r="G784" s="359">
        <f t="shared" ca="1" si="359"/>
        <v>32.976736542215491</v>
      </c>
      <c r="H784" s="360">
        <f t="shared" ca="1" si="360"/>
        <v>-91.083059160646428</v>
      </c>
      <c r="I784" s="357">
        <f t="shared" ca="1" si="361"/>
        <v>96.868925972349402</v>
      </c>
      <c r="J784" s="359">
        <f t="shared" ca="1" si="362"/>
        <v>1363.1214934880852</v>
      </c>
      <c r="K784" s="360">
        <f t="shared" ca="1" si="363"/>
        <v>2215.6195957031105</v>
      </c>
      <c r="L784" s="357">
        <f t="shared" ca="1" si="348"/>
        <v>2601.3593367454641</v>
      </c>
      <c r="M784" s="359">
        <f t="shared" ca="1" si="364"/>
        <v>-1.2234260153874232</v>
      </c>
      <c r="N784" s="357">
        <f t="shared" ca="1" si="365"/>
        <v>-70.097147228206666</v>
      </c>
      <c r="O784" s="343"/>
      <c r="P784" s="363">
        <f t="shared" ca="1" si="366"/>
        <v>23</v>
      </c>
      <c r="Q784" s="357">
        <f t="shared" ca="1" si="367"/>
        <v>0</v>
      </c>
      <c r="R784" s="359">
        <f t="shared" ca="1" si="368"/>
        <v>0</v>
      </c>
      <c r="S784" s="360">
        <f t="shared" ca="1" si="369"/>
        <v>9.7379999999999765</v>
      </c>
      <c r="T784" s="357">
        <f t="shared" ca="1" si="349"/>
        <v>95.529779999999775</v>
      </c>
      <c r="U784" s="364">
        <f t="shared" ca="1" si="350"/>
        <v>0</v>
      </c>
      <c r="V784" s="359">
        <f t="shared" ca="1" si="351"/>
        <v>0.98065534032989388</v>
      </c>
      <c r="W784" s="357">
        <f t="shared" ca="1" si="352"/>
        <v>20.828835241633548</v>
      </c>
      <c r="X784" s="343"/>
      <c r="Y784" s="367" t="str">
        <f t="shared" ca="1" si="370"/>
        <v/>
      </c>
      <c r="Z784" s="368" t="str">
        <f t="shared" ca="1" si="371"/>
        <v/>
      </c>
      <c r="AA784" s="369" t="str">
        <f t="shared" ca="1" si="372"/>
        <v/>
      </c>
      <c r="AB784" s="344"/>
      <c r="AC784" s="363">
        <f t="shared" ca="1" si="373"/>
        <v>33.000000000000135</v>
      </c>
      <c r="AD784" s="376">
        <f t="shared" ca="1" si="374"/>
        <v>1363.1214934880852</v>
      </c>
      <c r="AE784" s="377" t="e">
        <f t="shared" ca="1" si="353"/>
        <v>#N/A</v>
      </c>
      <c r="AF784" s="344"/>
      <c r="AG784" s="359">
        <f t="shared" ca="1" si="375"/>
        <v>7.1066861183245464</v>
      </c>
      <c r="AH784" s="357">
        <f t="shared" ca="1" si="376"/>
        <v>-2.1056943478460135</v>
      </c>
    </row>
    <row r="785" spans="1:34" x14ac:dyDescent="0.25">
      <c r="A785" s="402">
        <f t="shared" ca="1" si="354"/>
        <v>0.1</v>
      </c>
      <c r="B785" s="357">
        <f t="shared" ca="1" si="355"/>
        <v>33.100000000000136</v>
      </c>
      <c r="C785" s="342"/>
      <c r="D785" s="359">
        <f t="shared" ca="1" si="356"/>
        <v>-0.7281458933842716</v>
      </c>
      <c r="E785" s="360">
        <f t="shared" ca="1" si="357"/>
        <v>-7.7988320543847971</v>
      </c>
      <c r="F785" s="357">
        <f t="shared" ca="1" si="358"/>
        <v>7.8327503378157139</v>
      </c>
      <c r="G785" s="359">
        <f t="shared" ca="1" si="359"/>
        <v>32.903921952877063</v>
      </c>
      <c r="H785" s="360">
        <f t="shared" ca="1" si="360"/>
        <v>-91.862942366084908</v>
      </c>
      <c r="I785" s="357">
        <f t="shared" ca="1" si="361"/>
        <v>97.578011150236421</v>
      </c>
      <c r="J785" s="359">
        <f t="shared" ca="1" si="362"/>
        <v>1366.4155264128399</v>
      </c>
      <c r="K785" s="360">
        <f t="shared" ca="1" si="363"/>
        <v>2206.4722956267738</v>
      </c>
      <c r="L785" s="357">
        <f t="shared" ca="1" si="348"/>
        <v>2595.3056433088113</v>
      </c>
      <c r="M785" s="359">
        <f t="shared" ca="1" si="364"/>
        <v>-1.2268484966825104</v>
      </c>
      <c r="N785" s="357">
        <f t="shared" ca="1" si="365"/>
        <v>-70.293240961877629</v>
      </c>
      <c r="O785" s="343"/>
      <c r="P785" s="363">
        <f t="shared" ca="1" si="366"/>
        <v>23</v>
      </c>
      <c r="Q785" s="357">
        <f t="shared" ca="1" si="367"/>
        <v>0</v>
      </c>
      <c r="R785" s="359">
        <f t="shared" ca="1" si="368"/>
        <v>0</v>
      </c>
      <c r="S785" s="360">
        <f t="shared" ca="1" si="369"/>
        <v>9.7379999999999765</v>
      </c>
      <c r="T785" s="357">
        <f t="shared" ca="1" si="349"/>
        <v>95.529779999999775</v>
      </c>
      <c r="U785" s="364">
        <f t="shared" ca="1" si="350"/>
        <v>0</v>
      </c>
      <c r="V785" s="359">
        <f t="shared" ca="1" si="351"/>
        <v>0.98156389487175799</v>
      </c>
      <c r="W785" s="357">
        <f t="shared" ca="1" si="352"/>
        <v>21.154468443944623</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7.0851369436980765</v>
      </c>
      <c r="AH785" s="357">
        <f t="shared" ca="1" si="376"/>
        <v>-2.1389233150167999</v>
      </c>
    </row>
    <row r="786" spans="1:34" x14ac:dyDescent="0.25">
      <c r="A786" s="402">
        <f t="shared" ca="1" si="354"/>
        <v>0.1</v>
      </c>
      <c r="B786" s="357">
        <f t="shared" ca="1" si="355"/>
        <v>33.200000000000138</v>
      </c>
      <c r="C786" s="342"/>
      <c r="D786" s="359">
        <f t="shared" ca="1" si="356"/>
        <v>-0.73253444586735672</v>
      </c>
      <c r="E786" s="360">
        <f t="shared" ca="1" si="357"/>
        <v>-7.7648708607363766</v>
      </c>
      <c r="F786" s="357">
        <f t="shared" ca="1" si="358"/>
        <v>7.7993478059575647</v>
      </c>
      <c r="G786" s="359">
        <f t="shared" ca="1" si="359"/>
        <v>32.83066850829033</v>
      </c>
      <c r="H786" s="360">
        <f t="shared" ca="1" si="360"/>
        <v>-92.639429452158552</v>
      </c>
      <c r="I786" s="357">
        <f t="shared" ca="1" si="361"/>
        <v>98.284875153416706</v>
      </c>
      <c r="J786" s="359">
        <f t="shared" ca="1" si="362"/>
        <v>1369.7022559358982</v>
      </c>
      <c r="K786" s="360">
        <f t="shared" ca="1" si="363"/>
        <v>2197.2471770358616</v>
      </c>
      <c r="L786" s="357">
        <f t="shared" ca="1" si="348"/>
        <v>2589.2044003724295</v>
      </c>
      <c r="M786" s="359">
        <f t="shared" ca="1" si="364"/>
        <v>-1.2302142233312408</v>
      </c>
      <c r="N786" s="357">
        <f t="shared" ca="1" si="365"/>
        <v>-70.486082893844582</v>
      </c>
      <c r="O786" s="343"/>
      <c r="P786" s="363">
        <f t="shared" ca="1" si="366"/>
        <v>23</v>
      </c>
      <c r="Q786" s="357">
        <f t="shared" ca="1" si="367"/>
        <v>0</v>
      </c>
      <c r="R786" s="359">
        <f t="shared" ca="1" si="368"/>
        <v>0</v>
      </c>
      <c r="S786" s="360">
        <f t="shared" ca="1" si="369"/>
        <v>9.7379999999999765</v>
      </c>
      <c r="T786" s="357">
        <f t="shared" ca="1" si="349"/>
        <v>95.529779999999775</v>
      </c>
      <c r="U786" s="364">
        <f t="shared" ca="1" si="350"/>
        <v>0</v>
      </c>
      <c r="V786" s="359">
        <f t="shared" ca="1" si="351"/>
        <v>0.98248093712687501</v>
      </c>
      <c r="W786" s="357">
        <f t="shared" ca="1" si="352"/>
        <v>21.482119648835244</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7.0630731247860083</v>
      </c>
      <c r="AH786" s="357">
        <f t="shared" ca="1" si="376"/>
        <v>-2.172362748402616</v>
      </c>
    </row>
    <row r="787" spans="1:34" x14ac:dyDescent="0.25">
      <c r="A787" s="402">
        <f t="shared" ca="1" si="354"/>
        <v>0.1</v>
      </c>
      <c r="B787" s="357">
        <f t="shared" ca="1" si="355"/>
        <v>33.300000000000139</v>
      </c>
      <c r="C787" s="342"/>
      <c r="D787" s="359">
        <f t="shared" ca="1" si="356"/>
        <v>-0.73688615466915708</v>
      </c>
      <c r="E787" s="360">
        <f t="shared" ca="1" si="357"/>
        <v>-7.7307029268225929</v>
      </c>
      <c r="F787" s="357">
        <f t="shared" ca="1" si="358"/>
        <v>7.7657432965381039</v>
      </c>
      <c r="G787" s="359">
        <f t="shared" ca="1" si="359"/>
        <v>32.756979892823416</v>
      </c>
      <c r="H787" s="360">
        <f t="shared" ca="1" si="360"/>
        <v>-93.412499744840815</v>
      </c>
      <c r="I787" s="357">
        <f t="shared" ca="1" si="361"/>
        <v>98.989468330114406</v>
      </c>
      <c r="J787" s="359">
        <f t="shared" ca="1" si="362"/>
        <v>1372.9816383559539</v>
      </c>
      <c r="K787" s="360">
        <f t="shared" ca="1" si="363"/>
        <v>2187.9445805760115</v>
      </c>
      <c r="L787" s="357">
        <f t="shared" ca="1" si="348"/>
        <v>2583.0563421912689</v>
      </c>
      <c r="M787" s="359">
        <f t="shared" ca="1" si="364"/>
        <v>-1.233524572804531</v>
      </c>
      <c r="N787" s="357">
        <f t="shared" ca="1" si="365"/>
        <v>-70.675751947377464</v>
      </c>
      <c r="O787" s="343"/>
      <c r="P787" s="363">
        <f t="shared" ca="1" si="366"/>
        <v>23</v>
      </c>
      <c r="Q787" s="357">
        <f t="shared" ca="1" si="367"/>
        <v>0</v>
      </c>
      <c r="R787" s="359">
        <f t="shared" ca="1" si="368"/>
        <v>0</v>
      </c>
      <c r="S787" s="360">
        <f t="shared" ca="1" si="369"/>
        <v>9.7379999999999765</v>
      </c>
      <c r="T787" s="357">
        <f t="shared" ca="1" si="349"/>
        <v>95.529779999999775</v>
      </c>
      <c r="U787" s="364">
        <f t="shared" ca="1" si="350"/>
        <v>0</v>
      </c>
      <c r="V787" s="359">
        <f t="shared" ca="1" si="351"/>
        <v>0.98340645342588706</v>
      </c>
      <c r="W787" s="357">
        <f t="shared" ca="1" si="352"/>
        <v>21.811757225641742</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7.0405079342325454</v>
      </c>
      <c r="AH787" s="357">
        <f t="shared" ca="1" si="376"/>
        <v>-2.2060094114638833</v>
      </c>
    </row>
    <row r="788" spans="1:34" x14ac:dyDescent="0.25">
      <c r="A788" s="402">
        <f t="shared" ca="1" si="354"/>
        <v>0.1</v>
      </c>
      <c r="B788" s="357">
        <f t="shared" ca="1" si="355"/>
        <v>33.400000000000141</v>
      </c>
      <c r="C788" s="342"/>
      <c r="D788" s="359">
        <f t="shared" ca="1" si="356"/>
        <v>-0.74120057472684808</v>
      </c>
      <c r="E788" s="360">
        <f t="shared" ca="1" si="357"/>
        <v>-7.6963314406858236</v>
      </c>
      <c r="F788" s="357">
        <f t="shared" ca="1" si="358"/>
        <v>7.7319399853377373</v>
      </c>
      <c r="G788" s="359">
        <f t="shared" ca="1" si="359"/>
        <v>32.682859835350733</v>
      </c>
      <c r="H788" s="360">
        <f t="shared" ca="1" si="360"/>
        <v>-94.182132888909393</v>
      </c>
      <c r="I788" s="357">
        <f t="shared" ca="1" si="361"/>
        <v>99.691742298554345</v>
      </c>
      <c r="J788" s="359">
        <f t="shared" ca="1" si="362"/>
        <v>1376.2536303423626</v>
      </c>
      <c r="K788" s="360">
        <f t="shared" ca="1" si="363"/>
        <v>2178.5648489443238</v>
      </c>
      <c r="L788" s="357">
        <f t="shared" ca="1" si="348"/>
        <v>2576.8622113117217</v>
      </c>
      <c r="M788" s="359">
        <f t="shared" ca="1" si="364"/>
        <v>-1.2367808806170153</v>
      </c>
      <c r="N788" s="357">
        <f t="shared" ca="1" si="365"/>
        <v>-70.862324641828295</v>
      </c>
      <c r="O788" s="343"/>
      <c r="P788" s="363">
        <f t="shared" ca="1" si="366"/>
        <v>23</v>
      </c>
      <c r="Q788" s="357">
        <f t="shared" ca="1" si="367"/>
        <v>0</v>
      </c>
      <c r="R788" s="359">
        <f t="shared" ca="1" si="368"/>
        <v>0</v>
      </c>
      <c r="S788" s="360">
        <f t="shared" ca="1" si="369"/>
        <v>9.7379999999999765</v>
      </c>
      <c r="T788" s="357">
        <f t="shared" ca="1" si="349"/>
        <v>95.529779999999775</v>
      </c>
      <c r="U788" s="364">
        <f t="shared" ca="1" si="350"/>
        <v>0</v>
      </c>
      <c r="V788" s="359">
        <f t="shared" ca="1" si="351"/>
        <v>0.98434042999325766</v>
      </c>
      <c r="W788" s="357">
        <f t="shared" ca="1" si="352"/>
        <v>22.143349435386433</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7.0174542619002196</v>
      </c>
      <c r="AH788" s="357">
        <f t="shared" ca="1" si="376"/>
        <v>-2.2398600560322239</v>
      </c>
    </row>
    <row r="789" spans="1:34" x14ac:dyDescent="0.25">
      <c r="A789" s="402">
        <f t="shared" ca="1" si="354"/>
        <v>0.1</v>
      </c>
      <c r="B789" s="357">
        <f t="shared" ca="1" si="355"/>
        <v>33.500000000000142</v>
      </c>
      <c r="C789" s="342"/>
      <c r="D789" s="359">
        <f t="shared" ca="1" si="356"/>
        <v>-0.7454772742094038</v>
      </c>
      <c r="E789" s="360">
        <f t="shared" ca="1" si="357"/>
        <v>-7.6617596055253969</v>
      </c>
      <c r="F789" s="357">
        <f t="shared" ca="1" si="358"/>
        <v>7.6979410636366508</v>
      </c>
      <c r="G789" s="359">
        <f t="shared" ca="1" si="359"/>
        <v>32.608312107929791</v>
      </c>
      <c r="H789" s="360">
        <f t="shared" ca="1" si="360"/>
        <v>-94.948308849461938</v>
      </c>
      <c r="I789" s="357">
        <f t="shared" ca="1" si="361"/>
        <v>100.39164991123999</v>
      </c>
      <c r="J789" s="359">
        <f t="shared" ca="1" si="362"/>
        <v>1379.5181889395267</v>
      </c>
      <c r="K789" s="360">
        <f t="shared" ca="1" si="363"/>
        <v>2169.1083268574052</v>
      </c>
      <c r="L789" s="357">
        <f t="shared" ca="1" si="348"/>
        <v>2570.6227586437344</v>
      </c>
      <c r="M789" s="359">
        <f t="shared" ca="1" si="364"/>
        <v>-1.2399844418067887</v>
      </c>
      <c r="N789" s="357">
        <f t="shared" ca="1" si="365"/>
        <v>-71.045875177414217</v>
      </c>
      <c r="O789" s="343"/>
      <c r="P789" s="363">
        <f t="shared" ca="1" si="366"/>
        <v>23</v>
      </c>
      <c r="Q789" s="357">
        <f t="shared" ca="1" si="367"/>
        <v>0</v>
      </c>
      <c r="R789" s="359">
        <f t="shared" ca="1" si="368"/>
        <v>0</v>
      </c>
      <c r="S789" s="360">
        <f t="shared" ca="1" si="369"/>
        <v>9.7379999999999765</v>
      </c>
      <c r="T789" s="357">
        <f t="shared" ca="1" si="349"/>
        <v>95.529779999999775</v>
      </c>
      <c r="U789" s="364">
        <f t="shared" ca="1" si="350"/>
        <v>0</v>
      </c>
      <c r="V789" s="359">
        <f t="shared" ca="1" si="351"/>
        <v>0.98528285294801599</v>
      </c>
      <c r="W789" s="357">
        <f t="shared" ca="1" si="352"/>
        <v>22.476864435722621</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6.9939246319818444</v>
      </c>
      <c r="AH789" s="357">
        <f t="shared" ca="1" si="376"/>
        <v>-2.2739114228164392</v>
      </c>
    </row>
    <row r="790" spans="1:34" x14ac:dyDescent="0.25">
      <c r="A790" s="402">
        <f t="shared" ca="1" si="354"/>
        <v>0.1</v>
      </c>
      <c r="B790" s="357">
        <f t="shared" ca="1" si="355"/>
        <v>33.600000000000144</v>
      </c>
      <c r="C790" s="342"/>
      <c r="D790" s="359">
        <f t="shared" ca="1" si="356"/>
        <v>-0.74971583423393462</v>
      </c>
      <c r="E790" s="360">
        <f t="shared" ca="1" si="357"/>
        <v>-7.62699063899524</v>
      </c>
      <c r="F790" s="357">
        <f t="shared" ca="1" si="358"/>
        <v>7.6637497375254959</v>
      </c>
      <c r="G790" s="359">
        <f t="shared" ca="1" si="359"/>
        <v>32.5333405245064</v>
      </c>
      <c r="H790" s="360">
        <f t="shared" ca="1" si="360"/>
        <v>-95.711007913361456</v>
      </c>
      <c r="I790" s="357">
        <f t="shared" ca="1" si="361"/>
        <v>101.08914522081503</v>
      </c>
      <c r="J790" s="359">
        <f t="shared" ca="1" si="362"/>
        <v>1382.7752715711486</v>
      </c>
      <c r="K790" s="360">
        <f t="shared" ca="1" si="363"/>
        <v>2159.5753610192642</v>
      </c>
      <c r="L790" s="357">
        <f t="shared" ca="1" si="348"/>
        <v>2564.3387435341201</v>
      </c>
      <c r="M790" s="359">
        <f t="shared" ca="1" si="364"/>
        <v>-1.2431365123585254</v>
      </c>
      <c r="N790" s="357">
        <f t="shared" ca="1" si="365"/>
        <v>-71.22647551675621</v>
      </c>
      <c r="O790" s="343"/>
      <c r="P790" s="363">
        <f t="shared" ca="1" si="366"/>
        <v>23</v>
      </c>
      <c r="Q790" s="357">
        <f t="shared" ca="1" si="367"/>
        <v>0</v>
      </c>
      <c r="R790" s="359">
        <f t="shared" ca="1" si="368"/>
        <v>0</v>
      </c>
      <c r="S790" s="360">
        <f t="shared" ca="1" si="369"/>
        <v>9.7379999999999765</v>
      </c>
      <c r="T790" s="357">
        <f t="shared" ca="1" si="349"/>
        <v>95.529779999999775</v>
      </c>
      <c r="U790" s="364">
        <f t="shared" ca="1" si="350"/>
        <v>0</v>
      </c>
      <c r="V790" s="359">
        <f t="shared" ca="1" si="351"/>
        <v>0.98623370830451584</v>
      </c>
      <c r="W790" s="357">
        <f t="shared" ca="1" si="352"/>
        <v>22.812270285896144</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6.9699312192494993</v>
      </c>
      <c r="AH790" s="357">
        <f t="shared" ca="1" si="376"/>
        <v>-2.308160241910318</v>
      </c>
    </row>
    <row r="791" spans="1:34" x14ac:dyDescent="0.25">
      <c r="A791" s="402">
        <f t="shared" ca="1" si="354"/>
        <v>0.1</v>
      </c>
      <c r="B791" s="357">
        <f t="shared" ca="1" si="355"/>
        <v>33.700000000000145</v>
      </c>
      <c r="C791" s="342"/>
      <c r="D791" s="359">
        <f t="shared" ca="1" si="356"/>
        <v>-0.75391584859434868</v>
      </c>
      <c r="E791" s="360">
        <f t="shared" ca="1" si="357"/>
        <v>-7.5920277725102414</v>
      </c>
      <c r="F791" s="357">
        <f t="shared" ca="1" si="358"/>
        <v>7.62936922722505</v>
      </c>
      <c r="G791" s="359">
        <f t="shared" ca="1" si="359"/>
        <v>32.457948939646968</v>
      </c>
      <c r="H791" s="360">
        <f t="shared" ca="1" si="360"/>
        <v>-96.470210690612475</v>
      </c>
      <c r="I791" s="357">
        <f t="shared" ca="1" si="361"/>
        <v>101.78418344742906</v>
      </c>
      <c r="J791" s="359">
        <f t="shared" ca="1" si="362"/>
        <v>1386.0248360443561</v>
      </c>
      <c r="K791" s="360">
        <f t="shared" ca="1" si="363"/>
        <v>2149.9663000890655</v>
      </c>
      <c r="L791" s="357">
        <f t="shared" ca="1" si="348"/>
        <v>2558.0109338410675</v>
      </c>
      <c r="M791" s="359">
        <f t="shared" ca="1" si="364"/>
        <v>-1.2462383105721209</v>
      </c>
      <c r="N791" s="357">
        <f t="shared" ca="1" si="365"/>
        <v>-71.404195463296446</v>
      </c>
      <c r="O791" s="343"/>
      <c r="P791" s="363">
        <f t="shared" ca="1" si="366"/>
        <v>23</v>
      </c>
      <c r="Q791" s="357">
        <f t="shared" ca="1" si="367"/>
        <v>0</v>
      </c>
      <c r="R791" s="359">
        <f t="shared" ca="1" si="368"/>
        <v>0</v>
      </c>
      <c r="S791" s="360">
        <f t="shared" ca="1" si="369"/>
        <v>9.7379999999999765</v>
      </c>
      <c r="T791" s="357">
        <f t="shared" ca="1" si="349"/>
        <v>95.529779999999775</v>
      </c>
      <c r="U791" s="364">
        <f t="shared" ca="1" si="350"/>
        <v>0</v>
      </c>
      <c r="V791" s="359">
        <f t="shared" ca="1" si="351"/>
        <v>0.98719298197320382</v>
      </c>
      <c r="W791" s="357">
        <f t="shared" ca="1" si="352"/>
        <v>23.14953495172184</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6.9454858644850326</v>
      </c>
      <c r="AH791" s="357">
        <f t="shared" ca="1" si="376"/>
        <v>-2.3426032333021358</v>
      </c>
    </row>
    <row r="792" spans="1:34" x14ac:dyDescent="0.25">
      <c r="A792" s="402">
        <f t="shared" ca="1" si="354"/>
        <v>0.1</v>
      </c>
      <c r="B792" s="357">
        <f t="shared" ca="1" si="355"/>
        <v>33.800000000000146</v>
      </c>
      <c r="C792" s="342"/>
      <c r="D792" s="359">
        <f t="shared" ca="1" si="356"/>
        <v>-0.75807692350169298</v>
      </c>
      <c r="E792" s="360">
        <f t="shared" ca="1" si="357"/>
        <v>-7.5568742505608544</v>
      </c>
      <c r="F792" s="357">
        <f t="shared" ca="1" si="358"/>
        <v>7.5948027664143769</v>
      </c>
      <c r="G792" s="359">
        <f t="shared" ca="1" si="359"/>
        <v>32.382141247296801</v>
      </c>
      <c r="H792" s="360">
        <f t="shared" ca="1" si="360"/>
        <v>-97.225898115668556</v>
      </c>
      <c r="I792" s="357">
        <f t="shared" ca="1" si="361"/>
        <v>102.4767209475315</v>
      </c>
      <c r="J792" s="359">
        <f t="shared" ca="1" si="362"/>
        <v>1389.2668405537033</v>
      </c>
      <c r="K792" s="360">
        <f t="shared" ca="1" si="363"/>
        <v>2140.2814946487515</v>
      </c>
      <c r="L792" s="357">
        <f t="shared" ca="1" si="348"/>
        <v>2551.640106009851</v>
      </c>
      <c r="M792" s="359">
        <f t="shared" ca="1" si="364"/>
        <v>-1.2492910183789514</v>
      </c>
      <c r="N792" s="357">
        <f t="shared" ca="1" si="365"/>
        <v>-71.579102736714475</v>
      </c>
      <c r="O792" s="343"/>
      <c r="P792" s="363">
        <f t="shared" ca="1" si="366"/>
        <v>23</v>
      </c>
      <c r="Q792" s="357">
        <f t="shared" ca="1" si="367"/>
        <v>0</v>
      </c>
      <c r="R792" s="359">
        <f t="shared" ca="1" si="368"/>
        <v>0</v>
      </c>
      <c r="S792" s="360">
        <f t="shared" ca="1" si="369"/>
        <v>9.7379999999999765</v>
      </c>
      <c r="T792" s="357">
        <f t="shared" ca="1" si="349"/>
        <v>95.529779999999775</v>
      </c>
      <c r="U792" s="364">
        <f t="shared" ca="1" si="350"/>
        <v>0</v>
      </c>
      <c r="V792" s="359">
        <f t="shared" ca="1" si="351"/>
        <v>0.98816065976140244</v>
      </c>
      <c r="W792" s="357">
        <f t="shared" ca="1" si="352"/>
        <v>23.488626310573544</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6.9206000891341812</v>
      </c>
      <c r="AH792" s="357">
        <f t="shared" ca="1" si="376"/>
        <v>-2.3772371073856946</v>
      </c>
    </row>
    <row r="793" spans="1:34" x14ac:dyDescent="0.25">
      <c r="A793" s="402">
        <f t="shared" ca="1" si="354"/>
        <v>0.1</v>
      </c>
      <c r="B793" s="357">
        <f t="shared" ca="1" si="355"/>
        <v>33.900000000000148</v>
      </c>
      <c r="C793" s="342"/>
      <c r="D793" s="359">
        <f t="shared" ca="1" si="356"/>
        <v>-0.76219867733552826</v>
      </c>
      <c r="E793" s="360">
        <f t="shared" ca="1" si="357"/>
        <v>-7.5215333300354992</v>
      </c>
      <c r="F793" s="357">
        <f t="shared" ca="1" si="358"/>
        <v>7.5600536015670512</v>
      </c>
      <c r="G793" s="359">
        <f t="shared" ca="1" si="359"/>
        <v>32.305921379563244</v>
      </c>
      <c r="H793" s="360">
        <f t="shared" ca="1" si="360"/>
        <v>-97.978051448672105</v>
      </c>
      <c r="I793" s="357">
        <f t="shared" ca="1" si="361"/>
        <v>103.16671518402222</v>
      </c>
      <c r="J793" s="359">
        <f t="shared" ca="1" si="362"/>
        <v>1392.5012436850463</v>
      </c>
      <c r="K793" s="360">
        <f t="shared" ca="1" si="363"/>
        <v>2130.5212971705346</v>
      </c>
      <c r="L793" s="357">
        <f t="shared" ca="1" si="348"/>
        <v>2545.2270451497288</v>
      </c>
      <c r="M793" s="359">
        <f t="shared" ca="1" si="364"/>
        <v>-1.2522957826077703</v>
      </c>
      <c r="N793" s="357">
        <f t="shared" ca="1" si="365"/>
        <v>-71.751263045457677</v>
      </c>
      <c r="O793" s="343"/>
      <c r="P793" s="363">
        <f t="shared" ca="1" si="366"/>
        <v>23</v>
      </c>
      <c r="Q793" s="357">
        <f t="shared" ca="1" si="367"/>
        <v>0</v>
      </c>
      <c r="R793" s="359">
        <f t="shared" ca="1" si="368"/>
        <v>0</v>
      </c>
      <c r="S793" s="360">
        <f t="shared" ca="1" si="369"/>
        <v>9.7379999999999765</v>
      </c>
      <c r="T793" s="357">
        <f t="shared" ca="1" si="349"/>
        <v>95.529779999999775</v>
      </c>
      <c r="U793" s="364">
        <f t="shared" ca="1" si="350"/>
        <v>0</v>
      </c>
      <c r="V793" s="359">
        <f t="shared" ca="1" si="351"/>
        <v>0.98913672737410074</v>
      </c>
      <c r="W793" s="357">
        <f t="shared" ca="1" si="352"/>
        <v>23.829512156386013</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6.8952851092243677</v>
      </c>
      <c r="AH793" s="357">
        <f t="shared" ca="1" si="376"/>
        <v>-2.412058565472746</v>
      </c>
    </row>
    <row r="794" spans="1:34" x14ac:dyDescent="0.25">
      <c r="A794" s="402">
        <f t="shared" ca="1" si="354"/>
        <v>0.1</v>
      </c>
      <c r="B794" s="357">
        <f t="shared" ca="1" si="355"/>
        <v>34.000000000000149</v>
      </c>
      <c r="C794" s="342"/>
      <c r="D794" s="359">
        <f t="shared" ca="1" si="356"/>
        <v>-0.766280740405756</v>
      </c>
      <c r="E794" s="360">
        <f t="shared" ca="1" si="357"/>
        <v>-7.4860082795503686</v>
      </c>
      <c r="F794" s="357">
        <f t="shared" ca="1" si="358"/>
        <v>7.5251249912950593</v>
      </c>
      <c r="G794" s="359">
        <f t="shared" ca="1" si="359"/>
        <v>32.229293305522667</v>
      </c>
      <c r="H794" s="360">
        <f t="shared" ca="1" si="360"/>
        <v>-98.726652276627135</v>
      </c>
      <c r="I794" s="357">
        <f t="shared" ca="1" si="361"/>
        <v>103.85412469769054</v>
      </c>
      <c r="J794" s="359">
        <f t="shared" ca="1" si="362"/>
        <v>1395.7280044193005</v>
      </c>
      <c r="K794" s="360">
        <f t="shared" ca="1" si="363"/>
        <v>2120.6860619842696</v>
      </c>
      <c r="L794" s="357">
        <f t="shared" ca="1" si="348"/>
        <v>2538.7725451120336</v>
      </c>
      <c r="M794" s="359">
        <f t="shared" ca="1" si="364"/>
        <v>-1.2552537162022024</v>
      </c>
      <c r="N794" s="357">
        <f t="shared" ca="1" si="365"/>
        <v>-71.920740156498596</v>
      </c>
      <c r="O794" s="343"/>
      <c r="P794" s="363">
        <f t="shared" ca="1" si="366"/>
        <v>23</v>
      </c>
      <c r="Q794" s="357">
        <f t="shared" ca="1" si="367"/>
        <v>0</v>
      </c>
      <c r="R794" s="359">
        <f t="shared" ca="1" si="368"/>
        <v>0</v>
      </c>
      <c r="S794" s="360">
        <f t="shared" ca="1" si="369"/>
        <v>9.7379999999999765</v>
      </c>
      <c r="T794" s="357">
        <f t="shared" ca="1" si="349"/>
        <v>95.529779999999775</v>
      </c>
      <c r="U794" s="364">
        <f t="shared" ca="1" si="350"/>
        <v>0</v>
      </c>
      <c r="V794" s="359">
        <f t="shared" ca="1" si="351"/>
        <v>0.99012117041475722</v>
      </c>
      <c r="W794" s="357">
        <f t="shared" ca="1" si="352"/>
        <v>24.172160204667382</v>
      </c>
      <c r="X794" s="343"/>
      <c r="Y794" s="367" t="str">
        <f t="shared" ca="1" si="370"/>
        <v/>
      </c>
      <c r="Z794" s="368" t="str">
        <f t="shared" ca="1" si="371"/>
        <v/>
      </c>
      <c r="AA794" s="369" t="str">
        <f t="shared" ca="1" si="372"/>
        <v/>
      </c>
      <c r="AB794" s="344"/>
      <c r="AC794" s="363">
        <f t="shared" ca="1" si="373"/>
        <v>34.000000000000149</v>
      </c>
      <c r="AD794" s="376">
        <f t="shared" ca="1" si="374"/>
        <v>1395.7280044193005</v>
      </c>
      <c r="AE794" s="377" t="e">
        <f t="shared" ca="1" si="353"/>
        <v>#N/A</v>
      </c>
      <c r="AF794" s="344"/>
      <c r="AG794" s="359">
        <f t="shared" ca="1" si="375"/>
        <v>6.8695518485841038</v>
      </c>
      <c r="AH794" s="357">
        <f t="shared" ca="1" si="376"/>
        <v>-2.447064300306641</v>
      </c>
    </row>
    <row r="795" spans="1:34" x14ac:dyDescent="0.25">
      <c r="A795" s="402">
        <f t="shared" ca="1" si="354"/>
        <v>0.1</v>
      </c>
      <c r="B795" s="357">
        <f t="shared" ca="1" si="355"/>
        <v>34.100000000000151</v>
      </c>
      <c r="C795" s="342"/>
      <c r="D795" s="359">
        <f t="shared" ca="1" si="356"/>
        <v>-0.77032275472432099</v>
      </c>
      <c r="E795" s="360">
        <f t="shared" ca="1" si="357"/>
        <v>-7.4503023787862661</v>
      </c>
      <c r="F795" s="357">
        <f t="shared" ca="1" si="358"/>
        <v>7.4900202057000058</v>
      </c>
      <c r="G795" s="359">
        <f t="shared" ca="1" si="359"/>
        <v>32.152261030050234</v>
      </c>
      <c r="H795" s="360">
        <f t="shared" ca="1" si="360"/>
        <v>-99.471682514505758</v>
      </c>
      <c r="I795" s="357">
        <f t="shared" ca="1" si="361"/>
        <v>104.53890907987856</v>
      </c>
      <c r="J795" s="359">
        <f t="shared" ca="1" si="362"/>
        <v>1398.9470821360792</v>
      </c>
      <c r="K795" s="360">
        <f t="shared" ca="1" si="363"/>
        <v>2110.776145244713</v>
      </c>
      <c r="L795" s="357">
        <f t="shared" ca="1" si="348"/>
        <v>2532.2774085694441</v>
      </c>
      <c r="M795" s="359">
        <f t="shared" ca="1" si="364"/>
        <v>-1.2581658993917231</v>
      </c>
      <c r="N795" s="357">
        <f t="shared" ca="1" si="365"/>
        <v>-72.087595962427088</v>
      </c>
      <c r="O795" s="343"/>
      <c r="P795" s="363">
        <f t="shared" ca="1" si="366"/>
        <v>23</v>
      </c>
      <c r="Q795" s="357">
        <f t="shared" ca="1" si="367"/>
        <v>0</v>
      </c>
      <c r="R795" s="359">
        <f t="shared" ca="1" si="368"/>
        <v>0</v>
      </c>
      <c r="S795" s="360">
        <f t="shared" ca="1" si="369"/>
        <v>9.7379999999999765</v>
      </c>
      <c r="T795" s="357">
        <f t="shared" ca="1" si="349"/>
        <v>95.529779999999775</v>
      </c>
      <c r="U795" s="364">
        <f t="shared" ca="1" si="350"/>
        <v>0</v>
      </c>
      <c r="V795" s="359">
        <f t="shared" ca="1" si="351"/>
        <v>0.9911139743861167</v>
      </c>
      <c r="W795" s="357">
        <f t="shared" ca="1" si="352"/>
        <v>24.516538097520865</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6.8434109513999495</v>
      </c>
      <c r="AH795" s="357">
        <f t="shared" ca="1" si="376"/>
        <v>-2.4822509965770632</v>
      </c>
    </row>
    <row r="796" spans="1:34" x14ac:dyDescent="0.25">
      <c r="A796" s="402">
        <f t="shared" ca="1" si="354"/>
        <v>0.1</v>
      </c>
      <c r="B796" s="357">
        <f t="shared" ca="1" si="355"/>
        <v>34.200000000000152</v>
      </c>
      <c r="C796" s="342"/>
      <c r="D796" s="359">
        <f t="shared" ca="1" si="356"/>
        <v>-0.77432437378627528</v>
      </c>
      <c r="E796" s="360">
        <f t="shared" ca="1" si="357"/>
        <v>-7.4144189178321227</v>
      </c>
      <c r="F796" s="357">
        <f t="shared" ca="1" si="358"/>
        <v>7.4547425257312794</v>
      </c>
      <c r="G796" s="359">
        <f t="shared" ca="1" si="359"/>
        <v>32.074828592671608</v>
      </c>
      <c r="H796" s="360">
        <f t="shared" ca="1" si="360"/>
        <v>-100.21312440628897</v>
      </c>
      <c r="I796" s="357">
        <f t="shared" ca="1" si="361"/>
        <v>105.22102894630719</v>
      </c>
      <c r="J796" s="359">
        <f t="shared" ca="1" si="362"/>
        <v>1402.1584366172153</v>
      </c>
      <c r="K796" s="360">
        <f t="shared" ca="1" si="363"/>
        <v>2100.7919048986732</v>
      </c>
      <c r="L796" s="357">
        <f t="shared" ca="1" si="348"/>
        <v>2525.7424470964238</v>
      </c>
      <c r="M796" s="359">
        <f t="shared" ca="1" si="364"/>
        <v>-1.2610333808179544</v>
      </c>
      <c r="N796" s="357">
        <f t="shared" ca="1" si="365"/>
        <v>-72.251890545982292</v>
      </c>
      <c r="O796" s="343"/>
      <c r="P796" s="363">
        <f t="shared" ca="1" si="366"/>
        <v>23</v>
      </c>
      <c r="Q796" s="357">
        <f t="shared" ca="1" si="367"/>
        <v>0</v>
      </c>
      <c r="R796" s="359">
        <f t="shared" ca="1" si="368"/>
        <v>0</v>
      </c>
      <c r="S796" s="360">
        <f t="shared" ca="1" si="369"/>
        <v>9.7379999999999765</v>
      </c>
      <c r="T796" s="357">
        <f t="shared" ca="1" si="349"/>
        <v>95.529779999999775</v>
      </c>
      <c r="U796" s="364">
        <f t="shared" ca="1" si="350"/>
        <v>0</v>
      </c>
      <c r="V796" s="359">
        <f t="shared" ca="1" si="351"/>
        <v>0.99211512469103325</v>
      </c>
      <c r="W796" s="357">
        <f t="shared" ca="1" si="352"/>
        <v>24.862613408673923</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6.8168727941451319</v>
      </c>
      <c r="AH796" s="357">
        <f t="shared" ca="1" si="376"/>
        <v>-2.5176153314357079</v>
      </c>
    </row>
    <row r="797" spans="1:34" x14ac:dyDescent="0.25">
      <c r="A797" s="402">
        <f t="shared" ca="1" si="354"/>
        <v>0.1</v>
      </c>
      <c r="B797" s="357">
        <f t="shared" ca="1" si="355"/>
        <v>34.300000000000153</v>
      </c>
      <c r="C797" s="342"/>
      <c r="D797" s="359">
        <f t="shared" ca="1" si="356"/>
        <v>-0.77828526235967388</v>
      </c>
      <c r="E797" s="360">
        <f t="shared" ca="1" si="357"/>
        <v>-7.3783611965349287</v>
      </c>
      <c r="F797" s="357">
        <f t="shared" ca="1" si="358"/>
        <v>7.4192952425509135</v>
      </c>
      <c r="G797" s="359">
        <f t="shared" ca="1" si="359"/>
        <v>31.997000066435639</v>
      </c>
      <c r="H797" s="360">
        <f t="shared" ca="1" si="360"/>
        <v>-100.95096052594246</v>
      </c>
      <c r="I797" s="357">
        <f t="shared" ca="1" si="361"/>
        <v>105.90044591200679</v>
      </c>
      <c r="J797" s="359">
        <f t="shared" ca="1" si="362"/>
        <v>1405.3620280501707</v>
      </c>
      <c r="K797" s="360">
        <f t="shared" ca="1" si="363"/>
        <v>2090.7337006520615</v>
      </c>
      <c r="L797" s="357">
        <f t="shared" ca="1" si="348"/>
        <v>2519.1684812508179</v>
      </c>
      <c r="M797" s="359">
        <f t="shared" ca="1" si="364"/>
        <v>-1.2638571786180344</v>
      </c>
      <c r="N797" s="357">
        <f t="shared" ca="1" si="365"/>
        <v>-72.413682242125205</v>
      </c>
      <c r="O797" s="343"/>
      <c r="P797" s="363">
        <f t="shared" ca="1" si="366"/>
        <v>23</v>
      </c>
      <c r="Q797" s="357">
        <f t="shared" ca="1" si="367"/>
        <v>0</v>
      </c>
      <c r="R797" s="359">
        <f t="shared" ca="1" si="368"/>
        <v>0</v>
      </c>
      <c r="S797" s="360">
        <f t="shared" ca="1" si="369"/>
        <v>9.7379999999999765</v>
      </c>
      <c r="T797" s="357">
        <f t="shared" ca="1" si="349"/>
        <v>95.529779999999775</v>
      </c>
      <c r="U797" s="364">
        <f t="shared" ca="1" si="350"/>
        <v>0</v>
      </c>
      <c r="V797" s="359">
        <f t="shared" ca="1" si="351"/>
        <v>0.99312460663330748</v>
      </c>
      <c r="W797" s="357">
        <f t="shared" ca="1" si="352"/>
        <v>25.210353648513674</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6.7899474969121663</v>
      </c>
      <c r="AH797" s="357">
        <f t="shared" ca="1" si="376"/>
        <v>-2.5531539750127319</v>
      </c>
    </row>
    <row r="798" spans="1:34" x14ac:dyDescent="0.25">
      <c r="A798" s="402">
        <f t="shared" ca="1" si="354"/>
        <v>0.1</v>
      </c>
      <c r="B798" s="357">
        <f t="shared" ca="1" si="355"/>
        <v>34.400000000000155</v>
      </c>
      <c r="C798" s="342"/>
      <c r="D798" s="359">
        <f t="shared" ca="1" si="356"/>
        <v>-0.78220509628384005</v>
      </c>
      <c r="E798" s="360">
        <f t="shared" ca="1" si="357"/>
        <v>-7.3421325238557795</v>
      </c>
      <c r="F798" s="357">
        <f t="shared" ca="1" si="358"/>
        <v>7.3836816569048569</v>
      </c>
      <c r="G798" s="359">
        <f t="shared" ca="1" si="359"/>
        <v>31.918779556807255</v>
      </c>
      <c r="H798" s="360">
        <f t="shared" ca="1" si="360"/>
        <v>-101.68517377832804</v>
      </c>
      <c r="I798" s="357">
        <f t="shared" ca="1" si="361"/>
        <v>106.57712256729785</v>
      </c>
      <c r="J798" s="359">
        <f t="shared" ca="1" si="362"/>
        <v>1408.5578170313329</v>
      </c>
      <c r="K798" s="360">
        <f t="shared" ca="1" si="363"/>
        <v>2080.6018939368482</v>
      </c>
      <c r="L798" s="357">
        <f t="shared" ca="1" si="348"/>
        <v>2512.556340656598</v>
      </c>
      <c r="M798" s="359">
        <f t="shared" ca="1" si="364"/>
        <v>-1.2666382814667647</v>
      </c>
      <c r="N798" s="357">
        <f t="shared" ca="1" si="365"/>
        <v>-72.573027697749254</v>
      </c>
      <c r="O798" s="343"/>
      <c r="P798" s="363">
        <f t="shared" ca="1" si="366"/>
        <v>23</v>
      </c>
      <c r="Q798" s="357">
        <f t="shared" ca="1" si="367"/>
        <v>0</v>
      </c>
      <c r="R798" s="359">
        <f t="shared" ca="1" si="368"/>
        <v>0</v>
      </c>
      <c r="S798" s="360">
        <f t="shared" ca="1" si="369"/>
        <v>9.7379999999999765</v>
      </c>
      <c r="T798" s="357">
        <f t="shared" ca="1" si="349"/>
        <v>95.529779999999775</v>
      </c>
      <c r="U798" s="364">
        <f t="shared" ca="1" si="350"/>
        <v>0</v>
      </c>
      <c r="V798" s="359">
        <f t="shared" ca="1" si="351"/>
        <v>0.99414240541853172</v>
      </c>
      <c r="W798" s="357">
        <f t="shared" ca="1" si="352"/>
        <v>25.559726269127125</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6.7626449341800665</v>
      </c>
      <c r="AH798" s="357">
        <f t="shared" ca="1" si="376"/>
        <v>-2.58886359093384</v>
      </c>
    </row>
    <row r="799" spans="1:34" x14ac:dyDescent="0.25">
      <c r="A799" s="402">
        <f t="shared" ca="1" si="354"/>
        <v>0.1</v>
      </c>
      <c r="B799" s="357">
        <f t="shared" ca="1" si="355"/>
        <v>34.500000000000156</v>
      </c>
      <c r="C799" s="342"/>
      <c r="D799" s="359">
        <f t="shared" ca="1" si="356"/>
        <v>-0.78608356227553466</v>
      </c>
      <c r="E799" s="360">
        <f t="shared" ca="1" si="357"/>
        <v>-7.3057362172317841</v>
      </c>
      <c r="F799" s="357">
        <f t="shared" ca="1" si="358"/>
        <v>7.3479050785004008</v>
      </c>
      <c r="G799" s="359">
        <f t="shared" ca="1" si="359"/>
        <v>31.8401712005797</v>
      </c>
      <c r="H799" s="360">
        <f t="shared" ca="1" si="360"/>
        <v>-102.41574740005122</v>
      </c>
      <c r="I799" s="357">
        <f t="shared" ca="1" si="361"/>
        <v>107.2510224547688</v>
      </c>
      <c r="J799" s="359">
        <f t="shared" ca="1" si="362"/>
        <v>1411.7457645692023</v>
      </c>
      <c r="K799" s="360">
        <f t="shared" ca="1" si="363"/>
        <v>2070.3968478779293</v>
      </c>
      <c r="L799" s="357">
        <f t="shared" ca="1" si="348"/>
        <v>2505.906864087719</v>
      </c>
      <c r="M799" s="359">
        <f t="shared" ca="1" si="364"/>
        <v>-1.2693776495791678</v>
      </c>
      <c r="N799" s="357">
        <f t="shared" ca="1" si="365"/>
        <v>-72.729981929122673</v>
      </c>
      <c r="O799" s="343"/>
      <c r="P799" s="363">
        <f t="shared" ca="1" si="366"/>
        <v>23</v>
      </c>
      <c r="Q799" s="357">
        <f t="shared" ca="1" si="367"/>
        <v>0</v>
      </c>
      <c r="R799" s="359">
        <f t="shared" ca="1" si="368"/>
        <v>0</v>
      </c>
      <c r="S799" s="360">
        <f t="shared" ca="1" si="369"/>
        <v>9.7379999999999765</v>
      </c>
      <c r="T799" s="357">
        <f t="shared" ca="1" si="349"/>
        <v>95.529779999999775</v>
      </c>
      <c r="U799" s="364">
        <f t="shared" ca="1" si="350"/>
        <v>0</v>
      </c>
      <c r="V799" s="359">
        <f t="shared" ca="1" si="351"/>
        <v>0.99516850615494756</v>
      </c>
      <c r="W799" s="357">
        <f t="shared" ca="1" si="352"/>
        <v>25.910698669344701</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6.7349747450451858</v>
      </c>
      <c r="AH799" s="357">
        <f t="shared" ca="1" si="376"/>
        <v>-2.6247408368378711</v>
      </c>
    </row>
    <row r="800" spans="1:34" x14ac:dyDescent="0.25">
      <c r="A800" s="402">
        <f t="shared" ca="1" si="354"/>
        <v>0.1</v>
      </c>
      <c r="B800" s="357">
        <f t="shared" ca="1" si="355"/>
        <v>34.600000000000158</v>
      </c>
      <c r="C800" s="342"/>
      <c r="D800" s="359">
        <f t="shared" ca="1" si="356"/>
        <v>-0.78992035774260483</v>
      </c>
      <c r="E800" s="360">
        <f t="shared" ca="1" si="357"/>
        <v>-7.2691756019436298</v>
      </c>
      <c r="F800" s="357">
        <f t="shared" ca="1" si="358"/>
        <v>7.3119688253895569</v>
      </c>
      <c r="G800" s="359">
        <f t="shared" ca="1" si="359"/>
        <v>31.761179164805441</v>
      </c>
      <c r="H800" s="360">
        <f t="shared" ca="1" si="360"/>
        <v>-103.14266496024558</v>
      </c>
      <c r="I800" s="357">
        <f t="shared" ca="1" si="361"/>
        <v>107.92211004720184</v>
      </c>
      <c r="J800" s="359">
        <f t="shared" ca="1" si="362"/>
        <v>1414.9258320874715</v>
      </c>
      <c r="K800" s="360">
        <f t="shared" ca="1" si="363"/>
        <v>2060.1189272599145</v>
      </c>
      <c r="L800" s="357">
        <f t="shared" ca="1" si="348"/>
        <v>2499.2208995530914</v>
      </c>
      <c r="M800" s="359">
        <f t="shared" ca="1" si="364"/>
        <v>-1.2720762156750323</v>
      </c>
      <c r="N800" s="357">
        <f t="shared" ca="1" si="365"/>
        <v>-72.884598377152798</v>
      </c>
      <c r="O800" s="343"/>
      <c r="P800" s="363">
        <f t="shared" ca="1" si="366"/>
        <v>23</v>
      </c>
      <c r="Q800" s="357">
        <f t="shared" ca="1" si="367"/>
        <v>0</v>
      </c>
      <c r="R800" s="359">
        <f t="shared" ca="1" si="368"/>
        <v>0</v>
      </c>
      <c r="S800" s="360">
        <f t="shared" ca="1" si="369"/>
        <v>9.7379999999999765</v>
      </c>
      <c r="T800" s="357">
        <f t="shared" ca="1" si="349"/>
        <v>95.529779999999775</v>
      </c>
      <c r="U800" s="364">
        <f t="shared" ca="1" si="350"/>
        <v>0</v>
      </c>
      <c r="V800" s="359">
        <f t="shared" ca="1" si="351"/>
        <v>0.99620289385431193</v>
      </c>
      <c r="W800" s="357">
        <f t="shared" ca="1" si="352"/>
        <v>26.263238199785686</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6.7069463429431586</v>
      </c>
      <c r="AH800" s="357">
        <f t="shared" ca="1" si="376"/>
        <v>-2.6607823648947178</v>
      </c>
    </row>
    <row r="801" spans="1:34" x14ac:dyDescent="0.25">
      <c r="A801" s="402">
        <f t="shared" ca="1" si="354"/>
        <v>0.1</v>
      </c>
      <c r="B801" s="357">
        <f t="shared" ca="1" si="355"/>
        <v>34.700000000000159</v>
      </c>
      <c r="C801" s="342"/>
      <c r="D801" s="359">
        <f t="shared" ca="1" si="356"/>
        <v>-0.79371519060469853</v>
      </c>
      <c r="E801" s="360">
        <f t="shared" ca="1" si="357"/>
        <v>-7.2324540104885831</v>
      </c>
      <c r="F801" s="357">
        <f t="shared" ca="1" si="358"/>
        <v>7.2758762233581908</v>
      </c>
      <c r="G801" s="359">
        <f t="shared" ca="1" si="359"/>
        <v>31.681807645744971</v>
      </c>
      <c r="H801" s="360">
        <f t="shared" ca="1" si="360"/>
        <v>-103.86591036129444</v>
      </c>
      <c r="I801" s="357">
        <f t="shared" ca="1" si="361"/>
        <v>108.59035072639944</v>
      </c>
      <c r="J801" s="359">
        <f t="shared" ca="1" si="362"/>
        <v>1418.097981427999</v>
      </c>
      <c r="K801" s="360">
        <f t="shared" ca="1" si="363"/>
        <v>2049.7684984938373</v>
      </c>
      <c r="L801" s="357">
        <f t="shared" ca="1" si="348"/>
        <v>2492.4993043826203</v>
      </c>
      <c r="M801" s="359">
        <f t="shared" ca="1" si="364"/>
        <v>-1.2747348859069625</v>
      </c>
      <c r="N801" s="357">
        <f t="shared" ca="1" si="365"/>
        <v>-73.036928960559479</v>
      </c>
      <c r="O801" s="343"/>
      <c r="P801" s="363">
        <f t="shared" ca="1" si="366"/>
        <v>23</v>
      </c>
      <c r="Q801" s="357">
        <f t="shared" ca="1" si="367"/>
        <v>0</v>
      </c>
      <c r="R801" s="359">
        <f t="shared" ca="1" si="368"/>
        <v>0</v>
      </c>
      <c r="S801" s="360">
        <f t="shared" ca="1" si="369"/>
        <v>9.7379999999999765</v>
      </c>
      <c r="T801" s="357">
        <f t="shared" ca="1" si="349"/>
        <v>95.529779999999775</v>
      </c>
      <c r="U801" s="364">
        <f t="shared" ca="1" si="350"/>
        <v>0</v>
      </c>
      <c r="V801" s="359">
        <f t="shared" ca="1" si="351"/>
        <v>0.99724555343277477</v>
      </c>
      <c r="W801" s="357">
        <f t="shared" ca="1" si="352"/>
        <v>26.617312167904178</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6.6785689248879976</v>
      </c>
      <c r="AH801" s="357">
        <f t="shared" ca="1" si="376"/>
        <v>-2.6969848223234494</v>
      </c>
    </row>
    <row r="802" spans="1:34" x14ac:dyDescent="0.25">
      <c r="A802" s="402">
        <f t="shared" ca="1" si="354"/>
        <v>0.1</v>
      </c>
      <c r="B802" s="357">
        <f t="shared" ca="1" si="355"/>
        <v>34.800000000000161</v>
      </c>
      <c r="C802" s="342"/>
      <c r="D802" s="359">
        <f t="shared" ca="1" si="356"/>
        <v>-0.79746777912065792</v>
      </c>
      <c r="E802" s="360">
        <f t="shared" ca="1" si="357"/>
        <v>-7.1955747819587801</v>
      </c>
      <c r="F802" s="357">
        <f t="shared" ca="1" si="358"/>
        <v>7.2396306053207429</v>
      </c>
      <c r="G802" s="359">
        <f t="shared" ca="1" si="359"/>
        <v>31.602060867832904</v>
      </c>
      <c r="H802" s="360">
        <f t="shared" ca="1" si="360"/>
        <v>-104.58546783949032</v>
      </c>
      <c r="I802" s="357">
        <f t="shared" ca="1" si="361"/>
        <v>109.25571076286712</v>
      </c>
      <c r="J802" s="359">
        <f t="shared" ca="1" si="362"/>
        <v>1421.2621748536778</v>
      </c>
      <c r="K802" s="360">
        <f t="shared" ca="1" si="363"/>
        <v>2039.3459295837981</v>
      </c>
      <c r="L802" s="357">
        <f t="shared" ca="1" si="348"/>
        <v>2485.7429453143</v>
      </c>
      <c r="M802" s="359">
        <f t="shared" ca="1" si="364"/>
        <v>-1.2773545407533891</v>
      </c>
      <c r="N802" s="357">
        <f t="shared" ca="1" si="365"/>
        <v>-73.187024127040701</v>
      </c>
      <c r="O802" s="343"/>
      <c r="P802" s="363">
        <f t="shared" ca="1" si="366"/>
        <v>23</v>
      </c>
      <c r="Q802" s="357">
        <f t="shared" ca="1" si="367"/>
        <v>0</v>
      </c>
      <c r="R802" s="359">
        <f t="shared" ca="1" si="368"/>
        <v>0</v>
      </c>
      <c r="S802" s="360">
        <f t="shared" ca="1" si="369"/>
        <v>9.7379999999999765</v>
      </c>
      <c r="T802" s="357">
        <f t="shared" ca="1" si="349"/>
        <v>95.529779999999775</v>
      </c>
      <c r="U802" s="364">
        <f t="shared" ca="1" si="350"/>
        <v>0</v>
      </c>
      <c r="V802" s="359">
        <f t="shared" ca="1" si="351"/>
        <v>0.99829646971176444</v>
      </c>
      <c r="W802" s="357">
        <f t="shared" ca="1" si="352"/>
        <v>26.972887843034137</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6.649851480253016</v>
      </c>
      <c r="AH802" s="357">
        <f t="shared" ca="1" si="376"/>
        <v>-2.7333448519104788</v>
      </c>
    </row>
    <row r="803" spans="1:34" x14ac:dyDescent="0.25">
      <c r="A803" s="402">
        <f t="shared" ca="1" si="354"/>
        <v>0.1</v>
      </c>
      <c r="B803" s="357">
        <f t="shared" ca="1" si="355"/>
        <v>34.900000000000162</v>
      </c>
      <c r="C803" s="342"/>
      <c r="D803" s="359">
        <f t="shared" ca="1" si="356"/>
        <v>-0.80117785172222855</v>
      </c>
      <c r="E803" s="360">
        <f t="shared" ca="1" si="357"/>
        <v>-7.158541261424606</v>
      </c>
      <c r="F803" s="357">
        <f t="shared" ca="1" si="358"/>
        <v>7.2032353107203733</v>
      </c>
      <c r="G803" s="359">
        <f t="shared" ca="1" si="359"/>
        <v>31.52194308266068</v>
      </c>
      <c r="H803" s="360">
        <f t="shared" ca="1" si="360"/>
        <v>-105.30132196563278</v>
      </c>
      <c r="I803" s="357">
        <f t="shared" ca="1" si="361"/>
        <v>109.91815729631004</v>
      </c>
      <c r="J803" s="359">
        <f t="shared" ca="1" si="362"/>
        <v>1424.4183750512025</v>
      </c>
      <c r="K803" s="360">
        <f t="shared" ca="1" si="363"/>
        <v>2028.851590093542</v>
      </c>
      <c r="L803" s="357">
        <f t="shared" ca="1" si="348"/>
        <v>2478.9526985823272</v>
      </c>
      <c r="M803" s="359">
        <f t="shared" ca="1" si="364"/>
        <v>-1.2799360358779437</v>
      </c>
      <c r="N803" s="357">
        <f t="shared" ca="1" si="365"/>
        <v>-73.334932902511284</v>
      </c>
      <c r="O803" s="343"/>
      <c r="P803" s="363">
        <f t="shared" ca="1" si="366"/>
        <v>23</v>
      </c>
      <c r="Q803" s="357">
        <f t="shared" ca="1" si="367"/>
        <v>0</v>
      </c>
      <c r="R803" s="359">
        <f t="shared" ca="1" si="368"/>
        <v>0</v>
      </c>
      <c r="S803" s="360">
        <f t="shared" ca="1" si="369"/>
        <v>9.7379999999999765</v>
      </c>
      <c r="T803" s="357">
        <f t="shared" ca="1" si="349"/>
        <v>95.529779999999775</v>
      </c>
      <c r="U803" s="364">
        <f t="shared" ca="1" si="350"/>
        <v>0</v>
      </c>
      <c r="V803" s="359">
        <f t="shared" ca="1" si="351"/>
        <v>0.99935562741888406</v>
      </c>
      <c r="W803" s="357">
        <f t="shared" ca="1" si="352"/>
        <v>27.329932461432151</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6.6208027991169462</v>
      </c>
      <c r="AH803" s="357">
        <f t="shared" ca="1" si="376"/>
        <v>-2.7698590925276445</v>
      </c>
    </row>
    <row r="804" spans="1:34" x14ac:dyDescent="0.25">
      <c r="A804" s="402">
        <f t="shared" ca="1" si="354"/>
        <v>0.1</v>
      </c>
      <c r="B804" s="357">
        <f t="shared" ca="1" si="355"/>
        <v>35.000000000000163</v>
      </c>
      <c r="C804" s="342"/>
      <c r="D804" s="359">
        <f t="shared" ca="1" si="356"/>
        <v>-0.80484514685372888</v>
      </c>
      <c r="E804" s="360">
        <f t="shared" ca="1" si="357"/>
        <v>-7.1213567993230491</v>
      </c>
      <c r="F804" s="357">
        <f t="shared" ca="1" si="358"/>
        <v>7.1666936849344012</v>
      </c>
      <c r="G804" s="359">
        <f t="shared" ca="1" si="359"/>
        <v>31.441458567975307</v>
      </c>
      <c r="H804" s="360">
        <f t="shared" ca="1" si="360"/>
        <v>-106.01345764556508</v>
      </c>
      <c r="I804" s="357">
        <f t="shared" ca="1" si="361"/>
        <v>110.57765831690293</v>
      </c>
      <c r="J804" s="359">
        <f t="shared" ca="1" si="362"/>
        <v>1427.5665451337343</v>
      </c>
      <c r="K804" s="360">
        <f t="shared" ca="1" si="363"/>
        <v>2018.2858511129821</v>
      </c>
      <c r="L804" s="357">
        <f t="shared" ca="1" si="348"/>
        <v>2472.1294500061927</v>
      </c>
      <c r="M804" s="359">
        <f t="shared" ca="1" si="364"/>
        <v>-1.2824802029565447</v>
      </c>
      <c r="N804" s="357">
        <f t="shared" ca="1" si="365"/>
        <v>-73.480702938491262</v>
      </c>
      <c r="O804" s="343"/>
      <c r="P804" s="363">
        <f t="shared" ca="1" si="366"/>
        <v>23</v>
      </c>
      <c r="Q804" s="357">
        <f t="shared" ca="1" si="367"/>
        <v>0</v>
      </c>
      <c r="R804" s="359">
        <f t="shared" ca="1" si="368"/>
        <v>0</v>
      </c>
      <c r="S804" s="360">
        <f t="shared" ca="1" si="369"/>
        <v>9.7379999999999765</v>
      </c>
      <c r="T804" s="357">
        <f t="shared" ca="1" si="349"/>
        <v>95.529779999999775</v>
      </c>
      <c r="U804" s="364">
        <f t="shared" ca="1" si="350"/>
        <v>0</v>
      </c>
      <c r="V804" s="359">
        <f t="shared" ca="1" si="351"/>
        <v>1.0004230111888182</v>
      </c>
      <c r="W804" s="357">
        <f t="shared" ca="1" si="352"/>
        <v>27.688413231316449</v>
      </c>
      <c r="X804" s="343"/>
      <c r="Y804" s="367" t="str">
        <f t="shared" ca="1" si="370"/>
        <v/>
      </c>
      <c r="Z804" s="368" t="str">
        <f t="shared" ca="1" si="371"/>
        <v/>
      </c>
      <c r="AA804" s="369" t="str">
        <f t="shared" ca="1" si="372"/>
        <v/>
      </c>
      <c r="AB804" s="344"/>
      <c r="AC804" s="363">
        <f t="shared" ca="1" si="373"/>
        <v>35.000000000000163</v>
      </c>
      <c r="AD804" s="376">
        <f t="shared" ca="1" si="374"/>
        <v>1427.5665451337343</v>
      </c>
      <c r="AE804" s="377" t="e">
        <f t="shared" ca="1" si="353"/>
        <v>#N/A</v>
      </c>
      <c r="AF804" s="344"/>
      <c r="AG804" s="359">
        <f t="shared" ca="1" si="375"/>
        <v>6.5914314801973841</v>
      </c>
      <c r="AH804" s="357">
        <f t="shared" ca="1" si="376"/>
        <v>-2.8065241796500531</v>
      </c>
    </row>
    <row r="805" spans="1:34" x14ac:dyDescent="0.25">
      <c r="A805" s="402">
        <f t="shared" ca="1" si="354"/>
        <v>0.1</v>
      </c>
      <c r="B805" s="357">
        <f t="shared" ca="1" si="355"/>
        <v>35.100000000000165</v>
      </c>
      <c r="C805" s="342"/>
      <c r="D805" s="359">
        <f t="shared" ca="1" si="356"/>
        <v>-0.80846941281735452</v>
      </c>
      <c r="E805" s="360">
        <f t="shared" ca="1" si="357"/>
        <v>-7.0840247508509027</v>
      </c>
      <c r="F805" s="357">
        <f t="shared" ca="1" si="358"/>
        <v>7.1300090786849237</v>
      </c>
      <c r="G805" s="359">
        <f t="shared" ca="1" si="359"/>
        <v>31.360611626693572</v>
      </c>
      <c r="H805" s="360">
        <f t="shared" ca="1" si="360"/>
        <v>-106.72186012065018</v>
      </c>
      <c r="I805" s="357">
        <f t="shared" ca="1" si="361"/>
        <v>111.23418264729565</v>
      </c>
      <c r="J805" s="359">
        <f t="shared" ca="1" si="362"/>
        <v>1430.7066486434678</v>
      </c>
      <c r="K805" s="360">
        <f t="shared" ca="1" si="363"/>
        <v>2007.6490852246714</v>
      </c>
      <c r="L805" s="357">
        <f t="shared" ca="1" si="348"/>
        <v>2465.2740950807242</v>
      </c>
      <c r="M805" s="359">
        <f t="shared" ca="1" si="364"/>
        <v>-1.2849878504734871</v>
      </c>
      <c r="N805" s="357">
        <f t="shared" ca="1" si="365"/>
        <v>-73.62438055771851</v>
      </c>
      <c r="O805" s="343"/>
      <c r="P805" s="363">
        <f t="shared" ca="1" si="366"/>
        <v>23</v>
      </c>
      <c r="Q805" s="357">
        <f t="shared" ca="1" si="367"/>
        <v>0</v>
      </c>
      <c r="R805" s="359">
        <f t="shared" ca="1" si="368"/>
        <v>0</v>
      </c>
      <c r="S805" s="360">
        <f t="shared" ca="1" si="369"/>
        <v>9.7379999999999765</v>
      </c>
      <c r="T805" s="357">
        <f t="shared" ca="1" si="349"/>
        <v>95.529779999999775</v>
      </c>
      <c r="U805" s="364">
        <f t="shared" ca="1" si="350"/>
        <v>0</v>
      </c>
      <c r="V805" s="359">
        <f t="shared" ca="1" si="351"/>
        <v>1.0014986055642467</v>
      </c>
      <c r="W805" s="357">
        <f t="shared" ca="1" si="352"/>
        <v>28.048297337900859</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6.5617459383925318</v>
      </c>
      <c r="AH805" s="357">
        <f t="shared" ca="1" si="376"/>
        <v>-2.8433367458735384</v>
      </c>
    </row>
    <row r="806" spans="1:34" x14ac:dyDescent="0.25">
      <c r="A806" s="402">
        <f t="shared" ca="1" si="354"/>
        <v>0.1</v>
      </c>
      <c r="B806" s="357">
        <f t="shared" ca="1" si="355"/>
        <v>35.200000000000166</v>
      </c>
      <c r="C806" s="342"/>
      <c r="D806" s="359">
        <f t="shared" ca="1" si="356"/>
        <v>-0.81205040762380187</v>
      </c>
      <c r="E806" s="360">
        <f t="shared" ca="1" si="357"/>
        <v>-7.0465484753627088</v>
      </c>
      <c r="F806" s="357">
        <f t="shared" ca="1" si="358"/>
        <v>7.0931848474545269</v>
      </c>
      <c r="G806" s="359">
        <f t="shared" ca="1" si="359"/>
        <v>31.279406585931191</v>
      </c>
      <c r="H806" s="360">
        <f t="shared" ca="1" si="360"/>
        <v>-107.42651496818645</v>
      </c>
      <c r="I806" s="357">
        <f t="shared" ca="1" si="361"/>
        <v>111.8876999253179</v>
      </c>
      <c r="J806" s="359">
        <f t="shared" ca="1" si="362"/>
        <v>1433.838649554099</v>
      </c>
      <c r="K806" s="360">
        <f t="shared" ca="1" si="363"/>
        <v>1996.9416664702296</v>
      </c>
      <c r="L806" s="357">
        <f t="shared" ca="1" si="348"/>
        <v>2458.3875390670241</v>
      </c>
      <c r="M806" s="359">
        <f t="shared" ca="1" si="364"/>
        <v>-1.2874597644877801</v>
      </c>
      <c r="N806" s="357">
        <f t="shared" ca="1" si="365"/>
        <v>-73.76601079805674</v>
      </c>
      <c r="O806" s="343"/>
      <c r="P806" s="363">
        <f t="shared" ca="1" si="366"/>
        <v>23</v>
      </c>
      <c r="Q806" s="357">
        <f t="shared" ca="1" si="367"/>
        <v>0</v>
      </c>
      <c r="R806" s="359">
        <f t="shared" ca="1" si="368"/>
        <v>0</v>
      </c>
      <c r="S806" s="360">
        <f t="shared" ca="1" si="369"/>
        <v>9.7379999999999765</v>
      </c>
      <c r="T806" s="357">
        <f t="shared" ca="1" si="349"/>
        <v>95.529779999999775</v>
      </c>
      <c r="U806" s="364">
        <f t="shared" ca="1" si="350"/>
        <v>0</v>
      </c>
      <c r="V806" s="359">
        <f t="shared" ca="1" si="351"/>
        <v>1.0025823949967703</v>
      </c>
      <c r="W806" s="357">
        <f t="shared" ca="1" si="352"/>
        <v>28.409551948422347</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6.5317544119511339</v>
      </c>
      <c r="AH806" s="357">
        <f t="shared" ca="1" si="376"/>
        <v>-2.8802934214316007</v>
      </c>
    </row>
    <row r="807" spans="1:34" x14ac:dyDescent="0.25">
      <c r="A807" s="402">
        <f t="shared" ca="1" si="354"/>
        <v>0.1</v>
      </c>
      <c r="B807" s="357">
        <f t="shared" ca="1" si="355"/>
        <v>35.300000000000168</v>
      </c>
      <c r="C807" s="342"/>
      <c r="D807" s="359">
        <f t="shared" ca="1" si="356"/>
        <v>-0.81558789884791527</v>
      </c>
      <c r="E807" s="360">
        <f t="shared" ca="1" si="357"/>
        <v>-7.0089313357733269</v>
      </c>
      <c r="F807" s="357">
        <f t="shared" ca="1" si="358"/>
        <v>7.056224350906966</v>
      </c>
      <c r="G807" s="359">
        <f t="shared" ca="1" si="359"/>
        <v>31.1978477960464</v>
      </c>
      <c r="H807" s="360">
        <f t="shared" ca="1" si="360"/>
        <v>-108.12740810176379</v>
      </c>
      <c r="I807" s="357">
        <f t="shared" ca="1" si="361"/>
        <v>112.53818058734845</v>
      </c>
      <c r="J807" s="359">
        <f t="shared" ca="1" si="362"/>
        <v>1436.9625122731979</v>
      </c>
      <c r="K807" s="360">
        <f t="shared" ca="1" si="363"/>
        <v>1986.163970316732</v>
      </c>
      <c r="L807" s="357">
        <f t="shared" ca="1" si="348"/>
        <v>2451.4706970842676</v>
      </c>
      <c r="M807" s="359">
        <f t="shared" ca="1" si="364"/>
        <v>-1.2898967093709244</v>
      </c>
      <c r="N807" s="357">
        <f t="shared" ca="1" si="365"/>
        <v>-73.905637454766918</v>
      </c>
      <c r="O807" s="343"/>
      <c r="P807" s="363">
        <f t="shared" ca="1" si="366"/>
        <v>23</v>
      </c>
      <c r="Q807" s="357">
        <f t="shared" ca="1" si="367"/>
        <v>0</v>
      </c>
      <c r="R807" s="359">
        <f t="shared" ca="1" si="368"/>
        <v>0</v>
      </c>
      <c r="S807" s="360">
        <f t="shared" ca="1" si="369"/>
        <v>9.7379999999999765</v>
      </c>
      <c r="T807" s="357">
        <f t="shared" ca="1" si="349"/>
        <v>95.529779999999775</v>
      </c>
      <c r="U807" s="364">
        <f t="shared" ca="1" si="350"/>
        <v>0</v>
      </c>
      <c r="V807" s="359">
        <f t="shared" ca="1" si="351"/>
        <v>1.0036743638478429</v>
      </c>
      <c r="W807" s="357">
        <f t="shared" ca="1" si="352"/>
        <v>28.772144217160573</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6.5014649692893691</v>
      </c>
      <c r="AH807" s="357">
        <f t="shared" ca="1" si="376"/>
        <v>-2.9173908347116879</v>
      </c>
    </row>
    <row r="808" spans="1:34" x14ac:dyDescent="0.25">
      <c r="A808" s="402">
        <f t="shared" ca="1" si="354"/>
        <v>0.1</v>
      </c>
      <c r="B808" s="357">
        <f t="shared" ca="1" si="355"/>
        <v>35.400000000000169</v>
      </c>
      <c r="C808" s="342"/>
      <c r="D808" s="359">
        <f t="shared" ca="1" si="356"/>
        <v>-0.81908166348907452</v>
      </c>
      <c r="E808" s="360">
        <f t="shared" ca="1" si="357"/>
        <v>-6.9711766979650989</v>
      </c>
      <c r="F808" s="357">
        <f t="shared" ca="1" si="358"/>
        <v>7.0191309523128007</v>
      </c>
      <c r="G808" s="359">
        <f t="shared" ca="1" si="359"/>
        <v>31.115939629697493</v>
      </c>
      <c r="H808" s="360">
        <f t="shared" ca="1" si="360"/>
        <v>-108.8245257715603</v>
      </c>
      <c r="I808" s="357">
        <f t="shared" ca="1" si="361"/>
        <v>113.18559585231669</v>
      </c>
      <c r="J808" s="359">
        <f t="shared" ca="1" si="362"/>
        <v>1440.078201644485</v>
      </c>
      <c r="K808" s="360">
        <f t="shared" ca="1" si="363"/>
        <v>1975.3163736230658</v>
      </c>
      <c r="L808" s="357">
        <f t="shared" ca="1" si="348"/>
        <v>2444.5244942022964</v>
      </c>
      <c r="M808" s="359">
        <f t="shared" ca="1" si="364"/>
        <v>-1.2922994285172738</v>
      </c>
      <c r="N808" s="357">
        <f t="shared" ca="1" si="365"/>
        <v>-74.043303121208012</v>
      </c>
      <c r="O808" s="343"/>
      <c r="P808" s="363">
        <f t="shared" ca="1" si="366"/>
        <v>23</v>
      </c>
      <c r="Q808" s="357">
        <f t="shared" ca="1" si="367"/>
        <v>0</v>
      </c>
      <c r="R808" s="359">
        <f t="shared" ca="1" si="368"/>
        <v>0</v>
      </c>
      <c r="S808" s="360">
        <f t="shared" ca="1" si="369"/>
        <v>9.7379999999999765</v>
      </c>
      <c r="T808" s="357">
        <f t="shared" ca="1" si="349"/>
        <v>95.529779999999775</v>
      </c>
      <c r="U808" s="364">
        <f t="shared" ca="1" si="350"/>
        <v>0</v>
      </c>
      <c r="V808" s="359">
        <f t="shared" ca="1" si="351"/>
        <v>1.0047744963897136</v>
      </c>
      <c r="W808" s="357">
        <f t="shared" ca="1" si="352"/>
        <v>29.136041290448357</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6.4708855154726095</v>
      </c>
      <c r="AH808" s="357">
        <f t="shared" ca="1" si="376"/>
        <v>-2.9546256127706556</v>
      </c>
    </row>
    <row r="809" spans="1:34" x14ac:dyDescent="0.25">
      <c r="A809" s="402">
        <f t="shared" ca="1" si="354"/>
        <v>0.1</v>
      </c>
      <c r="B809" s="357">
        <f t="shared" ca="1" si="355"/>
        <v>35.500000000000171</v>
      </c>
      <c r="C809" s="342"/>
      <c r="D809" s="359">
        <f t="shared" ca="1" si="356"/>
        <v>-0.82253148783605734</v>
      </c>
      <c r="E809" s="360">
        <f t="shared" ca="1" si="357"/>
        <v>-6.933287930199489</v>
      </c>
      <c r="F809" s="357">
        <f t="shared" ca="1" si="358"/>
        <v>6.9819080179798787</v>
      </c>
      <c r="G809" s="359">
        <f t="shared" ca="1" si="359"/>
        <v>31.033686480913886</v>
      </c>
      <c r="H809" s="360">
        <f t="shared" ca="1" si="360"/>
        <v>-109.51785456458025</v>
      </c>
      <c r="I809" s="357">
        <f t="shared" ca="1" si="361"/>
        <v>113.82991770630518</v>
      </c>
      <c r="J809" s="359">
        <f t="shared" ca="1" si="362"/>
        <v>1443.1856829500157</v>
      </c>
      <c r="K809" s="360">
        <f t="shared" ca="1" si="363"/>
        <v>1964.3992546062589</v>
      </c>
      <c r="L809" s="357">
        <f t="shared" ca="1" si="348"/>
        <v>2437.5498655349656</v>
      </c>
      <c r="M809" s="359">
        <f t="shared" ca="1" si="364"/>
        <v>-1.2946686450280811</v>
      </c>
      <c r="N809" s="357">
        <f t="shared" ca="1" si="365"/>
        <v>-74.179049228029982</v>
      </c>
      <c r="O809" s="343"/>
      <c r="P809" s="363">
        <f t="shared" ca="1" si="366"/>
        <v>23</v>
      </c>
      <c r="Q809" s="357">
        <f t="shared" ca="1" si="367"/>
        <v>0</v>
      </c>
      <c r="R809" s="359">
        <f t="shared" ca="1" si="368"/>
        <v>0</v>
      </c>
      <c r="S809" s="360">
        <f t="shared" ca="1" si="369"/>
        <v>9.7379999999999765</v>
      </c>
      <c r="T809" s="357">
        <f t="shared" ca="1" si="349"/>
        <v>95.529779999999775</v>
      </c>
      <c r="U809" s="364">
        <f t="shared" ca="1" si="350"/>
        <v>0</v>
      </c>
      <c r="V809" s="359">
        <f t="shared" ca="1" si="351"/>
        <v>1.0058827768063805</v>
      </c>
      <c r="W809" s="357">
        <f t="shared" ca="1" si="352"/>
        <v>29.501210311671652</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6.440023798378852</v>
      </c>
      <c r="AH809" s="357">
        <f t="shared" ca="1" si="376"/>
        <v>-2.9919943818492944</v>
      </c>
    </row>
    <row r="810" spans="1:34" x14ac:dyDescent="0.25">
      <c r="A810" s="402">
        <f t="shared" ca="1" si="354"/>
        <v>0.1</v>
      </c>
      <c r="B810" s="357">
        <f t="shared" ca="1" si="355"/>
        <v>35.600000000000172</v>
      </c>
      <c r="C810" s="342"/>
      <c r="D810" s="359">
        <f t="shared" ca="1" si="356"/>
        <v>-0.82593716733612366</v>
      </c>
      <c r="E810" s="360">
        <f t="shared" ca="1" si="357"/>
        <v>-6.8952684025331674</v>
      </c>
      <c r="F810" s="357">
        <f t="shared" ca="1" si="358"/>
        <v>6.944558916688627</v>
      </c>
      <c r="G810" s="359">
        <f t="shared" ca="1" si="359"/>
        <v>30.951092764180274</v>
      </c>
      <c r="H810" s="360">
        <f t="shared" ca="1" si="360"/>
        <v>-110.20738140483357</v>
      </c>
      <c r="I810" s="357">
        <f t="shared" ca="1" si="361"/>
        <v>114.47111888772359</v>
      </c>
      <c r="J810" s="359">
        <f t="shared" ca="1" si="362"/>
        <v>1446.2849219122704</v>
      </c>
      <c r="K810" s="360">
        <f t="shared" ca="1" si="363"/>
        <v>1953.4129928077882</v>
      </c>
      <c r="L810" s="357">
        <f t="shared" ca="1" si="348"/>
        <v>2430.5477563341688</v>
      </c>
      <c r="M810" s="359">
        <f t="shared" ca="1" si="364"/>
        <v>-1.2970050623702789</v>
      </c>
      <c r="N810" s="357">
        <f t="shared" ca="1" si="365"/>
        <v>-74.312916080919081</v>
      </c>
      <c r="O810" s="343"/>
      <c r="P810" s="363">
        <f t="shared" ca="1" si="366"/>
        <v>23</v>
      </c>
      <c r="Q810" s="357">
        <f t="shared" ca="1" si="367"/>
        <v>0</v>
      </c>
      <c r="R810" s="359">
        <f t="shared" ca="1" si="368"/>
        <v>0</v>
      </c>
      <c r="S810" s="360">
        <f t="shared" ca="1" si="369"/>
        <v>9.7379999999999765</v>
      </c>
      <c r="T810" s="357">
        <f t="shared" ca="1" si="349"/>
        <v>95.529779999999775</v>
      </c>
      <c r="U810" s="364">
        <f t="shared" ca="1" si="350"/>
        <v>0</v>
      </c>
      <c r="V810" s="359">
        <f t="shared" ca="1" si="351"/>
        <v>1.0069991891945462</v>
      </c>
      <c r="W810" s="357">
        <f t="shared" ca="1" si="352"/>
        <v>29.86761842625728</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6.4088874145599117</v>
      </c>
      <c r="AH810" s="357">
        <f t="shared" ca="1" si="376"/>
        <v>-3.0294937678857798</v>
      </c>
    </row>
    <row r="811" spans="1:34" x14ac:dyDescent="0.25">
      <c r="A811" s="402">
        <f t="shared" ca="1" si="354"/>
        <v>0.1</v>
      </c>
      <c r="B811" s="357">
        <f t="shared" ca="1" si="355"/>
        <v>35.700000000000173</v>
      </c>
      <c r="C811" s="342"/>
      <c r="D811" s="359">
        <f t="shared" ca="1" si="356"/>
        <v>-0.82929850646807746</v>
      </c>
      <c r="E811" s="360">
        <f t="shared" ca="1" si="357"/>
        <v>-6.8571214862385244</v>
      </c>
      <c r="F811" s="357">
        <f t="shared" ca="1" si="358"/>
        <v>6.9070870191321765</v>
      </c>
      <c r="G811" s="359">
        <f t="shared" ca="1" si="359"/>
        <v>30.868162913533467</v>
      </c>
      <c r="H811" s="360">
        <f t="shared" ca="1" si="360"/>
        <v>-110.89309355345742</v>
      </c>
      <c r="I811" s="357">
        <f t="shared" ca="1" si="361"/>
        <v>115.10917287302651</v>
      </c>
      <c r="J811" s="359">
        <f t="shared" ca="1" si="362"/>
        <v>1449.3758846961562</v>
      </c>
      <c r="K811" s="360">
        <f t="shared" ca="1" si="363"/>
        <v>1942.3579690598738</v>
      </c>
      <c r="L811" s="357">
        <f t="shared" ca="1" si="348"/>
        <v>2423.5191220844872</v>
      </c>
      <c r="M811" s="359">
        <f t="shared" ca="1" si="364"/>
        <v>-1.2993093650110104</v>
      </c>
      <c r="N811" s="357">
        <f t="shared" ca="1" si="365"/>
        <v>-74.444942896953847</v>
      </c>
      <c r="O811" s="343"/>
      <c r="P811" s="363">
        <f t="shared" ca="1" si="366"/>
        <v>23</v>
      </c>
      <c r="Q811" s="357">
        <f t="shared" ca="1" si="367"/>
        <v>0</v>
      </c>
      <c r="R811" s="359">
        <f t="shared" ca="1" si="368"/>
        <v>0</v>
      </c>
      <c r="S811" s="360">
        <f t="shared" ca="1" si="369"/>
        <v>9.7379999999999765</v>
      </c>
      <c r="T811" s="357">
        <f t="shared" ca="1" si="349"/>
        <v>95.529779999999775</v>
      </c>
      <c r="U811" s="364">
        <f t="shared" ca="1" si="350"/>
        <v>0</v>
      </c>
      <c r="V811" s="359">
        <f t="shared" ca="1" si="351"/>
        <v>1.0081237175645905</v>
      </c>
      <c r="W811" s="357">
        <f t="shared" ca="1" si="352"/>
        <v>30.235232786647821</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6.3774838148155037</v>
      </c>
      <c r="AH811" s="357">
        <f t="shared" ca="1" si="376"/>
        <v>-3.0671203970278653</v>
      </c>
    </row>
    <row r="812" spans="1:34" x14ac:dyDescent="0.25">
      <c r="A812" s="402">
        <f t="shared" ca="1" si="354"/>
        <v>0.1</v>
      </c>
      <c r="B812" s="357">
        <f t="shared" ca="1" si="355"/>
        <v>35.800000000000175</v>
      </c>
      <c r="C812" s="342"/>
      <c r="D812" s="359">
        <f t="shared" ca="1" si="356"/>
        <v>-0.83261531861908322</v>
      </c>
      <c r="E812" s="360">
        <f t="shared" ca="1" si="357"/>
        <v>-6.818850553228514</v>
      </c>
      <c r="F812" s="357">
        <f t="shared" ca="1" si="358"/>
        <v>6.8694956973611951</v>
      </c>
      <c r="G812" s="359">
        <f t="shared" ca="1" si="359"/>
        <v>30.78490138167156</v>
      </c>
      <c r="H812" s="360">
        <f t="shared" ca="1" si="360"/>
        <v>-111.57497860878027</v>
      </c>
      <c r="I812" s="357">
        <f t="shared" ca="1" si="361"/>
        <v>115.74405386294805</v>
      </c>
      <c r="J812" s="359">
        <f t="shared" ca="1" si="362"/>
        <v>1452.4585379109164</v>
      </c>
      <c r="K812" s="360">
        <f t="shared" ca="1" si="363"/>
        <v>1931.2345654517619</v>
      </c>
      <c r="L812" s="357">
        <f t="shared" ca="1" si="348"/>
        <v>2416.4649285983796</v>
      </c>
      <c r="M812" s="359">
        <f t="shared" ca="1" si="364"/>
        <v>-1.3015822190288735</v>
      </c>
      <c r="N812" s="357">
        <f t="shared" ca="1" si="365"/>
        <v>-74.575167839626758</v>
      </c>
      <c r="O812" s="343"/>
      <c r="P812" s="363">
        <f t="shared" ca="1" si="366"/>
        <v>23</v>
      </c>
      <c r="Q812" s="357">
        <f t="shared" ca="1" si="367"/>
        <v>0</v>
      </c>
      <c r="R812" s="359">
        <f t="shared" ca="1" si="368"/>
        <v>0</v>
      </c>
      <c r="S812" s="360">
        <f t="shared" ca="1" si="369"/>
        <v>9.7379999999999765</v>
      </c>
      <c r="T812" s="357">
        <f t="shared" ca="1" si="349"/>
        <v>95.529779999999775</v>
      </c>
      <c r="U812" s="364">
        <f t="shared" ca="1" si="350"/>
        <v>0</v>
      </c>
      <c r="V812" s="359">
        <f t="shared" ca="1" si="351"/>
        <v>1.0092563458415433</v>
      </c>
      <c r="W812" s="357">
        <f t="shared" ca="1" si="352"/>
        <v>30.604020557261563</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6.3458203094946031</v>
      </c>
      <c r="AH812" s="357">
        <f t="shared" ca="1" si="376"/>
        <v>-3.1048708961437557</v>
      </c>
    </row>
    <row r="813" spans="1:34" x14ac:dyDescent="0.25">
      <c r="A813" s="402">
        <f t="shared" ca="1" si="354"/>
        <v>0.1</v>
      </c>
      <c r="B813" s="357">
        <f t="shared" ca="1" si="355"/>
        <v>35.900000000000176</v>
      </c>
      <c r="C813" s="342"/>
      <c r="D813" s="359">
        <f t="shared" ca="1" si="356"/>
        <v>-0.83588742596502053</v>
      </c>
      <c r="E813" s="360">
        <f t="shared" ca="1" si="357"/>
        <v>-6.7804589754858737</v>
      </c>
      <c r="F813" s="357">
        <f t="shared" ca="1" si="358"/>
        <v>6.8317883242335142</v>
      </c>
      <c r="G813" s="359">
        <f t="shared" ca="1" si="359"/>
        <v>30.701312639075059</v>
      </c>
      <c r="H813" s="360">
        <f t="shared" ca="1" si="360"/>
        <v>-112.25302450632886</v>
      </c>
      <c r="I813" s="357">
        <f t="shared" ca="1" si="361"/>
        <v>116.37573676922821</v>
      </c>
      <c r="J813" s="359">
        <f t="shared" ca="1" si="362"/>
        <v>1455.5328486119538</v>
      </c>
      <c r="K813" s="360">
        <f t="shared" ca="1" si="363"/>
        <v>1920.0431652960065</v>
      </c>
      <c r="L813" s="357">
        <f t="shared" ca="1" si="348"/>
        <v>2409.3861521118479</v>
      </c>
      <c r="M813" s="359">
        <f t="shared" ca="1" si="364"/>
        <v>-1.3038242727028135</v>
      </c>
      <c r="N813" s="357">
        <f t="shared" ca="1" si="365"/>
        <v>-74.70362805258533</v>
      </c>
      <c r="O813" s="343"/>
      <c r="P813" s="363">
        <f t="shared" ca="1" si="366"/>
        <v>23</v>
      </c>
      <c r="Q813" s="357">
        <f t="shared" ca="1" si="367"/>
        <v>0</v>
      </c>
      <c r="R813" s="359">
        <f t="shared" ca="1" si="368"/>
        <v>0</v>
      </c>
      <c r="S813" s="360">
        <f t="shared" ca="1" si="369"/>
        <v>9.7379999999999765</v>
      </c>
      <c r="T813" s="357">
        <f t="shared" ca="1" si="349"/>
        <v>95.529779999999775</v>
      </c>
      <c r="U813" s="364">
        <f t="shared" ca="1" si="350"/>
        <v>0</v>
      </c>
      <c r="V813" s="359">
        <f t="shared" ca="1" si="351"/>
        <v>1.0103970578660724</v>
      </c>
      <c r="W813" s="357">
        <f t="shared" ca="1" si="352"/>
        <v>30.973948919436708</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6.3139040735377137</v>
      </c>
      <c r="AH813" s="357">
        <f t="shared" ca="1" si="376"/>
        <v>-3.1427418933314475</v>
      </c>
    </row>
    <row r="814" spans="1:34" x14ac:dyDescent="0.25">
      <c r="A814" s="402">
        <f t="shared" ca="1" si="354"/>
        <v>0.1</v>
      </c>
      <c r="B814" s="357">
        <f t="shared" ca="1" si="355"/>
        <v>36.000000000000178</v>
      </c>
      <c r="C814" s="342"/>
      <c r="D814" s="359">
        <f t="shared" ca="1" si="356"/>
        <v>-0.8391146593541694</v>
      </c>
      <c r="E814" s="360">
        <f t="shared" ca="1" si="357"/>
        <v>-6.7419501244966593</v>
      </c>
      <c r="F814" s="357">
        <f t="shared" ca="1" si="358"/>
        <v>6.7939682728684847</v>
      </c>
      <c r="G814" s="359">
        <f t="shared" ca="1" si="359"/>
        <v>30.617401173139644</v>
      </c>
      <c r="H814" s="360">
        <f t="shared" ca="1" si="360"/>
        <v>-112.92721951877853</v>
      </c>
      <c r="I814" s="357">
        <f t="shared" ca="1" si="361"/>
        <v>117.0041972018071</v>
      </c>
      <c r="J814" s="359">
        <f t="shared" ca="1" si="362"/>
        <v>1458.5987843025646</v>
      </c>
      <c r="K814" s="360">
        <f t="shared" ca="1" si="363"/>
        <v>1908.784153094751</v>
      </c>
      <c r="L814" s="357">
        <f t="shared" ca="1" si="348"/>
        <v>2402.2837793804806</v>
      </c>
      <c r="M814" s="359">
        <f t="shared" ca="1" si="364"/>
        <v>-1.3060361570795509</v>
      </c>
      <c r="N814" s="357">
        <f t="shared" ca="1" si="365"/>
        <v>-74.830359692143304</v>
      </c>
      <c r="O814" s="343"/>
      <c r="P814" s="363">
        <f t="shared" ca="1" si="366"/>
        <v>23</v>
      </c>
      <c r="Q814" s="357">
        <f t="shared" ca="1" si="367"/>
        <v>0</v>
      </c>
      <c r="R814" s="359">
        <f t="shared" ca="1" si="368"/>
        <v>0</v>
      </c>
      <c r="S814" s="360">
        <f t="shared" ca="1" si="369"/>
        <v>9.7379999999999765</v>
      </c>
      <c r="T814" s="357">
        <f t="shared" ca="1" si="349"/>
        <v>95.529779999999775</v>
      </c>
      <c r="U814" s="364">
        <f t="shared" ca="1" si="350"/>
        <v>0</v>
      </c>
      <c r="V814" s="359">
        <f t="shared" ca="1" si="351"/>
        <v>1.0115458373954744</v>
      </c>
      <c r="W814" s="357">
        <f t="shared" ca="1" si="352"/>
        <v>31.344985076358316</v>
      </c>
      <c r="X814" s="343"/>
      <c r="Y814" s="367" t="str">
        <f t="shared" ca="1" si="370"/>
        <v/>
      </c>
      <c r="Z814" s="368" t="str">
        <f t="shared" ca="1" si="371"/>
        <v/>
      </c>
      <c r="AA814" s="369" t="str">
        <f t="shared" ca="1" si="372"/>
        <v/>
      </c>
      <c r="AB814" s="344"/>
      <c r="AC814" s="363">
        <f t="shared" ca="1" si="373"/>
        <v>36.000000000000178</v>
      </c>
      <c r="AD814" s="376">
        <f t="shared" ca="1" si="374"/>
        <v>1458.5987843025646</v>
      </c>
      <c r="AE814" s="377" t="e">
        <f t="shared" ca="1" si="353"/>
        <v>#N/A</v>
      </c>
      <c r="AF814" s="344"/>
      <c r="AG814" s="359">
        <f t="shared" ca="1" si="375"/>
        <v>6.2817421512729563</v>
      </c>
      <c r="AH814" s="357">
        <f t="shared" ca="1" si="376"/>
        <v>-3.1807300184264515</v>
      </c>
    </row>
    <row r="815" spans="1:34" x14ac:dyDescent="0.25">
      <c r="A815" s="402">
        <f t="shared" ca="1" si="354"/>
        <v>0.1</v>
      </c>
      <c r="B815" s="357">
        <f t="shared" ca="1" si="355"/>
        <v>36.100000000000179</v>
      </c>
      <c r="C815" s="342"/>
      <c r="D815" s="359">
        <f t="shared" ca="1" si="356"/>
        <v>-0.84229685819403388</v>
      </c>
      <c r="E815" s="360">
        <f t="shared" ca="1" si="357"/>
        <v>-6.7033273706880969</v>
      </c>
      <c r="F815" s="357">
        <f t="shared" ca="1" si="358"/>
        <v>6.7560389161060739</v>
      </c>
      <c r="G815" s="359">
        <f t="shared" ca="1" si="359"/>
        <v>30.533171487320242</v>
      </c>
      <c r="H815" s="360">
        <f t="shared" ca="1" si="360"/>
        <v>-113.59755225584733</v>
      </c>
      <c r="I815" s="357">
        <f t="shared" ca="1" si="361"/>
        <v>117.62941145646387</v>
      </c>
      <c r="J815" s="359">
        <f t="shared" ca="1" si="362"/>
        <v>1461.6563129355875</v>
      </c>
      <c r="K815" s="360">
        <f t="shared" ca="1" si="363"/>
        <v>1897.4579145060197</v>
      </c>
      <c r="L815" s="357">
        <f t="shared" ca="1" si="348"/>
        <v>2395.1588077757997</v>
      </c>
      <c r="M815" s="359">
        <f t="shared" ca="1" si="364"/>
        <v>-1.308218486520401</v>
      </c>
      <c r="N815" s="357">
        <f t="shared" ca="1" si="365"/>
        <v>-74.955397958611158</v>
      </c>
      <c r="O815" s="343"/>
      <c r="P815" s="363">
        <f t="shared" ca="1" si="366"/>
        <v>23</v>
      </c>
      <c r="Q815" s="357">
        <f t="shared" ca="1" si="367"/>
        <v>0</v>
      </c>
      <c r="R815" s="359">
        <f t="shared" ca="1" si="368"/>
        <v>0</v>
      </c>
      <c r="S815" s="360">
        <f t="shared" ca="1" si="369"/>
        <v>9.7379999999999765</v>
      </c>
      <c r="T815" s="357">
        <f t="shared" ca="1" si="349"/>
        <v>95.529779999999775</v>
      </c>
      <c r="U815" s="364">
        <f t="shared" ca="1" si="350"/>
        <v>0</v>
      </c>
      <c r="V815" s="359">
        <f t="shared" ca="1" si="351"/>
        <v>1.0127026681046771</v>
      </c>
      <c r="W815" s="357">
        <f t="shared" ca="1" si="352"/>
        <v>31.717096257966592</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6.2493414609782585</v>
      </c>
      <c r="AH815" s="357">
        <f t="shared" ca="1" si="376"/>
        <v>-3.2188319035077422</v>
      </c>
    </row>
    <row r="816" spans="1:34" x14ac:dyDescent="0.25">
      <c r="A816" s="402">
        <f t="shared" ca="1" si="354"/>
        <v>0.1</v>
      </c>
      <c r="B816" s="357">
        <f t="shared" ca="1" si="355"/>
        <v>36.20000000000018</v>
      </c>
      <c r="C816" s="342"/>
      <c r="D816" s="359">
        <f t="shared" ca="1" si="356"/>
        <v>-0.84543387034111661</v>
      </c>
      <c r="E816" s="360">
        <f t="shared" ca="1" si="357"/>
        <v>-6.6645940828707824</v>
      </c>
      <c r="F816" s="357">
        <f t="shared" ca="1" si="358"/>
        <v>6.7180036259707547</v>
      </c>
      <c r="G816" s="359">
        <f t="shared" ca="1" si="359"/>
        <v>30.448628100286129</v>
      </c>
      <c r="H816" s="360">
        <f t="shared" ca="1" si="360"/>
        <v>-114.26401166413442</v>
      </c>
      <c r="I816" s="357">
        <f t="shared" ca="1" si="361"/>
        <v>118.25135650287898</v>
      </c>
      <c r="J816" s="359">
        <f t="shared" ca="1" si="362"/>
        <v>1464.7054029149679</v>
      </c>
      <c r="K816" s="360">
        <f t="shared" ca="1" si="363"/>
        <v>1886.0648363100206</v>
      </c>
      <c r="L816" s="357">
        <f t="shared" ca="1" si="348"/>
        <v>2388.0122453818035</v>
      </c>
      <c r="M816" s="359">
        <f t="shared" ca="1" si="364"/>
        <v>-1.3103718592283013</v>
      </c>
      <c r="N816" s="357">
        <f t="shared" ca="1" si="365"/>
        <v>-75.078777126492497</v>
      </c>
      <c r="O816" s="343"/>
      <c r="P816" s="363">
        <f t="shared" ca="1" si="366"/>
        <v>23</v>
      </c>
      <c r="Q816" s="357">
        <f t="shared" ca="1" si="367"/>
        <v>0</v>
      </c>
      <c r="R816" s="359">
        <f t="shared" ca="1" si="368"/>
        <v>0</v>
      </c>
      <c r="S816" s="360">
        <f t="shared" ca="1" si="369"/>
        <v>9.7379999999999765</v>
      </c>
      <c r="T816" s="357">
        <f t="shared" ca="1" si="349"/>
        <v>95.529779999999775</v>
      </c>
      <c r="U816" s="364">
        <f t="shared" ca="1" si="350"/>
        <v>0</v>
      </c>
      <c r="V816" s="359">
        <f t="shared" ca="1" si="351"/>
        <v>1.0138675335872478</v>
      </c>
      <c r="W816" s="357">
        <f t="shared" ca="1" si="352"/>
        <v>32.090249725845453</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6.2167087992212036</v>
      </c>
      <c r="AH816" s="357">
        <f t="shared" ca="1" si="376"/>
        <v>-3.2570441834017938</v>
      </c>
    </row>
    <row r="817" spans="1:34" x14ac:dyDescent="0.25">
      <c r="A817" s="402">
        <f t="shared" ca="1" si="354"/>
        <v>0.1</v>
      </c>
      <c r="B817" s="357">
        <f t="shared" ca="1" si="355"/>
        <v>36.300000000000182</v>
      </c>
      <c r="C817" s="342"/>
      <c r="D817" s="359">
        <f t="shared" ca="1" si="356"/>
        <v>-0.84852555199348012</v>
      </c>
      <c r="E817" s="360">
        <f t="shared" ca="1" si="357"/>
        <v>-6.6257536276851816</v>
      </c>
      <c r="F817" s="357">
        <f t="shared" ca="1" si="358"/>
        <v>6.6798657731401452</v>
      </c>
      <c r="G817" s="359">
        <f t="shared" ca="1" si="359"/>
        <v>30.363775545086781</v>
      </c>
      <c r="H817" s="360">
        <f t="shared" ca="1" si="360"/>
        <v>-114.92658702690294</v>
      </c>
      <c r="I817" s="357">
        <f t="shared" ca="1" si="361"/>
        <v>118.8700099730992</v>
      </c>
      <c r="J817" s="359">
        <f t="shared" ca="1" si="362"/>
        <v>1467.7460230972365</v>
      </c>
      <c r="K817" s="360">
        <f t="shared" ca="1" si="363"/>
        <v>1874.6053063754687</v>
      </c>
      <c r="L817" s="357">
        <f t="shared" ca="1" si="348"/>
        <v>2380.8451110916094</v>
      </c>
      <c r="M817" s="359">
        <f t="shared" ca="1" si="364"/>
        <v>-1.3124968577558345</v>
      </c>
      <c r="N817" s="357">
        <f t="shared" ca="1" si="365"/>
        <v>-75.200530573591664</v>
      </c>
      <c r="O817" s="343"/>
      <c r="P817" s="363">
        <f t="shared" ca="1" si="366"/>
        <v>23</v>
      </c>
      <c r="Q817" s="357">
        <f t="shared" ca="1" si="367"/>
        <v>0</v>
      </c>
      <c r="R817" s="359">
        <f t="shared" ca="1" si="368"/>
        <v>0</v>
      </c>
      <c r="S817" s="360">
        <f t="shared" ca="1" si="369"/>
        <v>9.7379999999999765</v>
      </c>
      <c r="T817" s="357">
        <f t="shared" ca="1" si="349"/>
        <v>95.529779999999775</v>
      </c>
      <c r="U817" s="364">
        <f t="shared" ca="1" si="350"/>
        <v>0</v>
      </c>
      <c r="V817" s="359">
        <f t="shared" ca="1" si="351"/>
        <v>1.0150404173564078</v>
      </c>
      <c r="W817" s="357">
        <f t="shared" ca="1" si="352"/>
        <v>32.464412778089873</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6.1838508449876253</v>
      </c>
      <c r="AH817" s="357">
        <f t="shared" ca="1" si="376"/>
        <v>-3.2953634961845895</v>
      </c>
    </row>
    <row r="818" spans="1:34" x14ac:dyDescent="0.25">
      <c r="A818" s="402">
        <f t="shared" ca="1" si="354"/>
        <v>0.1</v>
      </c>
      <c r="B818" s="357">
        <f t="shared" ca="1" si="355"/>
        <v>36.400000000000183</v>
      </c>
      <c r="C818" s="342"/>
      <c r="D818" s="359">
        <f t="shared" ca="1" si="356"/>
        <v>-0.85157176758591702</v>
      </c>
      <c r="E818" s="360">
        <f t="shared" ca="1" si="357"/>
        <v>-6.5868093690525047</v>
      </c>
      <c r="F818" s="357">
        <f t="shared" ca="1" si="358"/>
        <v>6.641628726418487</v>
      </c>
      <c r="G818" s="359">
        <f t="shared" ca="1" si="359"/>
        <v>30.278618368328189</v>
      </c>
      <c r="H818" s="360">
        <f t="shared" ca="1" si="360"/>
        <v>-115.58526796380819</v>
      </c>
      <c r="I818" s="357">
        <f t="shared" ca="1" si="361"/>
        <v>119.4853501503854</v>
      </c>
      <c r="J818" s="359">
        <f t="shared" ca="1" si="362"/>
        <v>1470.7781427929071</v>
      </c>
      <c r="K818" s="360">
        <f t="shared" ca="1" si="363"/>
        <v>1863.0797136259332</v>
      </c>
      <c r="L818" s="357">
        <f t="shared" ca="1" si="348"/>
        <v>2373.6584347040839</v>
      </c>
      <c r="M818" s="359">
        <f t="shared" ca="1" si="364"/>
        <v>-1.3145940494949977</v>
      </c>
      <c r="N818" s="357">
        <f t="shared" ca="1" si="365"/>
        <v>-75.320690809075415</v>
      </c>
      <c r="O818" s="343"/>
      <c r="P818" s="363">
        <f t="shared" ca="1" si="366"/>
        <v>23</v>
      </c>
      <c r="Q818" s="357">
        <f t="shared" ca="1" si="367"/>
        <v>0</v>
      </c>
      <c r="R818" s="359">
        <f t="shared" ca="1" si="368"/>
        <v>0</v>
      </c>
      <c r="S818" s="360">
        <f t="shared" ca="1" si="369"/>
        <v>9.7379999999999765</v>
      </c>
      <c r="T818" s="357">
        <f t="shared" ca="1" si="349"/>
        <v>95.529779999999775</v>
      </c>
      <c r="U818" s="364">
        <f t="shared" ca="1" si="350"/>
        <v>0</v>
      </c>
      <c r="V818" s="359">
        <f t="shared" ca="1" si="351"/>
        <v>1.0162213028460612</v>
      </c>
      <c r="W818" s="357">
        <f t="shared" ca="1" si="352"/>
        <v>32.83955275415088</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6.1507741636093201</v>
      </c>
      <c r="AH818" s="357">
        <f t="shared" ca="1" si="376"/>
        <v>-3.333786483681449</v>
      </c>
    </row>
    <row r="819" spans="1:34" x14ac:dyDescent="0.25">
      <c r="A819" s="402">
        <f t="shared" ca="1" si="354"/>
        <v>0.1</v>
      </c>
      <c r="B819" s="357">
        <f t="shared" ca="1" si="355"/>
        <v>36.500000000000185</v>
      </c>
      <c r="C819" s="342"/>
      <c r="D819" s="359">
        <f t="shared" ca="1" si="356"/>
        <v>-0.85457238968757399</v>
      </c>
      <c r="E819" s="360">
        <f t="shared" ca="1" si="357"/>
        <v>-6.547764667629913</v>
      </c>
      <c r="F819" s="357">
        <f t="shared" ca="1" si="358"/>
        <v>6.603295852214937</v>
      </c>
      <c r="G819" s="359">
        <f t="shared" ca="1" si="359"/>
        <v>30.193161129359432</v>
      </c>
      <c r="H819" s="360">
        <f t="shared" ca="1" si="360"/>
        <v>-116.24004443057119</v>
      </c>
      <c r="I819" s="357">
        <f t="shared" ca="1" si="361"/>
        <v>120.09735595842494</v>
      </c>
      <c r="J819" s="359">
        <f t="shared" ca="1" si="362"/>
        <v>1473.8017317677916</v>
      </c>
      <c r="K819" s="360">
        <f t="shared" ca="1" si="363"/>
        <v>1851.4884480062142</v>
      </c>
      <c r="L819" s="357">
        <f t="shared" ca="1" si="348"/>
        <v>2366.4532570203455</v>
      </c>
      <c r="M819" s="359">
        <f t="shared" ca="1" si="364"/>
        <v>-1.316663987149437</v>
      </c>
      <c r="N819" s="357">
        <f t="shared" ca="1" si="365"/>
        <v>-75.439289500529995</v>
      </c>
      <c r="O819" s="343"/>
      <c r="P819" s="363">
        <f t="shared" ca="1" si="366"/>
        <v>23</v>
      </c>
      <c r="Q819" s="357">
        <f t="shared" ca="1" si="367"/>
        <v>0</v>
      </c>
      <c r="R819" s="359">
        <f t="shared" ca="1" si="368"/>
        <v>0</v>
      </c>
      <c r="S819" s="360">
        <f t="shared" ca="1" si="369"/>
        <v>9.7379999999999765</v>
      </c>
      <c r="T819" s="357">
        <f t="shared" ca="1" si="349"/>
        <v>95.529779999999775</v>
      </c>
      <c r="U819" s="364">
        <f t="shared" ca="1" si="350"/>
        <v>0</v>
      </c>
      <c r="V819" s="359">
        <f t="shared" ca="1" si="351"/>
        <v>1.0174101734118202</v>
      </c>
      <c r="W819" s="357">
        <f t="shared" ca="1" si="352"/>
        <v>33.215637039656713</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6.1174852105008544</v>
      </c>
      <c r="AH819" s="357">
        <f t="shared" ca="1" si="376"/>
        <v>-3.3723097919645677</v>
      </c>
    </row>
    <row r="820" spans="1:34" x14ac:dyDescent="0.25">
      <c r="A820" s="402">
        <f t="shared" ca="1" si="354"/>
        <v>0.1</v>
      </c>
      <c r="B820" s="357">
        <f t="shared" ca="1" si="355"/>
        <v>36.600000000000186</v>
      </c>
      <c r="C820" s="342"/>
      <c r="D820" s="359">
        <f t="shared" ca="1" si="356"/>
        <v>-0.85752729890189205</v>
      </c>
      <c r="E820" s="360">
        <f t="shared" ca="1" si="357"/>
        <v>-6.5086228802701589</v>
      </c>
      <c r="F820" s="357">
        <f t="shared" ca="1" si="358"/>
        <v>6.5648705140267767</v>
      </c>
      <c r="G820" s="359">
        <f t="shared" ca="1" si="359"/>
        <v>30.107408399469243</v>
      </c>
      <c r="H820" s="360">
        <f t="shared" ca="1" si="360"/>
        <v>-116.8909067185982</v>
      </c>
      <c r="I820" s="357">
        <f t="shared" ca="1" si="361"/>
        <v>120.70600695089064</v>
      </c>
      <c r="J820" s="359">
        <f t="shared" ca="1" si="362"/>
        <v>1476.8167602442329</v>
      </c>
      <c r="K820" s="360">
        <f t="shared" ca="1" si="363"/>
        <v>1839.8319004487557</v>
      </c>
      <c r="L820" s="357">
        <f t="shared" ca="1" si="348"/>
        <v>2359.2306299400134</v>
      </c>
      <c r="M820" s="359">
        <f t="shared" ca="1" si="364"/>
        <v>-1.3187072091898409</v>
      </c>
      <c r="N820" s="357">
        <f t="shared" ca="1" si="365"/>
        <v>-75.556357500053252</v>
      </c>
      <c r="O820" s="343"/>
      <c r="P820" s="363">
        <f t="shared" ca="1" si="366"/>
        <v>23</v>
      </c>
      <c r="Q820" s="357">
        <f t="shared" ca="1" si="367"/>
        <v>0</v>
      </c>
      <c r="R820" s="359">
        <f t="shared" ca="1" si="368"/>
        <v>0</v>
      </c>
      <c r="S820" s="360">
        <f t="shared" ca="1" si="369"/>
        <v>9.7379999999999765</v>
      </c>
      <c r="T820" s="357">
        <f t="shared" ca="1" si="349"/>
        <v>95.529779999999775</v>
      </c>
      <c r="U820" s="364">
        <f t="shared" ca="1" si="350"/>
        <v>0</v>
      </c>
      <c r="V820" s="359">
        <f t="shared" ca="1" si="351"/>
        <v>1.0186070123320485</v>
      </c>
      <c r="W820" s="357">
        <f t="shared" ca="1" si="352"/>
        <v>33.592633071209249</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6.0839903347148496</v>
      </c>
      <c r="AH820" s="357">
        <f t="shared" ca="1" si="376"/>
        <v>-3.4109300718480995</v>
      </c>
    </row>
    <row r="821" spans="1:34" x14ac:dyDescent="0.25">
      <c r="A821" s="402">
        <f t="shared" ca="1" si="354"/>
        <v>0.1</v>
      </c>
      <c r="B821" s="357">
        <f t="shared" ca="1" si="355"/>
        <v>36.700000000000188</v>
      </c>
      <c r="C821" s="342"/>
      <c r="D821" s="359">
        <f t="shared" ca="1" si="356"/>
        <v>-0.86043638376871101</v>
      </c>
      <c r="E821" s="360">
        <f t="shared" ca="1" si="357"/>
        <v>-6.4693873594856015</v>
      </c>
      <c r="F821" s="357">
        <f t="shared" ca="1" si="358"/>
        <v>6.5263560719275082</v>
      </c>
      <c r="G821" s="359">
        <f t="shared" ca="1" si="359"/>
        <v>30.021364761092372</v>
      </c>
      <c r="H821" s="360">
        <f t="shared" ca="1" si="360"/>
        <v>-117.53784545454677</v>
      </c>
      <c r="I821" s="357">
        <f t="shared" ca="1" si="361"/>
        <v>121.31128330132972</v>
      </c>
      <c r="J821" s="359">
        <f t="shared" ca="1" si="362"/>
        <v>1479.8231989022611</v>
      </c>
      <c r="K821" s="360">
        <f t="shared" ca="1" si="363"/>
        <v>1828.1104628400985</v>
      </c>
      <c r="L821" s="357">
        <f t="shared" ca="1" si="348"/>
        <v>2351.9916165570744</v>
      </c>
      <c r="M821" s="359">
        <f t="shared" ca="1" si="364"/>
        <v>-1.3207242402931541</v>
      </c>
      <c r="N821" s="357">
        <f t="shared" ca="1" si="365"/>
        <v>-75.671924869419712</v>
      </c>
      <c r="O821" s="343"/>
      <c r="P821" s="363">
        <f t="shared" ca="1" si="366"/>
        <v>23</v>
      </c>
      <c r="Q821" s="357">
        <f t="shared" ca="1" si="367"/>
        <v>0</v>
      </c>
      <c r="R821" s="359">
        <f t="shared" ca="1" si="368"/>
        <v>0</v>
      </c>
      <c r="S821" s="360">
        <f t="shared" ca="1" si="369"/>
        <v>9.7379999999999765</v>
      </c>
      <c r="T821" s="357">
        <f t="shared" ca="1" si="349"/>
        <v>95.529779999999775</v>
      </c>
      <c r="U821" s="364">
        <f t="shared" ca="1" si="350"/>
        <v>0</v>
      </c>
      <c r="V821" s="359">
        <f t="shared" ca="1" si="351"/>
        <v>1.0198118028089052</v>
      </c>
      <c r="W821" s="357">
        <f t="shared" ca="1" si="352"/>
        <v>33.970508341154087</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6.0502957823246426</v>
      </c>
      <c r="AH821" s="357">
        <f t="shared" ca="1" si="376"/>
        <v>-3.4496439793807077</v>
      </c>
    </row>
    <row r="822" spans="1:34" x14ac:dyDescent="0.25">
      <c r="A822" s="402">
        <f t="shared" ca="1" si="354"/>
        <v>0.1</v>
      </c>
      <c r="B822" s="357">
        <f t="shared" ca="1" si="355"/>
        <v>36.800000000000189</v>
      </c>
      <c r="C822" s="342"/>
      <c r="D822" s="359">
        <f t="shared" ca="1" si="356"/>
        <v>-0.86329954066840464</v>
      </c>
      <c r="E822" s="360">
        <f t="shared" ca="1" si="357"/>
        <v>-6.4300614529167062</v>
      </c>
      <c r="F822" s="357">
        <f t="shared" ca="1" si="358"/>
        <v>6.4877558820599575</v>
      </c>
      <c r="G822" s="359">
        <f t="shared" ca="1" si="359"/>
        <v>29.935034807025531</v>
      </c>
      <c r="H822" s="360">
        <f t="shared" ca="1" si="360"/>
        <v>-118.18085159983843</v>
      </c>
      <c r="I822" s="357">
        <f t="shared" ca="1" si="361"/>
        <v>121.91316579336649</v>
      </c>
      <c r="J822" s="359">
        <f t="shared" ca="1" si="362"/>
        <v>1482.821018880667</v>
      </c>
      <c r="K822" s="360">
        <f t="shared" ca="1" si="363"/>
        <v>1816.3245279873793</v>
      </c>
      <c r="L822" s="357">
        <f t="shared" ca="1" si="348"/>
        <v>2344.7372912552219</v>
      </c>
      <c r="M822" s="359">
        <f t="shared" ca="1" si="364"/>
        <v>-1.3227155917662432</v>
      </c>
      <c r="N822" s="357">
        <f t="shared" ca="1" si="365"/>
        <v>-75.786020904354885</v>
      </c>
      <c r="O822" s="343"/>
      <c r="P822" s="363">
        <f t="shared" ca="1" si="366"/>
        <v>23</v>
      </c>
      <c r="Q822" s="357">
        <f t="shared" ca="1" si="367"/>
        <v>0</v>
      </c>
      <c r="R822" s="359">
        <f t="shared" ca="1" si="368"/>
        <v>0</v>
      </c>
      <c r="S822" s="360">
        <f t="shared" ca="1" si="369"/>
        <v>9.7379999999999765</v>
      </c>
      <c r="T822" s="357">
        <f t="shared" ca="1" si="349"/>
        <v>95.529779999999775</v>
      </c>
      <c r="U822" s="364">
        <f t="shared" ca="1" si="350"/>
        <v>0</v>
      </c>
      <c r="V822" s="359">
        <f t="shared" ca="1" si="351"/>
        <v>1.0210245279693955</v>
      </c>
      <c r="W822" s="357">
        <f t="shared" ca="1" si="352"/>
        <v>34.349230402323165</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6.0164076996428282</v>
      </c>
      <c r="AH822" s="357">
        <f t="shared" ca="1" si="376"/>
        <v>-3.4884481763354045</v>
      </c>
    </row>
    <row r="823" spans="1:34" x14ac:dyDescent="0.25">
      <c r="A823" s="402">
        <f t="shared" ca="1" si="354"/>
        <v>0.1</v>
      </c>
      <c r="B823" s="357">
        <f t="shared" ca="1" si="355"/>
        <v>36.90000000000019</v>
      </c>
      <c r="C823" s="342"/>
      <c r="D823" s="359">
        <f t="shared" ca="1" si="356"/>
        <v>-0.86611667372792933</v>
      </c>
      <c r="E823" s="360">
        <f t="shared" ca="1" si="357"/>
        <v>-6.3906485028050382</v>
      </c>
      <c r="F823" s="357">
        <f t="shared" ca="1" si="358"/>
        <v>6.4490732961343991</v>
      </c>
      <c r="G823" s="359">
        <f t="shared" ca="1" si="359"/>
        <v>29.848423139652738</v>
      </c>
      <c r="H823" s="360">
        <f t="shared" ca="1" si="360"/>
        <v>-118.81991645011894</v>
      </c>
      <c r="I823" s="357">
        <f t="shared" ca="1" si="361"/>
        <v>122.51163581120367</v>
      </c>
      <c r="J823" s="359">
        <f t="shared" ca="1" si="362"/>
        <v>1485.8101917780009</v>
      </c>
      <c r="K823" s="360">
        <f t="shared" ca="1" si="363"/>
        <v>1804.4744895848814</v>
      </c>
      <c r="L823" s="357">
        <f t="shared" ca="1" si="348"/>
        <v>2337.4687398025239</v>
      </c>
      <c r="M823" s="359">
        <f t="shared" ca="1" si="364"/>
        <v>-1.3246817619546274</v>
      </c>
      <c r="N823" s="357">
        <f t="shared" ca="1" si="365"/>
        <v>-75.898674157953735</v>
      </c>
      <c r="O823" s="343"/>
      <c r="P823" s="363">
        <f t="shared" ca="1" si="366"/>
        <v>23</v>
      </c>
      <c r="Q823" s="357">
        <f t="shared" ca="1" si="367"/>
        <v>0</v>
      </c>
      <c r="R823" s="359">
        <f t="shared" ca="1" si="368"/>
        <v>0</v>
      </c>
      <c r="S823" s="360">
        <f t="shared" ca="1" si="369"/>
        <v>9.7379999999999765</v>
      </c>
      <c r="T823" s="357">
        <f t="shared" ca="1" si="349"/>
        <v>95.529779999999775</v>
      </c>
      <c r="U823" s="364">
        <f t="shared" ca="1" si="350"/>
        <v>0</v>
      </c>
      <c r="V823" s="359">
        <f t="shared" ca="1" si="351"/>
        <v>1.0222451708664351</v>
      </c>
      <c r="W823" s="357">
        <f t="shared" ca="1" si="352"/>
        <v>34.728766872749006</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5.9823321362837163</v>
      </c>
      <c r="AH823" s="357">
        <f t="shared" ca="1" si="376"/>
        <v>-3.527339330696575</v>
      </c>
    </row>
    <row r="824" spans="1:34" x14ac:dyDescent="0.25">
      <c r="A824" s="402">
        <f t="shared" ca="1" si="354"/>
        <v>0.1</v>
      </c>
      <c r="B824" s="357">
        <f t="shared" ca="1" si="355"/>
        <v>37.000000000000192</v>
      </c>
      <c r="C824" s="342"/>
      <c r="D824" s="359">
        <f t="shared" ca="1" si="356"/>
        <v>-0.86888769472865846</v>
      </c>
      <c r="E824" s="360">
        <f t="shared" ca="1" si="357"/>
        <v>-6.3511518454707634</v>
      </c>
      <c r="F824" s="357">
        <f t="shared" ca="1" si="358"/>
        <v>6.4103116609317494</v>
      </c>
      <c r="G824" s="359">
        <f t="shared" ca="1" si="359"/>
        <v>29.761534370179874</v>
      </c>
      <c r="H824" s="360">
        <f t="shared" ca="1" si="360"/>
        <v>-119.45503163466601</v>
      </c>
      <c r="I824" s="357">
        <f t="shared" ca="1" si="361"/>
        <v>123.10667533040788</v>
      </c>
      <c r="J824" s="359">
        <f t="shared" ca="1" si="362"/>
        <v>1488.7906896534926</v>
      </c>
      <c r="K824" s="360">
        <f t="shared" ca="1" si="363"/>
        <v>1792.5607421806421</v>
      </c>
      <c r="L824" s="357">
        <f t="shared" ca="1" si="348"/>
        <v>2330.1870594452575</v>
      </c>
      <c r="M824" s="359">
        <f t="shared" ca="1" si="364"/>
        <v>-1.3266232366368511</v>
      </c>
      <c r="N824" s="357">
        <f t="shared" ca="1" si="365"/>
        <v>-76.009912463276663</v>
      </c>
      <c r="O824" s="343"/>
      <c r="P824" s="363">
        <f t="shared" ca="1" si="366"/>
        <v>23</v>
      </c>
      <c r="Q824" s="357">
        <f t="shared" ca="1" si="367"/>
        <v>0</v>
      </c>
      <c r="R824" s="359">
        <f t="shared" ca="1" si="368"/>
        <v>0</v>
      </c>
      <c r="S824" s="360">
        <f t="shared" ca="1" si="369"/>
        <v>9.7379999999999765</v>
      </c>
      <c r="T824" s="357">
        <f t="shared" ca="1" si="349"/>
        <v>95.529779999999775</v>
      </c>
      <c r="U824" s="364">
        <f t="shared" ca="1" si="350"/>
        <v>0</v>
      </c>
      <c r="V824" s="359">
        <f t="shared" ca="1" si="351"/>
        <v>1.0234737144799113</v>
      </c>
      <c r="W824" s="357">
        <f t="shared" ca="1" si="352"/>
        <v>35.109085440348679</v>
      </c>
      <c r="X824" s="343"/>
      <c r="Y824" s="367" t="str">
        <f t="shared" ca="1" si="370"/>
        <v/>
      </c>
      <c r="Z824" s="368" t="str">
        <f t="shared" ca="1" si="371"/>
        <v/>
      </c>
      <c r="AA824" s="369" t="str">
        <f t="shared" ca="1" si="372"/>
        <v/>
      </c>
      <c r="AB824" s="344"/>
      <c r="AC824" s="363">
        <f t="shared" ca="1" si="373"/>
        <v>37.000000000000192</v>
      </c>
      <c r="AD824" s="376">
        <f t="shared" ca="1" si="374"/>
        <v>1488.7906896534926</v>
      </c>
      <c r="AE824" s="377" t="e">
        <f t="shared" ca="1" si="353"/>
        <v>#N/A</v>
      </c>
      <c r="AF824" s="344"/>
      <c r="AG824" s="359">
        <f t="shared" ca="1" si="375"/>
        <v>5.9480750480773219</v>
      </c>
      <c r="AH824" s="357">
        <f t="shared" ca="1" si="376"/>
        <v>-3.566314117144084</v>
      </c>
    </row>
    <row r="825" spans="1:34" x14ac:dyDescent="0.25">
      <c r="A825" s="402">
        <f t="shared" ca="1" si="354"/>
        <v>0.1</v>
      </c>
      <c r="B825" s="357">
        <f t="shared" ca="1" si="355"/>
        <v>37.100000000000193</v>
      </c>
      <c r="C825" s="342"/>
      <c r="D825" s="359">
        <f t="shared" ca="1" si="356"/>
        <v>-0.87161252301588965</v>
      </c>
      <c r="E825" s="360">
        <f t="shared" ca="1" si="357"/>
        <v>-6.3115748107947809</v>
      </c>
      <c r="F825" s="357">
        <f t="shared" ca="1" si="358"/>
        <v>6.3714743178119537</v>
      </c>
      <c r="G825" s="359">
        <f t="shared" ca="1" si="359"/>
        <v>29.674373117878286</v>
      </c>
      <c r="H825" s="360">
        <f t="shared" ca="1" si="360"/>
        <v>-120.0861891157455</v>
      </c>
      <c r="I825" s="357">
        <f t="shared" ca="1" si="361"/>
        <v>123.69826690896542</v>
      </c>
      <c r="J825" s="359">
        <f t="shared" ca="1" si="362"/>
        <v>1491.7624850278955</v>
      </c>
      <c r="K825" s="360">
        <f t="shared" ca="1" si="363"/>
        <v>1780.5836811431216</v>
      </c>
      <c r="L825" s="357">
        <f t="shared" ca="1" si="348"/>
        <v>2322.8933590007509</v>
      </c>
      <c r="M825" s="359">
        <f t="shared" ca="1" si="364"/>
        <v>-1.3285404894050621</v>
      </c>
      <c r="N825" s="357">
        <f t="shared" ca="1" si="365"/>
        <v>-76.119762955154926</v>
      </c>
      <c r="O825" s="343"/>
      <c r="P825" s="363">
        <f t="shared" ca="1" si="366"/>
        <v>23</v>
      </c>
      <c r="Q825" s="357">
        <f t="shared" ca="1" si="367"/>
        <v>0</v>
      </c>
      <c r="R825" s="359">
        <f t="shared" ca="1" si="368"/>
        <v>0</v>
      </c>
      <c r="S825" s="360">
        <f t="shared" ca="1" si="369"/>
        <v>9.7379999999999765</v>
      </c>
      <c r="T825" s="357">
        <f t="shared" ca="1" si="349"/>
        <v>95.529779999999775</v>
      </c>
      <c r="U825" s="364">
        <f t="shared" ca="1" si="350"/>
        <v>0</v>
      </c>
      <c r="V825" s="359">
        <f t="shared" ca="1" si="351"/>
        <v>1.0247101417177591</v>
      </c>
      <c r="W825" s="357">
        <f t="shared" ca="1" si="352"/>
        <v>35.490153867577128</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5.9136422998421576</v>
      </c>
      <c r="AH825" s="357">
        <f t="shared" ca="1" si="376"/>
        <v>-3.6053692175342742</v>
      </c>
    </row>
    <row r="826" spans="1:34" x14ac:dyDescent="0.25">
      <c r="A826" s="402">
        <f t="shared" ca="1" si="354"/>
        <v>0.1</v>
      </c>
      <c r="B826" s="357">
        <f t="shared" ca="1" si="355"/>
        <v>37.200000000000195</v>
      </c>
      <c r="C826" s="342"/>
      <c r="D826" s="359">
        <f t="shared" ca="1" si="356"/>
        <v>-0.87429108540992406</v>
      </c>
      <c r="E826" s="360">
        <f t="shared" ca="1" si="357"/>
        <v>-6.2719207217054311</v>
      </c>
      <c r="F826" s="357">
        <f t="shared" ca="1" si="358"/>
        <v>6.3325646022275395</v>
      </c>
      <c r="G826" s="359">
        <f t="shared" ca="1" si="359"/>
        <v>29.586944009337294</v>
      </c>
      <c r="H826" s="360">
        <f t="shared" ca="1" si="360"/>
        <v>-120.71338118791604</v>
      </c>
      <c r="I826" s="357">
        <f t="shared" ca="1" si="361"/>
        <v>124.28639367859533</v>
      </c>
      <c r="J826" s="359">
        <f t="shared" ca="1" si="362"/>
        <v>1494.7255508842563</v>
      </c>
      <c r="K826" s="360">
        <f t="shared" ca="1" si="363"/>
        <v>1768.5437026279385</v>
      </c>
      <c r="L826" s="357">
        <f t="shared" ca="1" si="348"/>
        <v>2315.5887589490458</v>
      </c>
      <c r="M826" s="359">
        <f t="shared" ca="1" si="364"/>
        <v>-1.3304339820323277</v>
      </c>
      <c r="N826" s="357">
        <f t="shared" ca="1" si="365"/>
        <v>-76.228252091236371</v>
      </c>
      <c r="O826" s="343"/>
      <c r="P826" s="363">
        <f t="shared" ca="1" si="366"/>
        <v>23</v>
      </c>
      <c r="Q826" s="357">
        <f t="shared" ca="1" si="367"/>
        <v>0</v>
      </c>
      <c r="R826" s="359">
        <f t="shared" ca="1" si="368"/>
        <v>0</v>
      </c>
      <c r="S826" s="360">
        <f t="shared" ca="1" si="369"/>
        <v>9.7379999999999765</v>
      </c>
      <c r="T826" s="357">
        <f t="shared" ca="1" si="349"/>
        <v>95.529779999999775</v>
      </c>
      <c r="U826" s="364">
        <f t="shared" ca="1" si="350"/>
        <v>0</v>
      </c>
      <c r="V826" s="359">
        <f t="shared" ca="1" si="351"/>
        <v>1.0259544354170385</v>
      </c>
      <c r="W826" s="357">
        <f t="shared" ca="1" si="352"/>
        <v>35.871939996047935</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5.8790396680237116</v>
      </c>
      <c r="AH826" s="357">
        <f t="shared" ca="1" si="376"/>
        <v>-3.6445013213778203</v>
      </c>
    </row>
    <row r="827" spans="1:34" x14ac:dyDescent="0.25">
      <c r="A827" s="402">
        <f t="shared" ca="1" si="354"/>
        <v>0.1</v>
      </c>
      <c r="B827" s="357">
        <f t="shared" ca="1" si="355"/>
        <v>37.300000000000196</v>
      </c>
      <c r="C827" s="342"/>
      <c r="D827" s="359">
        <f t="shared" ca="1" si="356"/>
        <v>-0.87692331611860319</v>
      </c>
      <c r="E827" s="360">
        <f t="shared" ca="1" si="357"/>
        <v>-6.2321928936699464</v>
      </c>
      <c r="F827" s="357">
        <f t="shared" ca="1" si="358"/>
        <v>6.2935858432425169</v>
      </c>
      <c r="G827" s="359">
        <f t="shared" ca="1" si="359"/>
        <v>29.499251677725432</v>
      </c>
      <c r="H827" s="360">
        <f t="shared" ca="1" si="360"/>
        <v>-121.33660047728304</v>
      </c>
      <c r="I827" s="357">
        <f t="shared" ca="1" si="361"/>
        <v>124.87103933630723</v>
      </c>
      <c r="J827" s="359">
        <f t="shared" ca="1" si="362"/>
        <v>1497.6798606686095</v>
      </c>
      <c r="K827" s="360">
        <f t="shared" ca="1" si="363"/>
        <v>1756.4412035446785</v>
      </c>
      <c r="L827" s="357">
        <f t="shared" ca="1" si="348"/>
        <v>2308.2743915232054</v>
      </c>
      <c r="M827" s="359">
        <f t="shared" ca="1" si="364"/>
        <v>-1.3323041648272016</v>
      </c>
      <c r="N827" s="357">
        <f t="shared" ca="1" si="365"/>
        <v>-76.335405672300638</v>
      </c>
      <c r="O827" s="343"/>
      <c r="P827" s="363">
        <f t="shared" ca="1" si="366"/>
        <v>23</v>
      </c>
      <c r="Q827" s="357">
        <f t="shared" ca="1" si="367"/>
        <v>0</v>
      </c>
      <c r="R827" s="359">
        <f t="shared" ca="1" si="368"/>
        <v>0</v>
      </c>
      <c r="S827" s="360">
        <f t="shared" ca="1" si="369"/>
        <v>9.7379999999999765</v>
      </c>
      <c r="T827" s="357">
        <f t="shared" ca="1" si="349"/>
        <v>95.529779999999775</v>
      </c>
      <c r="U827" s="364">
        <f t="shared" ca="1" si="350"/>
        <v>0</v>
      </c>
      <c r="V827" s="359">
        <f t="shared" ca="1" si="351"/>
        <v>1.0272065783450213</v>
      </c>
      <c r="W827" s="357">
        <f t="shared" ca="1" si="352"/>
        <v>36.254411751120976</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5.844272843205145</v>
      </c>
      <c r="AH827" s="357">
        <f t="shared" ca="1" si="376"/>
        <v>-3.6837071263142351</v>
      </c>
    </row>
    <row r="828" spans="1:34" x14ac:dyDescent="0.25">
      <c r="A828" s="402">
        <f t="shared" ca="1" si="354"/>
        <v>0.1</v>
      </c>
      <c r="B828" s="357">
        <f t="shared" ca="1" si="355"/>
        <v>37.400000000000198</v>
      </c>
      <c r="C828" s="342"/>
      <c r="D828" s="359">
        <f t="shared" ca="1" si="356"/>
        <v>-0.87950915665122731</v>
      </c>
      <c r="E828" s="360">
        <f t="shared" ca="1" si="357"/>
        <v>-6.1923946341905785</v>
      </c>
      <c r="F828" s="357">
        <f t="shared" ca="1" si="358"/>
        <v>6.2545413630565765</v>
      </c>
      <c r="G828" s="359">
        <f t="shared" ca="1" si="359"/>
        <v>29.411300762060311</v>
      </c>
      <c r="H828" s="360">
        <f t="shared" ca="1" si="360"/>
        <v>-121.95583994070211</v>
      </c>
      <c r="I828" s="357">
        <f t="shared" ca="1" si="361"/>
        <v>125.45218813619202</v>
      </c>
      <c r="J828" s="359">
        <f t="shared" ca="1" si="362"/>
        <v>1500.6253882905987</v>
      </c>
      <c r="K828" s="360">
        <f t="shared" ca="1" si="363"/>
        <v>1744.2765815237792</v>
      </c>
      <c r="L828" s="357">
        <f t="shared" ca="1" si="348"/>
        <v>2300.9514007980679</v>
      </c>
      <c r="M828" s="359">
        <f t="shared" ca="1" si="364"/>
        <v>-1.3341514769760356</v>
      </c>
      <c r="N828" s="357">
        <f t="shared" ca="1" si="365"/>
        <v>-76.441248861872069</v>
      </c>
      <c r="O828" s="343"/>
      <c r="P828" s="363">
        <f t="shared" ca="1" si="366"/>
        <v>23</v>
      </c>
      <c r="Q828" s="357">
        <f t="shared" ca="1" si="367"/>
        <v>0</v>
      </c>
      <c r="R828" s="359">
        <f t="shared" ca="1" si="368"/>
        <v>0</v>
      </c>
      <c r="S828" s="360">
        <f t="shared" ca="1" si="369"/>
        <v>9.7379999999999765</v>
      </c>
      <c r="T828" s="357">
        <f t="shared" ca="1" si="349"/>
        <v>95.529779999999775</v>
      </c>
      <c r="U828" s="364">
        <f t="shared" ca="1" si="350"/>
        <v>0</v>
      </c>
      <c r="V828" s="359">
        <f t="shared" ca="1" si="351"/>
        <v>1.0284665532002819</v>
      </c>
      <c r="W828" s="357">
        <f t="shared" ca="1" si="352"/>
        <v>36.63753714645523</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5.8093474324964118</v>
      </c>
      <c r="AH828" s="357">
        <f t="shared" ca="1" si="376"/>
        <v>-3.7229833385829805</v>
      </c>
    </row>
    <row r="829" spans="1:34" x14ac:dyDescent="0.25">
      <c r="A829" s="402">
        <f t="shared" ca="1" si="354"/>
        <v>0.1</v>
      </c>
      <c r="B829" s="357">
        <f t="shared" ca="1" si="355"/>
        <v>37.500000000000199</v>
      </c>
      <c r="C829" s="342"/>
      <c r="D829" s="359">
        <f t="shared" ca="1" si="356"/>
        <v>-0.88204855573373953</v>
      </c>
      <c r="E829" s="360">
        <f t="shared" ca="1" si="357"/>
        <v>-6.1525292423055733</v>
      </c>
      <c r="F829" s="357">
        <f t="shared" ca="1" si="358"/>
        <v>6.2154344765347798</v>
      </c>
      <c r="G829" s="359">
        <f t="shared" ca="1" si="359"/>
        <v>29.323095906486937</v>
      </c>
      <c r="H829" s="360">
        <f t="shared" ca="1" si="360"/>
        <v>-122.57109286493267</v>
      </c>
      <c r="I829" s="357">
        <f t="shared" ca="1" si="361"/>
        <v>126.02982488143422</v>
      </c>
      <c r="J829" s="359">
        <f t="shared" ca="1" si="362"/>
        <v>1503.5621081240261</v>
      </c>
      <c r="K829" s="360">
        <f t="shared" ca="1" si="363"/>
        <v>1732.0502348834975</v>
      </c>
      <c r="L829" s="357">
        <f t="shared" ca="1" si="348"/>
        <v>2293.6209427772378</v>
      </c>
      <c r="M829" s="359">
        <f t="shared" ca="1" si="364"/>
        <v>-1.3359763468735044</v>
      </c>
      <c r="N829" s="357">
        <f t="shared" ca="1" si="365"/>
        <v>-76.545806205157504</v>
      </c>
      <c r="O829" s="343"/>
      <c r="P829" s="363">
        <f t="shared" ca="1" si="366"/>
        <v>23</v>
      </c>
      <c r="Q829" s="357">
        <f t="shared" ca="1" si="367"/>
        <v>0</v>
      </c>
      <c r="R829" s="359">
        <f t="shared" ca="1" si="368"/>
        <v>0</v>
      </c>
      <c r="S829" s="360">
        <f t="shared" ca="1" si="369"/>
        <v>9.7379999999999765</v>
      </c>
      <c r="T829" s="357">
        <f t="shared" ca="1" si="349"/>
        <v>95.529779999999775</v>
      </c>
      <c r="U829" s="364">
        <f t="shared" ca="1" si="350"/>
        <v>0</v>
      </c>
      <c r="V829" s="359">
        <f t="shared" ca="1" si="351"/>
        <v>1.0297343426137948</v>
      </c>
      <c r="W829" s="357">
        <f t="shared" ca="1" si="352"/>
        <v>37.021284288526083</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5.7742689618077634</v>
      </c>
      <c r="AH829" s="357">
        <f t="shared" ca="1" si="376"/>
        <v>-3.7623266734909961</v>
      </c>
    </row>
    <row r="830" spans="1:34" x14ac:dyDescent="0.25">
      <c r="A830" s="402">
        <f t="shared" ca="1" si="354"/>
        <v>0.1</v>
      </c>
      <c r="B830" s="357">
        <f t="shared" ca="1" si="355"/>
        <v>37.6000000000002</v>
      </c>
      <c r="C830" s="342"/>
      <c r="D830" s="359">
        <f t="shared" ca="1" si="356"/>
        <v>-0.88454146922511245</v>
      </c>
      <c r="E830" s="360">
        <f t="shared" ca="1" si="357"/>
        <v>-6.1126000080949705</v>
      </c>
      <c r="F830" s="357">
        <f t="shared" ca="1" si="358"/>
        <v>6.1762684907427357</v>
      </c>
      <c r="G830" s="359">
        <f t="shared" ca="1" si="359"/>
        <v>29.234641759564425</v>
      </c>
      <c r="H830" s="360">
        <f t="shared" ca="1" si="360"/>
        <v>-123.18235286574216</v>
      </c>
      <c r="I830" s="357">
        <f t="shared" ca="1" si="361"/>
        <v>126.60393491653521</v>
      </c>
      <c r="J830" s="359">
        <f t="shared" ca="1" si="362"/>
        <v>1506.4899950073286</v>
      </c>
      <c r="K830" s="360">
        <f t="shared" ca="1" si="363"/>
        <v>1719.7625625969638</v>
      </c>
      <c r="L830" s="357">
        <f t="shared" ca="1" si="348"/>
        <v>2286.2841854780995</v>
      </c>
      <c r="M830" s="359">
        <f t="shared" ca="1" si="364"/>
        <v>-1.3377791924417981</v>
      </c>
      <c r="N830" s="357">
        <f t="shared" ca="1" si="365"/>
        <v>-76.649101647334589</v>
      </c>
      <c r="O830" s="343"/>
      <c r="P830" s="363">
        <f t="shared" ca="1" si="366"/>
        <v>23</v>
      </c>
      <c r="Q830" s="357">
        <f t="shared" ca="1" si="367"/>
        <v>0</v>
      </c>
      <c r="R830" s="359">
        <f t="shared" ca="1" si="368"/>
        <v>0</v>
      </c>
      <c r="S830" s="360">
        <f t="shared" ca="1" si="369"/>
        <v>9.7379999999999765</v>
      </c>
      <c r="T830" s="357">
        <f t="shared" ca="1" si="349"/>
        <v>95.529779999999775</v>
      </c>
      <c r="U830" s="364">
        <f t="shared" ca="1" si="350"/>
        <v>0</v>
      </c>
      <c r="V830" s="359">
        <f t="shared" ca="1" si="351"/>
        <v>1.031009929150037</v>
      </c>
      <c r="W830" s="357">
        <f t="shared" ca="1" si="352"/>
        <v>37.405621381105739</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5.7390428780131835</v>
      </c>
      <c r="AH830" s="357">
        <f t="shared" ca="1" si="376"/>
        <v>-3.8017338558765839</v>
      </c>
    </row>
    <row r="831" spans="1:34" x14ac:dyDescent="0.25">
      <c r="A831" s="402">
        <f t="shared" ca="1" si="354"/>
        <v>0.1</v>
      </c>
      <c r="B831" s="357">
        <f t="shared" ca="1" si="355"/>
        <v>37.700000000000202</v>
      </c>
      <c r="C831" s="342"/>
      <c r="D831" s="359">
        <f t="shared" ca="1" si="356"/>
        <v>-0.88698786003484076</v>
      </c>
      <c r="E831" s="360">
        <f t="shared" ca="1" si="357"/>
        <v>-6.0726102121913215</v>
      </c>
      <c r="F831" s="357">
        <f t="shared" ca="1" si="358"/>
        <v>6.1370467044873891</v>
      </c>
      <c r="G831" s="359">
        <f t="shared" ca="1" si="359"/>
        <v>29.145942973560942</v>
      </c>
      <c r="H831" s="360">
        <f t="shared" ca="1" si="360"/>
        <v>-123.78961388696129</v>
      </c>
      <c r="I831" s="357">
        <f t="shared" ca="1" si="361"/>
        <v>127.17450411973709</v>
      </c>
      <c r="J831" s="359">
        <f t="shared" ca="1" si="362"/>
        <v>1509.409024243985</v>
      </c>
      <c r="K831" s="360">
        <f t="shared" ca="1" si="363"/>
        <v>1707.4139642593286</v>
      </c>
      <c r="L831" s="357">
        <f t="shared" ca="1" si="348"/>
        <v>2278.9423090146302</v>
      </c>
      <c r="M831" s="359">
        <f t="shared" ca="1" si="364"/>
        <v>-1.3395604214389141</v>
      </c>
      <c r="N831" s="357">
        <f t="shared" ca="1" si="365"/>
        <v>-76.751158551215653</v>
      </c>
      <c r="O831" s="343"/>
      <c r="P831" s="363">
        <f t="shared" ca="1" si="366"/>
        <v>23</v>
      </c>
      <c r="Q831" s="357">
        <f t="shared" ca="1" si="367"/>
        <v>0</v>
      </c>
      <c r="R831" s="359">
        <f t="shared" ca="1" si="368"/>
        <v>0</v>
      </c>
      <c r="S831" s="360">
        <f t="shared" ca="1" si="369"/>
        <v>9.7379999999999765</v>
      </c>
      <c r="T831" s="357">
        <f t="shared" ca="1" si="349"/>
        <v>95.529779999999775</v>
      </c>
      <c r="U831" s="364">
        <f t="shared" ca="1" si="350"/>
        <v>0</v>
      </c>
      <c r="V831" s="359">
        <f t="shared" ca="1" si="351"/>
        <v>1.0322932953080997</v>
      </c>
      <c r="W831" s="357">
        <f t="shared" ca="1" si="352"/>
        <v>37.790516729705772</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5.7036745510091427</v>
      </c>
      <c r="AH831" s="357">
        <f t="shared" ca="1" si="376"/>
        <v>-3.8412016205695041</v>
      </c>
    </row>
    <row r="832" spans="1:34" x14ac:dyDescent="0.25">
      <c r="A832" s="402">
        <f t="shared" ca="1" si="354"/>
        <v>0.1</v>
      </c>
      <c r="B832" s="357">
        <f t="shared" ca="1" si="355"/>
        <v>37.800000000000203</v>
      </c>
      <c r="C832" s="342"/>
      <c r="D832" s="359">
        <f t="shared" ca="1" si="356"/>
        <v>-0.889387698041471</v>
      </c>
      <c r="E832" s="360">
        <f t="shared" ca="1" si="357"/>
        <v>-6.0325631252953826</v>
      </c>
      <c r="F832" s="357">
        <f t="shared" ca="1" si="358"/>
        <v>6.0977724078634736</v>
      </c>
      <c r="G832" s="359">
        <f t="shared" ca="1" si="359"/>
        <v>29.057004203756794</v>
      </c>
      <c r="H832" s="360">
        <f t="shared" ca="1" si="360"/>
        <v>-124.39287019949083</v>
      </c>
      <c r="I832" s="357">
        <f t="shared" ca="1" si="361"/>
        <v>127.74151889563751</v>
      </c>
      <c r="J832" s="359">
        <f t="shared" ca="1" si="362"/>
        <v>1512.3191716028509</v>
      </c>
      <c r="K832" s="360">
        <f t="shared" ca="1" si="363"/>
        <v>1695.0048400550061</v>
      </c>
      <c r="L832" s="357">
        <f t="shared" ca="1" si="348"/>
        <v>2271.5965056777645</v>
      </c>
      <c r="M832" s="359">
        <f t="shared" ca="1" si="364"/>
        <v>-1.3413204317564626</v>
      </c>
      <c r="N832" s="357">
        <f t="shared" ca="1" si="365"/>
        <v>-76.851999714310665</v>
      </c>
      <c r="O832" s="343"/>
      <c r="P832" s="363">
        <f t="shared" ca="1" si="366"/>
        <v>23</v>
      </c>
      <c r="Q832" s="357">
        <f t="shared" ca="1" si="367"/>
        <v>0</v>
      </c>
      <c r="R832" s="359">
        <f t="shared" ca="1" si="368"/>
        <v>0</v>
      </c>
      <c r="S832" s="360">
        <f t="shared" ca="1" si="369"/>
        <v>9.7379999999999765</v>
      </c>
      <c r="T832" s="357">
        <f t="shared" ca="1" si="349"/>
        <v>95.529779999999775</v>
      </c>
      <c r="U832" s="364">
        <f t="shared" ca="1" si="350"/>
        <v>0</v>
      </c>
      <c r="V832" s="359">
        <f t="shared" ca="1" si="351"/>
        <v>1.0335844235228004</v>
      </c>
      <c r="W832" s="357">
        <f t="shared" ca="1" si="352"/>
        <v>38.175938745980531</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5.6681692756737041</v>
      </c>
      <c r="AH832" s="357">
        <f t="shared" ca="1" si="376"/>
        <v>-3.8807267128471823</v>
      </c>
    </row>
    <row r="833" spans="1:34" x14ac:dyDescent="0.25">
      <c r="A833" s="402">
        <f t="shared" ca="1" si="354"/>
        <v>0.1</v>
      </c>
      <c r="B833" s="357">
        <f t="shared" ca="1" si="355"/>
        <v>37.900000000000205</v>
      </c>
      <c r="C833" s="342"/>
      <c r="D833" s="359">
        <f t="shared" ca="1" si="356"/>
        <v>-0.89174096001209657</v>
      </c>
      <c r="E833" s="360">
        <f t="shared" ca="1" si="357"/>
        <v>-5.9924620076968456</v>
      </c>
      <c r="F833" s="357">
        <f t="shared" ca="1" si="358"/>
        <v>6.0584488818057549</v>
      </c>
      <c r="G833" s="359">
        <f t="shared" ca="1" si="359"/>
        <v>28.967830107755585</v>
      </c>
      <c r="H833" s="360">
        <f t="shared" ca="1" si="360"/>
        <v>-124.99211640026051</v>
      </c>
      <c r="I833" s="357">
        <f t="shared" ca="1" si="361"/>
        <v>128.30496616798612</v>
      </c>
      <c r="J833" s="359">
        <f t="shared" ca="1" si="362"/>
        <v>1515.2204133184266</v>
      </c>
      <c r="K833" s="360">
        <f t="shared" ca="1" si="363"/>
        <v>1682.5355907250184</v>
      </c>
      <c r="L833" s="357">
        <f t="shared" ca="1" si="348"/>
        <v>2264.2479800130664</v>
      </c>
      <c r="M833" s="359">
        <f t="shared" ca="1" si="364"/>
        <v>-1.343059611707389</v>
      </c>
      <c r="N833" s="357">
        <f t="shared" ca="1" si="365"/>
        <v>-76.951647385312512</v>
      </c>
      <c r="O833" s="343"/>
      <c r="P833" s="363">
        <f t="shared" ca="1" si="366"/>
        <v>23</v>
      </c>
      <c r="Q833" s="357">
        <f t="shared" ca="1" si="367"/>
        <v>0</v>
      </c>
      <c r="R833" s="359">
        <f t="shared" ca="1" si="368"/>
        <v>0</v>
      </c>
      <c r="S833" s="360">
        <f t="shared" ca="1" si="369"/>
        <v>9.7379999999999765</v>
      </c>
      <c r="T833" s="357">
        <f t="shared" ca="1" si="349"/>
        <v>95.529779999999775</v>
      </c>
      <c r="U833" s="364">
        <f t="shared" ca="1" si="350"/>
        <v>0</v>
      </c>
      <c r="V833" s="359">
        <f t="shared" ca="1" si="351"/>
        <v>1.0348832961658032</v>
      </c>
      <c r="W833" s="357">
        <f t="shared" ca="1" si="352"/>
        <v>38.561855952090504</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5.6325322737308721</v>
      </c>
      <c r="AH833" s="357">
        <f t="shared" ca="1" si="376"/>
        <v>-3.9203058888868991</v>
      </c>
    </row>
    <row r="834" spans="1:34" x14ac:dyDescent="0.25">
      <c r="A834" s="402">
        <f t="shared" ca="1" si="354"/>
        <v>0.1</v>
      </c>
      <c r="B834" s="357">
        <f t="shared" ca="1" si="355"/>
        <v>38.000000000000206</v>
      </c>
      <c r="C834" s="342"/>
      <c r="D834" s="359">
        <f t="shared" ca="1" si="356"/>
        <v>-0.89404762952273453</v>
      </c>
      <c r="E834" s="360">
        <f t="shared" ca="1" si="357"/>
        <v>-5.9523101088001766</v>
      </c>
      <c r="F834" s="357">
        <f t="shared" ca="1" si="358"/>
        <v>6.0190793976471175</v>
      </c>
      <c r="G834" s="359">
        <f t="shared" ca="1" si="359"/>
        <v>28.878425344803311</v>
      </c>
      <c r="H834" s="360">
        <f t="shared" ca="1" si="360"/>
        <v>-125.58734741114053</v>
      </c>
      <c r="I834" s="357">
        <f t="shared" ca="1" si="361"/>
        <v>128.864833372654</v>
      </c>
      <c r="J834" s="359">
        <f t="shared" ca="1" si="362"/>
        <v>1518.1127260910546</v>
      </c>
      <c r="K834" s="360">
        <f t="shared" ca="1" si="363"/>
        <v>1670.0066175344484</v>
      </c>
      <c r="L834" s="357">
        <f t="shared" ca="1" si="348"/>
        <v>2256.8979488954442</v>
      </c>
      <c r="M834" s="359">
        <f t="shared" ca="1" si="364"/>
        <v>-1.3447783403039861</v>
      </c>
      <c r="N834" s="357">
        <f t="shared" ca="1" si="365"/>
        <v>-77.050123280025971</v>
      </c>
      <c r="O834" s="343"/>
      <c r="P834" s="363">
        <f t="shared" ca="1" si="366"/>
        <v>23</v>
      </c>
      <c r="Q834" s="357">
        <f t="shared" ca="1" si="367"/>
        <v>0</v>
      </c>
      <c r="R834" s="359">
        <f t="shared" ca="1" si="368"/>
        <v>0</v>
      </c>
      <c r="S834" s="360">
        <f t="shared" ca="1" si="369"/>
        <v>9.7379999999999765</v>
      </c>
      <c r="T834" s="357">
        <f t="shared" ca="1" si="349"/>
        <v>95.529779999999775</v>
      </c>
      <c r="U834" s="364">
        <f t="shared" ca="1" si="350"/>
        <v>0</v>
      </c>
      <c r="V834" s="359">
        <f t="shared" ca="1" si="351"/>
        <v>1.0361898955467455</v>
      </c>
      <c r="W834" s="357">
        <f t="shared" ca="1" si="352"/>
        <v>38.94823698502465</v>
      </c>
      <c r="X834" s="343"/>
      <c r="Y834" s="367" t="str">
        <f t="shared" ca="1" si="370"/>
        <v/>
      </c>
      <c r="Z834" s="368" t="str">
        <f t="shared" ca="1" si="371"/>
        <v/>
      </c>
      <c r="AA834" s="369" t="str">
        <f t="shared" ca="1" si="372"/>
        <v/>
      </c>
      <c r="AB834" s="344"/>
      <c r="AC834" s="363">
        <f t="shared" ca="1" si="373"/>
        <v>38.000000000000206</v>
      </c>
      <c r="AD834" s="376">
        <f t="shared" ca="1" si="374"/>
        <v>1518.1127260910546</v>
      </c>
      <c r="AE834" s="377" t="e">
        <f t="shared" ca="1" si="353"/>
        <v>#N/A</v>
      </c>
      <c r="AF834" s="344"/>
      <c r="AG834" s="359">
        <f t="shared" ca="1" si="375"/>
        <v>5.5967686955247187</v>
      </c>
      <c r="AH834" s="357">
        <f t="shared" ca="1" si="376"/>
        <v>-3.9599359162138628</v>
      </c>
    </row>
    <row r="835" spans="1:34" x14ac:dyDescent="0.25">
      <c r="A835" s="402">
        <f t="shared" ca="1" si="354"/>
        <v>0.1</v>
      </c>
      <c r="B835" s="357">
        <f t="shared" ca="1" si="355"/>
        <v>38.100000000000207</v>
      </c>
      <c r="C835" s="342"/>
      <c r="D835" s="359">
        <f t="shared" ca="1" si="356"/>
        <v>-0.89630769687955003</v>
      </c>
      <c r="E835" s="360">
        <f t="shared" ca="1" si="357"/>
        <v>-5.9121106666556038</v>
      </c>
      <c r="F835" s="357">
        <f t="shared" ca="1" si="358"/>
        <v>5.9796672166825884</v>
      </c>
      <c r="G835" s="359">
        <f t="shared" ca="1" si="359"/>
        <v>28.788794575115357</v>
      </c>
      <c r="H835" s="360">
        <f t="shared" ca="1" si="360"/>
        <v>-126.17855847780609</v>
      </c>
      <c r="I835" s="357">
        <f t="shared" ca="1" si="361"/>
        <v>129.42110845076749</v>
      </c>
      <c r="J835" s="359">
        <f t="shared" ca="1" si="362"/>
        <v>1520.9960870870505</v>
      </c>
      <c r="K835" s="360">
        <f t="shared" ca="1" si="363"/>
        <v>1657.4183222400011</v>
      </c>
      <c r="L835" s="357">
        <f t="shared" ca="1" si="348"/>
        <v>2249.547641600635</v>
      </c>
      <c r="M835" s="359">
        <f t="shared" ca="1" si="364"/>
        <v>-1.3464769875265721</v>
      </c>
      <c r="N835" s="357">
        <f t="shared" ca="1" si="365"/>
        <v>-77.147448596761777</v>
      </c>
      <c r="O835" s="343"/>
      <c r="P835" s="363">
        <f t="shared" ca="1" si="366"/>
        <v>23</v>
      </c>
      <c r="Q835" s="357">
        <f t="shared" ca="1" si="367"/>
        <v>0</v>
      </c>
      <c r="R835" s="359">
        <f t="shared" ca="1" si="368"/>
        <v>0</v>
      </c>
      <c r="S835" s="360">
        <f t="shared" ca="1" si="369"/>
        <v>9.7379999999999765</v>
      </c>
      <c r="T835" s="357">
        <f t="shared" ca="1" si="349"/>
        <v>95.529779999999775</v>
      </c>
      <c r="U835" s="364">
        <f t="shared" ca="1" si="350"/>
        <v>0</v>
      </c>
      <c r="V835" s="359">
        <f t="shared" ca="1" si="351"/>
        <v>1.0375042039143652</v>
      </c>
      <c r="W835" s="357">
        <f t="shared" ca="1" si="352"/>
        <v>39.335050600880265</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5.5608836217076592</v>
      </c>
      <c r="AH835" s="357">
        <f t="shared" ca="1" si="376"/>
        <v>-3.9996135741450756</v>
      </c>
    </row>
    <row r="836" spans="1:34" x14ac:dyDescent="0.25">
      <c r="A836" s="402">
        <f t="shared" ca="1" si="354"/>
        <v>0.1</v>
      </c>
      <c r="B836" s="357">
        <f t="shared" ca="1" si="355"/>
        <v>38.200000000000209</v>
      </c>
      <c r="C836" s="342"/>
      <c r="D836" s="359">
        <f t="shared" ca="1" si="356"/>
        <v>-0.89852115904083374</v>
      </c>
      <c r="E836" s="360">
        <f t="shared" ca="1" si="357"/>
        <v>-5.8718669074953578</v>
      </c>
      <c r="F836" s="357">
        <f t="shared" ca="1" si="358"/>
        <v>5.940215589739414</v>
      </c>
      <c r="G836" s="359">
        <f t="shared" ca="1" si="359"/>
        <v>28.698942459211274</v>
      </c>
      <c r="H836" s="360">
        <f t="shared" ca="1" si="360"/>
        <v>-126.76574516855563</v>
      </c>
      <c r="I836" s="357">
        <f t="shared" ca="1" si="361"/>
        <v>129.97377984199852</v>
      </c>
      <c r="J836" s="359">
        <f t="shared" ca="1" si="362"/>
        <v>1523.8704739387667</v>
      </c>
      <c r="K836" s="360">
        <f t="shared" ca="1" si="363"/>
        <v>1644.7711070576829</v>
      </c>
      <c r="L836" s="357">
        <f t="shared" ref="L836:L899" ca="1" si="377">SQRT(pos_x^2+pos_z^2)</f>
        <v>2242.1982998731664</v>
      </c>
      <c r="M836" s="359">
        <f t="shared" ca="1" si="364"/>
        <v>-1.3481559145831785</v>
      </c>
      <c r="N836" s="357">
        <f t="shared" ca="1" si="365"/>
        <v>-77.243644031215638</v>
      </c>
      <c r="O836" s="343"/>
      <c r="P836" s="363">
        <f t="shared" ca="1" si="366"/>
        <v>23</v>
      </c>
      <c r="Q836" s="357">
        <f t="shared" ca="1" si="367"/>
        <v>0</v>
      </c>
      <c r="R836" s="359">
        <f t="shared" ca="1" si="368"/>
        <v>0</v>
      </c>
      <c r="S836" s="360">
        <f t="shared" ca="1" si="369"/>
        <v>9.7379999999999765</v>
      </c>
      <c r="T836" s="357">
        <f t="shared" ref="T836:T899" ca="1" si="378">m*g</f>
        <v>95.529779999999775</v>
      </c>
      <c r="U836" s="364">
        <f t="shared" ref="U836:U899" ca="1" si="379">IF(pos_xz&lt;L_rampe,Poids*COS(Beta),0)</f>
        <v>0</v>
      </c>
      <c r="V836" s="359">
        <f t="shared" ref="V836:V899" ca="1" si="380">Rho_moyen*(20000-Alt_rampe-pos_z)/(20000+Alt_rampe+pos_z)</f>
        <v>1.0388262034576392</v>
      </c>
      <c r="W836" s="357">
        <f t="shared" ref="W836:W899" ca="1" si="381">1/2*Rho*Sref*Cx*vit_xz^2</f>
        <v>39.722265679099841</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5.5248820648470955</v>
      </c>
      <c r="AH836" s="357">
        <f t="shared" ca="1" si="376"/>
        <v>-4.0393356542288315</v>
      </c>
    </row>
    <row r="837" spans="1:34" x14ac:dyDescent="0.25">
      <c r="A837" s="402">
        <f t="shared" ref="A837:A900" ca="1" si="383">IF(B836+0.01&lt;=T_ini+ROUNDUP(Temps_fin_propu,0), 0.01, IF(K836&gt;0, 0.1, 0.0001))</f>
        <v>0.1</v>
      </c>
      <c r="B837" s="357">
        <f t="shared" ref="B837:B900" ca="1" si="384">B836+pas</f>
        <v>38.30000000000021</v>
      </c>
      <c r="C837" s="342"/>
      <c r="D837" s="359">
        <f t="shared" ref="D837:D900" ca="1" si="385">IF(AND(L836&lt;L_rampe,Poussee&lt;Poids*SIN(M836)),0,(-W836+Poussee)/m*COS(M836)-U836/m*SIN(M836))</f>
        <v>-0.90068801953969657</v>
      </c>
      <c r="E837" s="360">
        <f t="shared" ref="E837:E900" ca="1" si="386">IF(AND(L836&lt;L_rampe,Poussee&lt;Poids*SIN(M836)),0,(-W836+Poussee)/m*SIN(M836)+U836/m*COS(M836)-Poids/m)</f>
        <v>-5.8315820452751934</v>
      </c>
      <c r="F837" s="357">
        <f t="shared" ref="F837:F900" ca="1" si="387">SQRT(acc_x^2+acc_z^2)</f>
        <v>5.900727756753259</v>
      </c>
      <c r="G837" s="359">
        <f t="shared" ref="G837:G900" ca="1" si="388">G836+acc_x*pas</f>
        <v>28.608873657257305</v>
      </c>
      <c r="H837" s="360">
        <f t="shared" ref="H837:H900" ca="1" si="389">H836+acc_z*pas</f>
        <v>-127.34890337308315</v>
      </c>
      <c r="I837" s="357">
        <f t="shared" ref="I837:I900" ca="1" si="390">SQRT(vit_x^2+vit_z^2)</f>
        <v>130.52283647800402</v>
      </c>
      <c r="J837" s="359">
        <f t="shared" ref="J837:J900" ca="1" si="391">J836+0.5*(vit_x+G836)*pas*(K836&gt;=0)</f>
        <v>1526.7358647445901</v>
      </c>
      <c r="K837" s="360">
        <f t="shared" ref="K837:K900" ca="1" si="392">K836+0.5*(vit_z+H836)*pas</f>
        <v>1632.0653746306009</v>
      </c>
      <c r="L837" s="357">
        <f t="shared" ca="1" si="377"/>
        <v>2234.851177990502</v>
      </c>
      <c r="M837" s="359">
        <f t="shared" ref="M837:M900" ca="1" si="393">IF(AND(L836&gt;L_rampe,G837&gt;0),ATAN2(G837,H837),$M$4)</f>
        <v>-1.3498154741605874</v>
      </c>
      <c r="N837" s="357">
        <f t="shared" ref="N837:N900" ca="1" si="394">DEGREES(Beta)</f>
        <v>-77.338729790851687</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9.7379999999999765</v>
      </c>
      <c r="T837" s="357">
        <f t="shared" ca="1" si="378"/>
        <v>95.529779999999775</v>
      </c>
      <c r="U837" s="364">
        <f t="shared" ca="1" si="379"/>
        <v>0</v>
      </c>
      <c r="V837" s="359">
        <f t="shared" ca="1" si="380"/>
        <v>1.0401558763069219</v>
      </c>
      <c r="W837" s="357">
        <f t="shared" ca="1" si="381"/>
        <v>40.109851226663686</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5.4887689709543146</v>
      </c>
      <c r="AH837" s="357">
        <f t="shared" ref="AH837:AH900" ca="1" si="405">IF(AND(L836&lt;L_rampe,Poussee&lt;Poids*SIN(M836)), g*SIN(M836), (-W836+Poussee)/m)</f>
        <v>-4.0790989606798043</v>
      </c>
    </row>
    <row r="838" spans="1:34" x14ac:dyDescent="0.25">
      <c r="A838" s="402">
        <f t="shared" ca="1" si="383"/>
        <v>0.1</v>
      </c>
      <c r="B838" s="357">
        <f t="shared" ca="1" si="384"/>
        <v>38.400000000000212</v>
      </c>
      <c r="C838" s="342"/>
      <c r="D838" s="359">
        <f t="shared" ca="1" si="385"/>
        <v>-0.90280828840742744</v>
      </c>
      <c r="E838" s="360">
        <f t="shared" ca="1" si="386"/>
        <v>-5.7912592812212704</v>
      </c>
      <c r="F838" s="357">
        <f t="shared" ca="1" si="387"/>
        <v>5.8612069463506105</v>
      </c>
      <c r="G838" s="359">
        <f t="shared" ca="1" si="388"/>
        <v>28.518592828416562</v>
      </c>
      <c r="H838" s="360">
        <f t="shared" ca="1" si="389"/>
        <v>-127.92802930120527</v>
      </c>
      <c r="I838" s="357">
        <f t="shared" ca="1" si="390"/>
        <v>131.06826777600691</v>
      </c>
      <c r="J838" s="359">
        <f t="shared" ca="1" si="391"/>
        <v>1529.5922380688737</v>
      </c>
      <c r="K838" s="360">
        <f t="shared" ca="1" si="392"/>
        <v>1619.3015279968865</v>
      </c>
      <c r="L838" s="357">
        <f t="shared" ca="1" si="377"/>
        <v>2227.5075428230534</v>
      </c>
      <c r="M838" s="359">
        <f t="shared" ca="1" si="393"/>
        <v>-1.3514560106670419</v>
      </c>
      <c r="N838" s="357">
        <f t="shared" ca="1" si="394"/>
        <v>-77.432725608808667</v>
      </c>
      <c r="O838" s="343"/>
      <c r="P838" s="363">
        <f t="shared" ca="1" si="395"/>
        <v>23</v>
      </c>
      <c r="Q838" s="357">
        <f t="shared" ca="1" si="396"/>
        <v>0</v>
      </c>
      <c r="R838" s="359">
        <f t="shared" ca="1" si="397"/>
        <v>0</v>
      </c>
      <c r="S838" s="360">
        <f t="shared" ca="1" si="398"/>
        <v>9.7379999999999765</v>
      </c>
      <c r="T838" s="357">
        <f t="shared" ca="1" si="378"/>
        <v>95.529779999999775</v>
      </c>
      <c r="U838" s="364">
        <f t="shared" ca="1" si="379"/>
        <v>0</v>
      </c>
      <c r="V838" s="359">
        <f t="shared" ca="1" si="380"/>
        <v>1.0414932045350886</v>
      </c>
      <c r="W838" s="357">
        <f t="shared" ca="1" si="381"/>
        <v>40.497776382237113</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5.4525492209394315</v>
      </c>
      <c r="AH838" s="357">
        <f t="shared" ca="1" si="405"/>
        <v>-4.1189003108095896</v>
      </c>
    </row>
    <row r="839" spans="1:34" x14ac:dyDescent="0.25">
      <c r="A839" s="402">
        <f t="shared" ca="1" si="383"/>
        <v>0.1</v>
      </c>
      <c r="B839" s="357">
        <f t="shared" ca="1" si="384"/>
        <v>38.500000000000213</v>
      </c>
      <c r="C839" s="342"/>
      <c r="D839" s="359">
        <f t="shared" ca="1" si="385"/>
        <v>-0.90488198209744553</v>
      </c>
      <c r="E839" s="360">
        <f t="shared" ca="1" si="386"/>
        <v>-5.750901803382491</v>
      </c>
      <c r="F839" s="357">
        <f t="shared" ca="1" si="387"/>
        <v>5.8216563754375423</v>
      </c>
      <c r="G839" s="359">
        <f t="shared" ca="1" si="388"/>
        <v>28.428104630206818</v>
      </c>
      <c r="H839" s="360">
        <f t="shared" ca="1" si="389"/>
        <v>-128.50311948154351</v>
      </c>
      <c r="I839" s="357">
        <f t="shared" ca="1" si="390"/>
        <v>131.6100636325119</v>
      </c>
      <c r="J839" s="359">
        <f t="shared" ca="1" si="391"/>
        <v>1532.439572941805</v>
      </c>
      <c r="K839" s="360">
        <f t="shared" ca="1" si="392"/>
        <v>1606.4799705577491</v>
      </c>
      <c r="L839" s="357">
        <f t="shared" ca="1" si="377"/>
        <v>2220.1686738897311</v>
      </c>
      <c r="M839" s="359">
        <f t="shared" ca="1" si="393"/>
        <v>-1.3530778604669385</v>
      </c>
      <c r="N839" s="357">
        <f t="shared" ca="1" si="394"/>
        <v>-77.525650757346881</v>
      </c>
      <c r="O839" s="343"/>
      <c r="P839" s="363">
        <f t="shared" ca="1" si="395"/>
        <v>23</v>
      </c>
      <c r="Q839" s="357">
        <f t="shared" ca="1" si="396"/>
        <v>0</v>
      </c>
      <c r="R839" s="359">
        <f t="shared" ca="1" si="397"/>
        <v>0</v>
      </c>
      <c r="S839" s="360">
        <f t="shared" ca="1" si="398"/>
        <v>9.7379999999999765</v>
      </c>
      <c r="T839" s="357">
        <f t="shared" ca="1" si="378"/>
        <v>95.529779999999775</v>
      </c>
      <c r="U839" s="364">
        <f t="shared" ca="1" si="379"/>
        <v>0</v>
      </c>
      <c r="V839" s="359">
        <f t="shared" ca="1" si="380"/>
        <v>1.0428381701586869</v>
      </c>
      <c r="W839" s="357">
        <f t="shared" ca="1" si="381"/>
        <v>40.886010420271717</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5.4162276319960201</v>
      </c>
      <c r="AH839" s="357">
        <f t="shared" ca="1" si="405"/>
        <v>-4.1587365354525785</v>
      </c>
    </row>
    <row r="840" spans="1:34" x14ac:dyDescent="0.25">
      <c r="A840" s="402">
        <f t="shared" ca="1" si="383"/>
        <v>0.1</v>
      </c>
      <c r="B840" s="357">
        <f t="shared" ca="1" si="384"/>
        <v>38.600000000000215</v>
      </c>
      <c r="C840" s="342"/>
      <c r="D840" s="359">
        <f t="shared" ca="1" si="385"/>
        <v>-0.90690912340982122</v>
      </c>
      <c r="E840" s="360">
        <f t="shared" ca="1" si="386"/>
        <v>-5.7105127861882954</v>
      </c>
      <c r="F840" s="357">
        <f t="shared" ca="1" si="387"/>
        <v>5.7820792487948465</v>
      </c>
      <c r="G840" s="359">
        <f t="shared" ca="1" si="388"/>
        <v>28.337413717865836</v>
      </c>
      <c r="H840" s="360">
        <f t="shared" ca="1" si="389"/>
        <v>-129.07417076016233</v>
      </c>
      <c r="I840" s="357">
        <f t="shared" ca="1" si="390"/>
        <v>132.14821441714994</v>
      </c>
      <c r="J840" s="359">
        <f t="shared" ca="1" si="391"/>
        <v>1535.2778488592087</v>
      </c>
      <c r="K840" s="360">
        <f t="shared" ca="1" si="392"/>
        <v>1593.6011060456638</v>
      </c>
      <c r="L840" s="357">
        <f t="shared" ca="1" si="377"/>
        <v>2212.835863408699</v>
      </c>
      <c r="M840" s="359">
        <f t="shared" ca="1" si="393"/>
        <v>-1.3546813521077976</v>
      </c>
      <c r="N840" s="357">
        <f t="shared" ca="1" si="394"/>
        <v>-77.617524060852617</v>
      </c>
      <c r="O840" s="343"/>
      <c r="P840" s="363">
        <f t="shared" ca="1" si="395"/>
        <v>23</v>
      </c>
      <c r="Q840" s="357">
        <f t="shared" ca="1" si="396"/>
        <v>0</v>
      </c>
      <c r="R840" s="359">
        <f t="shared" ca="1" si="397"/>
        <v>0</v>
      </c>
      <c r="S840" s="360">
        <f t="shared" ca="1" si="398"/>
        <v>9.7379999999999765</v>
      </c>
      <c r="T840" s="357">
        <f t="shared" ca="1" si="378"/>
        <v>95.529779999999775</v>
      </c>
      <c r="U840" s="364">
        <f t="shared" ca="1" si="379"/>
        <v>0</v>
      </c>
      <c r="V840" s="359">
        <f t="shared" ca="1" si="380"/>
        <v>1.0441907551390881</v>
      </c>
      <c r="W840" s="357">
        <f t="shared" ca="1" si="381"/>
        <v>41.274522755059422</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5.3798089589187397</v>
      </c>
      <c r="AH840" s="357">
        <f t="shared" ca="1" si="405"/>
        <v>-4.1986044793871242</v>
      </c>
    </row>
    <row r="841" spans="1:34" x14ac:dyDescent="0.25">
      <c r="A841" s="402">
        <f t="shared" ca="1" si="383"/>
        <v>0.1</v>
      </c>
      <c r="B841" s="357">
        <f t="shared" ca="1" si="384"/>
        <v>38.700000000000216</v>
      </c>
      <c r="C841" s="342"/>
      <c r="D841" s="359">
        <f t="shared" ca="1" si="385"/>
        <v>-0.90888974141631373</v>
      </c>
      <c r="E841" s="360">
        <f t="shared" ca="1" si="386"/>
        <v>-5.6700953900120332</v>
      </c>
      <c r="F841" s="357">
        <f t="shared" ca="1" si="387"/>
        <v>5.7424787586796979</v>
      </c>
      <c r="G841" s="359">
        <f t="shared" ca="1" si="388"/>
        <v>28.246524743724205</v>
      </c>
      <c r="H841" s="360">
        <f t="shared" ca="1" si="389"/>
        <v>-129.64118029916352</v>
      </c>
      <c r="I841" s="357">
        <f t="shared" ca="1" si="390"/>
        <v>132.68271096664421</v>
      </c>
      <c r="J841" s="359">
        <f t="shared" ca="1" si="391"/>
        <v>1538.1070457822882</v>
      </c>
      <c r="K841" s="360">
        <f t="shared" ca="1" si="392"/>
        <v>1580.6653384926974</v>
      </c>
      <c r="L841" s="357">
        <f t="shared" ca="1" si="377"/>
        <v>2205.5104163429723</v>
      </c>
      <c r="M841" s="359">
        <f t="shared" ca="1" si="393"/>
        <v>-1.356266806539802</v>
      </c>
      <c r="N841" s="357">
        <f t="shared" ca="1" si="394"/>
        <v>-77.708363908416771</v>
      </c>
      <c r="O841" s="343"/>
      <c r="P841" s="363">
        <f t="shared" ca="1" si="395"/>
        <v>23</v>
      </c>
      <c r="Q841" s="357">
        <f t="shared" ca="1" si="396"/>
        <v>0</v>
      </c>
      <c r="R841" s="359">
        <f t="shared" ca="1" si="397"/>
        <v>0</v>
      </c>
      <c r="S841" s="360">
        <f t="shared" ca="1" si="398"/>
        <v>9.7379999999999765</v>
      </c>
      <c r="T841" s="357">
        <f t="shared" ca="1" si="378"/>
        <v>95.529779999999775</v>
      </c>
      <c r="U841" s="364">
        <f t="shared" ca="1" si="379"/>
        <v>0</v>
      </c>
      <c r="V841" s="359">
        <f t="shared" ca="1" si="380"/>
        <v>1.0455509413836455</v>
      </c>
      <c r="W841" s="357">
        <f t="shared" ca="1" si="381"/>
        <v>41.663282944738199</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5.3432978953573125</v>
      </c>
      <c r="AH841" s="357">
        <f t="shared" ca="1" si="405"/>
        <v>-4.2385010017518505</v>
      </c>
    </row>
    <row r="842" spans="1:34" x14ac:dyDescent="0.25">
      <c r="A842" s="402">
        <f t="shared" ca="1" si="383"/>
        <v>0.1</v>
      </c>
      <c r="B842" s="357">
        <f t="shared" ca="1" si="384"/>
        <v>38.800000000000217</v>
      </c>
      <c r="C842" s="342"/>
      <c r="D842" s="359">
        <f t="shared" ca="1" si="385"/>
        <v>-0.91082387138586696</v>
      </c>
      <c r="E842" s="360">
        <f t="shared" ca="1" si="386"/>
        <v>-5.6296527607399813</v>
      </c>
      <c r="F842" s="357">
        <f t="shared" ca="1" si="387"/>
        <v>5.7028580844339478</v>
      </c>
      <c r="G842" s="359">
        <f t="shared" ca="1" si="388"/>
        <v>28.155442356585617</v>
      </c>
      <c r="H842" s="360">
        <f t="shared" ca="1" si="389"/>
        <v>-130.20414557523753</v>
      </c>
      <c r="I842" s="357">
        <f t="shared" ca="1" si="390"/>
        <v>133.21354457889282</v>
      </c>
      <c r="J842" s="359">
        <f t="shared" ca="1" si="391"/>
        <v>1540.9271441373037</v>
      </c>
      <c r="K842" s="360">
        <f t="shared" ca="1" si="392"/>
        <v>1567.6730721989773</v>
      </c>
      <c r="L842" s="357">
        <f t="shared" ca="1" si="377"/>
        <v>2198.1936504404989</v>
      </c>
      <c r="M842" s="359">
        <f t="shared" ca="1" si="393"/>
        <v>-1.3578345373281711</v>
      </c>
      <c r="N842" s="357">
        <f t="shared" ca="1" si="394"/>
        <v>-77.798188266003038</v>
      </c>
      <c r="O842" s="343"/>
      <c r="P842" s="363">
        <f t="shared" ca="1" si="395"/>
        <v>23</v>
      </c>
      <c r="Q842" s="357">
        <f t="shared" ca="1" si="396"/>
        <v>0</v>
      </c>
      <c r="R842" s="359">
        <f t="shared" ca="1" si="397"/>
        <v>0</v>
      </c>
      <c r="S842" s="360">
        <f t="shared" ca="1" si="398"/>
        <v>9.7379999999999765</v>
      </c>
      <c r="T842" s="357">
        <f t="shared" ca="1" si="378"/>
        <v>95.529779999999775</v>
      </c>
      <c r="U842" s="364">
        <f t="shared" ca="1" si="379"/>
        <v>0</v>
      </c>
      <c r="V842" s="359">
        <f t="shared" ca="1" si="380"/>
        <v>1.0469187107468567</v>
      </c>
      <c r="W842" s="357">
        <f t="shared" ca="1" si="381"/>
        <v>42.052260695249359</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5.3066990750099237</v>
      </c>
      <c r="AH842" s="357">
        <f t="shared" ca="1" si="405"/>
        <v>-4.2784229764570032</v>
      </c>
    </row>
    <row r="843" spans="1:34" x14ac:dyDescent="0.25">
      <c r="A843" s="402">
        <f t="shared" ca="1" si="383"/>
        <v>0.1</v>
      </c>
      <c r="B843" s="357">
        <f t="shared" ca="1" si="384"/>
        <v>38.900000000000219</v>
      </c>
      <c r="C843" s="342"/>
      <c r="D843" s="359">
        <f t="shared" ca="1" si="385"/>
        <v>-0.91271155471055909</v>
      </c>
      <c r="E843" s="360">
        <f t="shared" ca="1" si="386"/>
        <v>-5.5891880293460066</v>
      </c>
      <c r="F843" s="357">
        <f t="shared" ca="1" si="387"/>
        <v>5.6632203920990811</v>
      </c>
      <c r="G843" s="359">
        <f t="shared" ca="1" si="388"/>
        <v>28.064171201114561</v>
      </c>
      <c r="H843" s="360">
        <f t="shared" ca="1" si="389"/>
        <v>-130.76306437817215</v>
      </c>
      <c r="I843" s="357">
        <f t="shared" ca="1" si="390"/>
        <v>133.74070700716166</v>
      </c>
      <c r="J843" s="359">
        <f t="shared" ca="1" si="391"/>
        <v>1543.7381248151887</v>
      </c>
      <c r="K843" s="360">
        <f t="shared" ca="1" si="392"/>
        <v>1554.6247117013068</v>
      </c>
      <c r="L843" s="357">
        <f t="shared" ca="1" si="377"/>
        <v>2190.8868962683323</v>
      </c>
      <c r="M843" s="359">
        <f t="shared" ca="1" si="393"/>
        <v>-1.3593848508586375</v>
      </c>
      <c r="N843" s="357">
        <f t="shared" ca="1" si="394"/>
        <v>-77.887014688220788</v>
      </c>
      <c r="O843" s="343"/>
      <c r="P843" s="363">
        <f t="shared" ca="1" si="395"/>
        <v>23</v>
      </c>
      <c r="Q843" s="357">
        <f t="shared" ca="1" si="396"/>
        <v>0</v>
      </c>
      <c r="R843" s="359">
        <f t="shared" ca="1" si="397"/>
        <v>0</v>
      </c>
      <c r="S843" s="360">
        <f t="shared" ca="1" si="398"/>
        <v>9.7379999999999765</v>
      </c>
      <c r="T843" s="357">
        <f t="shared" ca="1" si="378"/>
        <v>95.529779999999775</v>
      </c>
      <c r="U843" s="364">
        <f t="shared" ca="1" si="379"/>
        <v>0</v>
      </c>
      <c r="V843" s="359">
        <f t="shared" ca="1" si="380"/>
        <v>1.0482940450315281</v>
      </c>
      <c r="W843" s="357">
        <f t="shared" ca="1" si="381"/>
        <v>42.441425864244373</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5.2700170727589422</v>
      </c>
      <c r="AH843" s="357">
        <f t="shared" ca="1" si="405"/>
        <v>-4.3183672925908256</v>
      </c>
    </row>
    <row r="844" spans="1:34" x14ac:dyDescent="0.25">
      <c r="A844" s="402">
        <f t="shared" ca="1" si="383"/>
        <v>0.1</v>
      </c>
      <c r="B844" s="357">
        <f t="shared" ca="1" si="384"/>
        <v>39.00000000000022</v>
      </c>
      <c r="C844" s="342"/>
      <c r="D844" s="359">
        <f t="shared" ca="1" si="385"/>
        <v>-0.91455283883193372</v>
      </c>
      <c r="E844" s="360">
        <f t="shared" ca="1" si="386"/>
        <v>-5.5487043114720347</v>
      </c>
      <c r="F844" s="357">
        <f t="shared" ca="1" si="387"/>
        <v>5.6235688340380348</v>
      </c>
      <c r="G844" s="359">
        <f t="shared" ca="1" si="388"/>
        <v>27.972715917231369</v>
      </c>
      <c r="H844" s="360">
        <f t="shared" ca="1" si="389"/>
        <v>-131.31793480931935</v>
      </c>
      <c r="I844" s="357">
        <f t="shared" ca="1" si="390"/>
        <v>134.2641904543828</v>
      </c>
      <c r="J844" s="359">
        <f t="shared" ca="1" si="391"/>
        <v>1546.5399691711059</v>
      </c>
      <c r="K844" s="360">
        <f t="shared" ca="1" si="392"/>
        <v>1541.5206617419321</v>
      </c>
      <c r="L844" s="357">
        <f t="shared" ca="1" si="377"/>
        <v>2183.5914972405094</v>
      </c>
      <c r="M844" s="359">
        <f t="shared" ca="1" si="393"/>
        <v>-1.36091804653628</v>
      </c>
      <c r="N844" s="357">
        <f t="shared" ca="1" si="394"/>
        <v>-77.974860329717401</v>
      </c>
      <c r="O844" s="343"/>
      <c r="P844" s="363">
        <f t="shared" ca="1" si="395"/>
        <v>23</v>
      </c>
      <c r="Q844" s="357">
        <f t="shared" ca="1" si="396"/>
        <v>0</v>
      </c>
      <c r="R844" s="359">
        <f t="shared" ca="1" si="397"/>
        <v>0</v>
      </c>
      <c r="S844" s="360">
        <f t="shared" ca="1" si="398"/>
        <v>9.7379999999999765</v>
      </c>
      <c r="T844" s="357">
        <f t="shared" ca="1" si="378"/>
        <v>95.529779999999775</v>
      </c>
      <c r="U844" s="364">
        <f t="shared" ca="1" si="379"/>
        <v>0</v>
      </c>
      <c r="V844" s="359">
        <f t="shared" ca="1" si="380"/>
        <v>1.0496769259899439</v>
      </c>
      <c r="W844" s="357">
        <f t="shared" ca="1" si="381"/>
        <v>42.830748464941351</v>
      </c>
      <c r="X844" s="343"/>
      <c r="Y844" s="367" t="str">
        <f t="shared" ca="1" si="399"/>
        <v/>
      </c>
      <c r="Z844" s="368" t="str">
        <f t="shared" ca="1" si="400"/>
        <v/>
      </c>
      <c r="AA844" s="369" t="str">
        <f t="shared" ca="1" si="401"/>
        <v/>
      </c>
      <c r="AB844" s="344"/>
      <c r="AC844" s="363">
        <f t="shared" ca="1" si="402"/>
        <v>39.00000000000022</v>
      </c>
      <c r="AD844" s="376">
        <f t="shared" ca="1" si="403"/>
        <v>1546.5399691711059</v>
      </c>
      <c r="AE844" s="377" t="e">
        <f t="shared" ca="1" si="382"/>
        <v>#N/A</v>
      </c>
      <c r="AF844" s="344"/>
      <c r="AG844" s="359">
        <f t="shared" ca="1" si="404"/>
        <v>5.2332564057518809</v>
      </c>
      <c r="AH844" s="357">
        <f t="shared" ca="1" si="405"/>
        <v>-4.3583308548207516</v>
      </c>
    </row>
    <row r="845" spans="1:34" x14ac:dyDescent="0.25">
      <c r="A845" s="402">
        <f t="shared" ca="1" si="383"/>
        <v>0.1</v>
      </c>
      <c r="B845" s="357">
        <f t="shared" ca="1" si="384"/>
        <v>39.100000000000222</v>
      </c>
      <c r="C845" s="342"/>
      <c r="D845" s="359">
        <f t="shared" ca="1" si="385"/>
        <v>-0.91634777716769533</v>
      </c>
      <c r="E845" s="360">
        <f t="shared" ca="1" si="386"/>
        <v>-5.5082047070142997</v>
      </c>
      <c r="F845" s="357">
        <f t="shared" ca="1" si="387"/>
        <v>5.5839065485638875</v>
      </c>
      <c r="G845" s="359">
        <f t="shared" ca="1" si="388"/>
        <v>27.881081139514599</v>
      </c>
      <c r="H845" s="360">
        <f t="shared" ca="1" si="389"/>
        <v>-131.86875528002079</v>
      </c>
      <c r="I845" s="357">
        <f t="shared" ca="1" si="390"/>
        <v>134.78398756755271</v>
      </c>
      <c r="J845" s="359">
        <f t="shared" ca="1" si="391"/>
        <v>1549.3326590239433</v>
      </c>
      <c r="K845" s="360">
        <f t="shared" ca="1" si="392"/>
        <v>1528.361327237465</v>
      </c>
      <c r="L845" s="357">
        <f t="shared" ca="1" si="377"/>
        <v>2176.3088096392175</v>
      </c>
      <c r="M845" s="359">
        <f t="shared" ca="1" si="393"/>
        <v>-1.3624344169779481</v>
      </c>
      <c r="N845" s="357">
        <f t="shared" ca="1" si="394"/>
        <v>-78.061741956203377</v>
      </c>
      <c r="O845" s="343"/>
      <c r="P845" s="363">
        <f t="shared" ca="1" si="395"/>
        <v>23</v>
      </c>
      <c r="Q845" s="357">
        <f t="shared" ca="1" si="396"/>
        <v>0</v>
      </c>
      <c r="R845" s="359">
        <f t="shared" ca="1" si="397"/>
        <v>0</v>
      </c>
      <c r="S845" s="360">
        <f t="shared" ca="1" si="398"/>
        <v>9.7379999999999765</v>
      </c>
      <c r="T845" s="357">
        <f t="shared" ca="1" si="378"/>
        <v>95.529779999999775</v>
      </c>
      <c r="U845" s="364">
        <f t="shared" ca="1" si="379"/>
        <v>0</v>
      </c>
      <c r="V845" s="359">
        <f t="shared" ca="1" si="380"/>
        <v>1.0510673353250393</v>
      </c>
      <c r="W845" s="357">
        <f t="shared" ca="1" si="381"/>
        <v>43.2201986699298</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5.1964215344301925</v>
      </c>
      <c r="AH845" s="357">
        <f t="shared" ca="1" si="405"/>
        <v>-4.3983105837894287</v>
      </c>
    </row>
    <row r="846" spans="1:34" x14ac:dyDescent="0.25">
      <c r="A846" s="402">
        <f t="shared" ca="1" si="383"/>
        <v>0.1</v>
      </c>
      <c r="B846" s="357">
        <f t="shared" ca="1" si="384"/>
        <v>39.200000000000223</v>
      </c>
      <c r="C846" s="342"/>
      <c r="D846" s="359">
        <f t="shared" ca="1" si="385"/>
        <v>-0.91809642903874578</v>
      </c>
      <c r="E846" s="360">
        <f t="shared" ca="1" si="386"/>
        <v>-5.4676922997154955</v>
      </c>
      <c r="F846" s="357">
        <f t="shared" ca="1" si="387"/>
        <v>5.5442366595755832</v>
      </c>
      <c r="G846" s="359">
        <f t="shared" ca="1" si="388"/>
        <v>27.789271496610723</v>
      </c>
      <c r="H846" s="360">
        <f t="shared" ca="1" si="389"/>
        <v>-132.41552450999234</v>
      </c>
      <c r="I846" s="357">
        <f t="shared" ca="1" si="390"/>
        <v>135.30009143222603</v>
      </c>
      <c r="J846" s="359">
        <f t="shared" ca="1" si="391"/>
        <v>1552.1161766557495</v>
      </c>
      <c r="K846" s="360">
        <f t="shared" ca="1" si="392"/>
        <v>1515.1471132479644</v>
      </c>
      <c r="L846" s="357">
        <f t="shared" ca="1" si="377"/>
        <v>2169.0402026288266</v>
      </c>
      <c r="M846" s="359">
        <f t="shared" ca="1" si="393"/>
        <v>-1.3639342481985184</v>
      </c>
      <c r="N846" s="357">
        <f t="shared" ca="1" si="394"/>
        <v>-78.147675955124015</v>
      </c>
      <c r="O846" s="343"/>
      <c r="P846" s="363">
        <f t="shared" ca="1" si="395"/>
        <v>23</v>
      </c>
      <c r="Q846" s="357">
        <f t="shared" ca="1" si="396"/>
        <v>0</v>
      </c>
      <c r="R846" s="359">
        <f t="shared" ca="1" si="397"/>
        <v>0</v>
      </c>
      <c r="S846" s="360">
        <f t="shared" ca="1" si="398"/>
        <v>9.7379999999999765</v>
      </c>
      <c r="T846" s="357">
        <f t="shared" ca="1" si="378"/>
        <v>95.529779999999775</v>
      </c>
      <c r="U846" s="364">
        <f t="shared" ca="1" si="379"/>
        <v>0</v>
      </c>
      <c r="V846" s="359">
        <f t="shared" ca="1" si="380"/>
        <v>1.0524652546915763</v>
      </c>
      <c r="W846" s="357">
        <f t="shared" ca="1" si="381"/>
        <v>43.609746814922985</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5.1595168635085047</v>
      </c>
      <c r="AH846" s="357">
        <f t="shared" ca="1" si="405"/>
        <v>-4.4383034165054331</v>
      </c>
    </row>
    <row r="847" spans="1:34" x14ac:dyDescent="0.25">
      <c r="A847" s="402">
        <f t="shared" ca="1" si="383"/>
        <v>0.1</v>
      </c>
      <c r="B847" s="357">
        <f t="shared" ca="1" si="384"/>
        <v>39.300000000000225</v>
      </c>
      <c r="C847" s="342"/>
      <c r="D847" s="359">
        <f t="shared" ca="1" si="385"/>
        <v>-0.91979885959651064</v>
      </c>
      <c r="E847" s="360">
        <f t="shared" ca="1" si="386"/>
        <v>-5.4271701567628607</v>
      </c>
      <c r="F847" s="357">
        <f t="shared" ca="1" si="387"/>
        <v>5.5045622762007564</v>
      </c>
      <c r="G847" s="359">
        <f t="shared" ca="1" si="388"/>
        <v>27.697291610651071</v>
      </c>
      <c r="H847" s="360">
        <f t="shared" ca="1" si="389"/>
        <v>-132.95824152566863</v>
      </c>
      <c r="I847" s="357">
        <f t="shared" ca="1" si="390"/>
        <v>135.81249556709969</v>
      </c>
      <c r="J847" s="359">
        <f t="shared" ca="1" si="391"/>
        <v>1554.8905048111126</v>
      </c>
      <c r="K847" s="360">
        <f t="shared" ca="1" si="392"/>
        <v>1501.8784249461814</v>
      </c>
      <c r="L847" s="357">
        <f t="shared" ca="1" si="377"/>
        <v>2161.7870582623486</v>
      </c>
      <c r="M847" s="359">
        <f t="shared" ca="1" si="393"/>
        <v>-1.3654178197912015</v>
      </c>
      <c r="N847" s="357">
        <f t="shared" ca="1" si="394"/>
        <v>-78.232678345990252</v>
      </c>
      <c r="O847" s="343"/>
      <c r="P847" s="363">
        <f t="shared" ca="1" si="395"/>
        <v>23</v>
      </c>
      <c r="Q847" s="357">
        <f t="shared" ca="1" si="396"/>
        <v>0</v>
      </c>
      <c r="R847" s="359">
        <f t="shared" ca="1" si="397"/>
        <v>0</v>
      </c>
      <c r="S847" s="360">
        <f t="shared" ca="1" si="398"/>
        <v>9.7379999999999765</v>
      </c>
      <c r="T847" s="357">
        <f t="shared" ca="1" si="378"/>
        <v>95.529779999999775</v>
      </c>
      <c r="U847" s="364">
        <f t="shared" ca="1" si="379"/>
        <v>0</v>
      </c>
      <c r="V847" s="359">
        <f t="shared" ca="1" si="380"/>
        <v>1.0538706656973225</v>
      </c>
      <c r="W847" s="357">
        <f t="shared" ca="1" si="381"/>
        <v>43.999363402457021</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5.1225467429067226</v>
      </c>
      <c r="AH847" s="357">
        <f t="shared" ca="1" si="405"/>
        <v>-4.478306306728598</v>
      </c>
    </row>
    <row r="848" spans="1:34" x14ac:dyDescent="0.25">
      <c r="A848" s="402">
        <f t="shared" ca="1" si="383"/>
        <v>0.1</v>
      </c>
      <c r="B848" s="357">
        <f t="shared" ca="1" si="384"/>
        <v>39.400000000000226</v>
      </c>
      <c r="C848" s="342"/>
      <c r="D848" s="359">
        <f t="shared" ca="1" si="385"/>
        <v>-0.92145513975054305</v>
      </c>
      <c r="E848" s="360">
        <f t="shared" ca="1" si="386"/>
        <v>-5.3866413283922716</v>
      </c>
      <c r="F848" s="357">
        <f t="shared" ca="1" si="387"/>
        <v>5.464886492445781</v>
      </c>
      <c r="G848" s="359">
        <f t="shared" ca="1" si="388"/>
        <v>27.605146096676016</v>
      </c>
      <c r="H848" s="360">
        <f t="shared" ca="1" si="389"/>
        <v>-133.49690565850784</v>
      </c>
      <c r="I848" s="357">
        <f t="shared" ca="1" si="390"/>
        <v>136.32119391868372</v>
      </c>
      <c r="J848" s="359">
        <f t="shared" ca="1" si="391"/>
        <v>1557.655626696479</v>
      </c>
      <c r="K848" s="360">
        <f t="shared" ca="1" si="392"/>
        <v>1488.5556675869725</v>
      </c>
      <c r="L848" s="357">
        <f t="shared" ca="1" si="377"/>
        <v>2154.5507714798687</v>
      </c>
      <c r="M848" s="359">
        <f t="shared" ca="1" si="393"/>
        <v>-1.3668854051021144</v>
      </c>
      <c r="N848" s="357">
        <f t="shared" ca="1" si="394"/>
        <v>-78.316764790380958</v>
      </c>
      <c r="O848" s="343"/>
      <c r="P848" s="363">
        <f t="shared" ca="1" si="395"/>
        <v>23</v>
      </c>
      <c r="Q848" s="357">
        <f t="shared" ca="1" si="396"/>
        <v>0</v>
      </c>
      <c r="R848" s="359">
        <f t="shared" ca="1" si="397"/>
        <v>0</v>
      </c>
      <c r="S848" s="360">
        <f t="shared" ca="1" si="398"/>
        <v>9.7379999999999765</v>
      </c>
      <c r="T848" s="357">
        <f t="shared" ca="1" si="378"/>
        <v>95.529779999999775</v>
      </c>
      <c r="U848" s="364">
        <f t="shared" ca="1" si="379"/>
        <v>0</v>
      </c>
      <c r="V848" s="359">
        <f t="shared" ca="1" si="380"/>
        <v>1.0552835499042355</v>
      </c>
      <c r="W848" s="357">
        <f t="shared" ca="1" si="381"/>
        <v>44.389019105536093</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5.085515468637329</v>
      </c>
      <c r="AH848" s="357">
        <f t="shared" ca="1" si="405"/>
        <v>-4.5183162253498796</v>
      </c>
    </row>
    <row r="849" spans="1:34" x14ac:dyDescent="0.25">
      <c r="A849" s="402">
        <f t="shared" ca="1" si="383"/>
        <v>0.1</v>
      </c>
      <c r="B849" s="357">
        <f t="shared" ca="1" si="384"/>
        <v>39.500000000000227</v>
      </c>
      <c r="C849" s="342"/>
      <c r="D849" s="359">
        <f t="shared" ca="1" si="385"/>
        <v>-0.92306534609637825</v>
      </c>
      <c r="E849" s="360">
        <f t="shared" ca="1" si="386"/>
        <v>-5.3461088474984022</v>
      </c>
      <c r="F849" s="357">
        <f t="shared" ca="1" si="387"/>
        <v>5.4252123868531372</v>
      </c>
      <c r="G849" s="359">
        <f t="shared" ca="1" si="388"/>
        <v>27.512839562066379</v>
      </c>
      <c r="H849" s="360">
        <f t="shared" ca="1" si="389"/>
        <v>-134.03151654325768</v>
      </c>
      <c r="I849" s="357">
        <f t="shared" ca="1" si="390"/>
        <v>136.82618085605387</v>
      </c>
      <c r="J849" s="359">
        <f t="shared" ca="1" si="391"/>
        <v>1560.4115259794162</v>
      </c>
      <c r="K849" s="360">
        <f t="shared" ca="1" si="392"/>
        <v>1475.1792464768841</v>
      </c>
      <c r="L849" s="357">
        <f t="shared" ca="1" si="377"/>
        <v>2147.3327500984838</v>
      </c>
      <c r="M849" s="359">
        <f t="shared" ca="1" si="393"/>
        <v>-1.3683372713993258</v>
      </c>
      <c r="N849" s="357">
        <f t="shared" ca="1" si="394"/>
        <v>-78.399950601628461</v>
      </c>
      <c r="O849" s="343"/>
      <c r="P849" s="363">
        <f t="shared" ca="1" si="395"/>
        <v>23</v>
      </c>
      <c r="Q849" s="357">
        <f t="shared" ca="1" si="396"/>
        <v>0</v>
      </c>
      <c r="R849" s="359">
        <f t="shared" ca="1" si="397"/>
        <v>0</v>
      </c>
      <c r="S849" s="360">
        <f t="shared" ca="1" si="398"/>
        <v>9.7379999999999765</v>
      </c>
      <c r="T849" s="357">
        <f t="shared" ca="1" si="378"/>
        <v>95.529779999999775</v>
      </c>
      <c r="U849" s="364">
        <f t="shared" ca="1" si="379"/>
        <v>0</v>
      </c>
      <c r="V849" s="359">
        <f t="shared" ca="1" si="380"/>
        <v>1.0567038888296454</v>
      </c>
      <c r="W849" s="357">
        <f t="shared" ca="1" si="381"/>
        <v>44.778684771222729</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5.0484272836501001</v>
      </c>
      <c r="AH849" s="357">
        <f t="shared" ca="1" si="405"/>
        <v>-4.5583301607656805</v>
      </c>
    </row>
    <row r="850" spans="1:34" x14ac:dyDescent="0.25">
      <c r="A850" s="402">
        <f t="shared" ca="1" si="383"/>
        <v>0.1</v>
      </c>
      <c r="B850" s="357">
        <f t="shared" ca="1" si="384"/>
        <v>39.600000000000229</v>
      </c>
      <c r="C850" s="342"/>
      <c r="D850" s="359">
        <f t="shared" ca="1" si="385"/>
        <v>-0.92462956084360814</v>
      </c>
      <c r="E850" s="360">
        <f t="shared" ca="1" si="386"/>
        <v>-5.3055757292510002</v>
      </c>
      <c r="F850" s="357">
        <f t="shared" ca="1" si="387"/>
        <v>5.3855430221662077</v>
      </c>
      <c r="G850" s="359">
        <f t="shared" ca="1" si="388"/>
        <v>27.420376605982018</v>
      </c>
      <c r="H850" s="360">
        <f t="shared" ca="1" si="389"/>
        <v>-134.56207411618277</v>
      </c>
      <c r="I850" s="357">
        <f t="shared" ca="1" si="390"/>
        <v>137.32745116568265</v>
      </c>
      <c r="J850" s="359">
        <f t="shared" ca="1" si="391"/>
        <v>1563.1581867878185</v>
      </c>
      <c r="K850" s="360">
        <f t="shared" ca="1" si="392"/>
        <v>1461.7495669439122</v>
      </c>
      <c r="L850" s="357">
        <f t="shared" ca="1" si="377"/>
        <v>2140.1344147932614</v>
      </c>
      <c r="M850" s="359">
        <f t="shared" ca="1" si="393"/>
        <v>-1.3697736800365705</v>
      </c>
      <c r="N850" s="357">
        <f t="shared" ca="1" si="394"/>
        <v>-78.482250754198716</v>
      </c>
      <c r="O850" s="343"/>
      <c r="P850" s="363">
        <f t="shared" ca="1" si="395"/>
        <v>23</v>
      </c>
      <c r="Q850" s="357">
        <f t="shared" ca="1" si="396"/>
        <v>0</v>
      </c>
      <c r="R850" s="359">
        <f t="shared" ca="1" si="397"/>
        <v>0</v>
      </c>
      <c r="S850" s="360">
        <f t="shared" ca="1" si="398"/>
        <v>9.7379999999999765</v>
      </c>
      <c r="T850" s="357">
        <f t="shared" ca="1" si="378"/>
        <v>95.529779999999775</v>
      </c>
      <c r="U850" s="364">
        <f t="shared" ca="1" si="379"/>
        <v>0</v>
      </c>
      <c r="V850" s="359">
        <f t="shared" ca="1" si="380"/>
        <v>1.0581316639474445</v>
      </c>
      <c r="W850" s="357">
        <f t="shared" ca="1" si="381"/>
        <v>45.168331424172692</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5.0112863786363597</v>
      </c>
      <c r="AH850" s="357">
        <f t="shared" ca="1" si="405"/>
        <v>-4.5983451192465434</v>
      </c>
    </row>
    <row r="851" spans="1:34" x14ac:dyDescent="0.25">
      <c r="A851" s="402">
        <f t="shared" ca="1" si="383"/>
        <v>0.1</v>
      </c>
      <c r="B851" s="357">
        <f t="shared" ca="1" si="384"/>
        <v>39.70000000000023</v>
      </c>
      <c r="C851" s="342"/>
      <c r="D851" s="359">
        <f t="shared" ca="1" si="385"/>
        <v>-0.92614787174415714</v>
      </c>
      <c r="E851" s="360">
        <f t="shared" ca="1" si="386"/>
        <v>-5.2650449707173523</v>
      </c>
      <c r="F851" s="357">
        <f t="shared" ca="1" si="387"/>
        <v>5.3458814450015932</v>
      </c>
      <c r="G851" s="359">
        <f t="shared" ca="1" si="388"/>
        <v>27.327761818807602</v>
      </c>
      <c r="H851" s="360">
        <f t="shared" ca="1" si="389"/>
        <v>-135.0885786132545</v>
      </c>
      <c r="I851" s="357">
        <f t="shared" ca="1" si="390"/>
        <v>137.82500004634471</v>
      </c>
      <c r="J851" s="359">
        <f t="shared" ca="1" si="391"/>
        <v>1565.8955937090579</v>
      </c>
      <c r="K851" s="360">
        <f t="shared" ca="1" si="392"/>
        <v>1448.2670343074403</v>
      </c>
      <c r="L851" s="357">
        <f t="shared" ca="1" si="377"/>
        <v>2132.9571990687277</v>
      </c>
      <c r="M851" s="359">
        <f t="shared" ca="1" si="393"/>
        <v>-1.3711948866118226</v>
      </c>
      <c r="N851" s="357">
        <f t="shared" ca="1" si="394"/>
        <v>-78.563679892776904</v>
      </c>
      <c r="O851" s="343"/>
      <c r="P851" s="363">
        <f t="shared" ca="1" si="395"/>
        <v>23</v>
      </c>
      <c r="Q851" s="357">
        <f t="shared" ca="1" si="396"/>
        <v>0</v>
      </c>
      <c r="R851" s="359">
        <f t="shared" ca="1" si="397"/>
        <v>0</v>
      </c>
      <c r="S851" s="360">
        <f t="shared" ca="1" si="398"/>
        <v>9.7379999999999765</v>
      </c>
      <c r="T851" s="357">
        <f t="shared" ca="1" si="378"/>
        <v>95.529779999999775</v>
      </c>
      <c r="U851" s="364">
        <f t="shared" ca="1" si="379"/>
        <v>0</v>
      </c>
      <c r="V851" s="359">
        <f t="shared" ca="1" si="380"/>
        <v>1.0595668566892777</v>
      </c>
      <c r="W851" s="357">
        <f t="shared" ca="1" si="381"/>
        <v>45.557930270113616</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4.9740968927947904</v>
      </c>
      <c r="AH851" s="357">
        <f t="shared" ca="1" si="405"/>
        <v>-4.6383581253001438</v>
      </c>
    </row>
    <row r="852" spans="1:34" x14ac:dyDescent="0.25">
      <c r="A852" s="402">
        <f t="shared" ca="1" si="383"/>
        <v>0.1</v>
      </c>
      <c r="B852" s="357">
        <f t="shared" ca="1" si="384"/>
        <v>39.800000000000232</v>
      </c>
      <c r="C852" s="342"/>
      <c r="D852" s="359">
        <f t="shared" ca="1" si="385"/>
        <v>-0.92762037202074943</v>
      </c>
      <c r="E852" s="360">
        <f t="shared" ca="1" si="386"/>
        <v>-5.2245195504909754</v>
      </c>
      <c r="F852" s="357">
        <f t="shared" ca="1" si="387"/>
        <v>5.3062306855290728</v>
      </c>
      <c r="G852" s="359">
        <f t="shared" ca="1" si="388"/>
        <v>27.234999781605527</v>
      </c>
      <c r="H852" s="360">
        <f t="shared" ca="1" si="389"/>
        <v>-135.61103056830359</v>
      </c>
      <c r="I852" s="357">
        <f t="shared" ca="1" si="390"/>
        <v>138.31882310409318</v>
      </c>
      <c r="J852" s="359">
        <f t="shared" ca="1" si="391"/>
        <v>1568.6237317890786</v>
      </c>
      <c r="K852" s="360">
        <f t="shared" ca="1" si="392"/>
        <v>1434.7320538483625</v>
      </c>
      <c r="L852" s="357">
        <f t="shared" ca="1" si="377"/>
        <v>2125.8025492203728</v>
      </c>
      <c r="M852" s="359">
        <f t="shared" ca="1" si="393"/>
        <v>-1.3726011411209125</v>
      </c>
      <c r="N852" s="357">
        <f t="shared" ca="1" si="394"/>
        <v>-78.644252341068992</v>
      </c>
      <c r="O852" s="343"/>
      <c r="P852" s="363">
        <f t="shared" ca="1" si="395"/>
        <v>23</v>
      </c>
      <c r="Q852" s="357">
        <f t="shared" ca="1" si="396"/>
        <v>0</v>
      </c>
      <c r="R852" s="359">
        <f t="shared" ca="1" si="397"/>
        <v>0</v>
      </c>
      <c r="S852" s="360">
        <f t="shared" ca="1" si="398"/>
        <v>9.7379999999999765</v>
      </c>
      <c r="T852" s="357">
        <f t="shared" ca="1" si="378"/>
        <v>95.529779999999775</v>
      </c>
      <c r="U852" s="364">
        <f t="shared" ca="1" si="379"/>
        <v>0</v>
      </c>
      <c r="V852" s="359">
        <f t="shared" ca="1" si="380"/>
        <v>1.0610094484457346</v>
      </c>
      <c r="W852" s="357">
        <f t="shared" ca="1" si="381"/>
        <v>45.947452699266705</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4.9368629145607175</v>
      </c>
      <c r="AH852" s="357">
        <f t="shared" ca="1" si="405"/>
        <v>-4.6783662220285196</v>
      </c>
    </row>
    <row r="853" spans="1:34" x14ac:dyDescent="0.25">
      <c r="A853" s="402">
        <f t="shared" ca="1" si="383"/>
        <v>0.1</v>
      </c>
      <c r="B853" s="357">
        <f t="shared" ca="1" si="384"/>
        <v>39.900000000000233</v>
      </c>
      <c r="C853" s="342"/>
      <c r="D853" s="359">
        <f t="shared" ca="1" si="385"/>
        <v>-0.92904716029552925</v>
      </c>
      <c r="E853" s="360">
        <f t="shared" ca="1" si="386"/>
        <v>-5.1840024283266022</v>
      </c>
      <c r="F853" s="357">
        <f t="shared" ca="1" si="387"/>
        <v>5.2665937571592982</v>
      </c>
      <c r="G853" s="359">
        <f t="shared" ca="1" si="388"/>
        <v>27.142095065575973</v>
      </c>
      <c r="H853" s="360">
        <f t="shared" ca="1" si="389"/>
        <v>-136.12943081113625</v>
      </c>
      <c r="I853" s="357">
        <f t="shared" ca="1" si="390"/>
        <v>138.80891634730347</v>
      </c>
      <c r="J853" s="359">
        <f t="shared" ca="1" si="391"/>
        <v>1571.3425865314377</v>
      </c>
      <c r="K853" s="360">
        <f t="shared" ca="1" si="392"/>
        <v>1421.1450307793905</v>
      </c>
      <c r="L853" s="357">
        <f t="shared" ca="1" si="377"/>
        <v>2118.6719242856507</v>
      </c>
      <c r="M853" s="359">
        <f t="shared" ca="1" si="393"/>
        <v>-1.3739926881063595</v>
      </c>
      <c r="N853" s="357">
        <f t="shared" ca="1" si="394"/>
        <v>-78.72398211032926</v>
      </c>
      <c r="O853" s="343"/>
      <c r="P853" s="363">
        <f t="shared" ca="1" si="395"/>
        <v>23</v>
      </c>
      <c r="Q853" s="357">
        <f t="shared" ca="1" si="396"/>
        <v>0</v>
      </c>
      <c r="R853" s="359">
        <f t="shared" ca="1" si="397"/>
        <v>0</v>
      </c>
      <c r="S853" s="360">
        <f t="shared" ca="1" si="398"/>
        <v>9.7379999999999765</v>
      </c>
      <c r="T853" s="357">
        <f t="shared" ca="1" si="378"/>
        <v>95.529779999999775</v>
      </c>
      <c r="U853" s="364">
        <f t="shared" ca="1" si="379"/>
        <v>0</v>
      </c>
      <c r="V853" s="359">
        <f t="shared" ca="1" si="380"/>
        <v>1.0624594205675466</v>
      </c>
      <c r="W853" s="357">
        <f t="shared" ca="1" si="381"/>
        <v>46.336870289710944</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4.8995884823007438</v>
      </c>
      <c r="AH853" s="357">
        <f t="shared" ca="1" si="405"/>
        <v>-4.7183664714794427</v>
      </c>
    </row>
    <row r="854" spans="1:34" x14ac:dyDescent="0.25">
      <c r="A854" s="402">
        <f t="shared" ca="1" si="383"/>
        <v>0.1</v>
      </c>
      <c r="B854" s="357">
        <f t="shared" ca="1" si="384"/>
        <v>40.000000000000234</v>
      </c>
      <c r="C854" s="342"/>
      <c r="D854" s="359">
        <f t="shared" ca="1" si="385"/>
        <v>-0.93042834051883649</v>
      </c>
      <c r="E854" s="360">
        <f t="shared" ca="1" si="386"/>
        <v>-5.1434965447815033</v>
      </c>
      <c r="F854" s="357">
        <f t="shared" ca="1" si="387"/>
        <v>5.2269736562393252</v>
      </c>
      <c r="G854" s="359">
        <f t="shared" ca="1" si="388"/>
        <v>27.04905223152409</v>
      </c>
      <c r="H854" s="360">
        <f t="shared" ca="1" si="389"/>
        <v>-136.64378046561438</v>
      </c>
      <c r="I854" s="357">
        <f t="shared" ca="1" si="390"/>
        <v>139.29527618178133</v>
      </c>
      <c r="J854" s="359">
        <f t="shared" ca="1" si="391"/>
        <v>1574.0521438962928</v>
      </c>
      <c r="K854" s="360">
        <f t="shared" ca="1" si="392"/>
        <v>1407.506370215553</v>
      </c>
      <c r="L854" s="357">
        <f t="shared" ca="1" si="377"/>
        <v>2111.5667959839388</v>
      </c>
      <c r="M854" s="359">
        <f t="shared" ca="1" si="393"/>
        <v>-1.3753697668015925</v>
      </c>
      <c r="N854" s="357">
        <f t="shared" ca="1" si="394"/>
        <v>-78.802882907623498</v>
      </c>
      <c r="O854" s="343"/>
      <c r="P854" s="363">
        <f t="shared" ca="1" si="395"/>
        <v>23</v>
      </c>
      <c r="Q854" s="357">
        <f t="shared" ca="1" si="396"/>
        <v>0</v>
      </c>
      <c r="R854" s="359">
        <f t="shared" ca="1" si="397"/>
        <v>0</v>
      </c>
      <c r="S854" s="360">
        <f t="shared" ca="1" si="398"/>
        <v>9.7379999999999765</v>
      </c>
      <c r="T854" s="357">
        <f t="shared" ca="1" si="378"/>
        <v>95.529779999999775</v>
      </c>
      <c r="U854" s="364">
        <f t="shared" ca="1" si="379"/>
        <v>0</v>
      </c>
      <c r="V854" s="359">
        <f t="shared" ca="1" si="380"/>
        <v>1.0639167543667825</v>
      </c>
      <c r="W854" s="357">
        <f t="shared" ca="1" si="381"/>
        <v>46.726154810688882</v>
      </c>
      <c r="X854" s="343"/>
      <c r="Y854" s="367" t="str">
        <f t="shared" ca="1" si="399"/>
        <v/>
      </c>
      <c r="Z854" s="368" t="str">
        <f t="shared" ca="1" si="400"/>
        <v/>
      </c>
      <c r="AA854" s="369" t="str">
        <f t="shared" ca="1" si="401"/>
        <v/>
      </c>
      <c r="AB854" s="344"/>
      <c r="AC854" s="363">
        <f t="shared" ca="1" si="402"/>
        <v>40.000000000000234</v>
      </c>
      <c r="AD854" s="376">
        <f t="shared" ca="1" si="403"/>
        <v>1574.0521438962928</v>
      </c>
      <c r="AE854" s="377" t="e">
        <f t="shared" ca="1" si="382"/>
        <v>#N/A</v>
      </c>
      <c r="AF854" s="344"/>
      <c r="AG854" s="359">
        <f t="shared" ca="1" si="404"/>
        <v>4.8622775849744233</v>
      </c>
      <c r="AH854" s="357">
        <f t="shared" ca="1" si="405"/>
        <v>-4.7583559549918935</v>
      </c>
    </row>
    <row r="855" spans="1:34" x14ac:dyDescent="0.25">
      <c r="A855" s="402">
        <f t="shared" ca="1" si="383"/>
        <v>0.1</v>
      </c>
      <c r="B855" s="357">
        <f t="shared" ca="1" si="384"/>
        <v>40.100000000000236</v>
      </c>
      <c r="C855" s="342"/>
      <c r="D855" s="359">
        <f t="shared" ca="1" si="385"/>
        <v>-0.93176402189810703</v>
      </c>
      <c r="E855" s="360">
        <f t="shared" ca="1" si="386"/>
        <v>-5.1030048208632195</v>
      </c>
      <c r="F855" s="357">
        <f t="shared" ca="1" si="387"/>
        <v>5.1873733617561211</v>
      </c>
      <c r="G855" s="359">
        <f t="shared" ca="1" si="388"/>
        <v>26.955875829334278</v>
      </c>
      <c r="H855" s="360">
        <f t="shared" ca="1" si="389"/>
        <v>-137.15408094770072</v>
      </c>
      <c r="I855" s="357">
        <f t="shared" ca="1" si="390"/>
        <v>139.77789940593229</v>
      </c>
      <c r="J855" s="359">
        <f t="shared" ca="1" si="391"/>
        <v>1576.7523902993357</v>
      </c>
      <c r="K855" s="360">
        <f t="shared" ca="1" si="392"/>
        <v>1393.8164771448874</v>
      </c>
      <c r="L855" s="357">
        <f t="shared" ca="1" si="377"/>
        <v>2104.4886486449036</v>
      </c>
      <c r="M855" s="359">
        <f t="shared" ca="1" si="393"/>
        <v>-1.3767326112707154</v>
      </c>
      <c r="N855" s="357">
        <f t="shared" ca="1" si="394"/>
        <v>-78.880968143836981</v>
      </c>
      <c r="O855" s="343"/>
      <c r="P855" s="363">
        <f t="shared" ca="1" si="395"/>
        <v>23</v>
      </c>
      <c r="Q855" s="357">
        <f t="shared" ca="1" si="396"/>
        <v>0</v>
      </c>
      <c r="R855" s="359">
        <f t="shared" ca="1" si="397"/>
        <v>0</v>
      </c>
      <c r="S855" s="360">
        <f t="shared" ca="1" si="398"/>
        <v>9.7379999999999765</v>
      </c>
      <c r="T855" s="357">
        <f t="shared" ca="1" si="378"/>
        <v>95.529779999999775</v>
      </c>
      <c r="U855" s="364">
        <f t="shared" ca="1" si="379"/>
        <v>0</v>
      </c>
      <c r="V855" s="359">
        <f t="shared" ca="1" si="380"/>
        <v>1.0653814311180489</v>
      </c>
      <c r="W855" s="357">
        <f t="shared" ca="1" si="381"/>
        <v>47.115278225853743</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4.824934162764758</v>
      </c>
      <c r="AH855" s="357">
        <f t="shared" ca="1" si="405"/>
        <v>-4.7983317735355309</v>
      </c>
    </row>
    <row r="856" spans="1:34" x14ac:dyDescent="0.25">
      <c r="A856" s="402">
        <f t="shared" ca="1" si="383"/>
        <v>0.1</v>
      </c>
      <c r="B856" s="357">
        <f t="shared" ca="1" si="384"/>
        <v>40.200000000000237</v>
      </c>
      <c r="C856" s="342"/>
      <c r="D856" s="359">
        <f t="shared" ca="1" si="385"/>
        <v>-0.93305431882690248</v>
      </c>
      <c r="E856" s="360">
        <f t="shared" ca="1" si="386"/>
        <v>-5.0625301576837227</v>
      </c>
      <c r="F856" s="357">
        <f t="shared" ca="1" si="387"/>
        <v>5.1477958350481146</v>
      </c>
      <c r="G856" s="359">
        <f t="shared" ca="1" si="388"/>
        <v>26.862570397451588</v>
      </c>
      <c r="H856" s="360">
        <f t="shared" ca="1" si="389"/>
        <v>-137.6603339634691</v>
      </c>
      <c r="I856" s="357">
        <f t="shared" ca="1" si="390"/>
        <v>140.25678320598931</v>
      </c>
      <c r="J856" s="359">
        <f t="shared" ca="1" si="391"/>
        <v>1579.4433126106751</v>
      </c>
      <c r="K856" s="360">
        <f t="shared" ca="1" si="392"/>
        <v>1380.0757563993288</v>
      </c>
      <c r="L856" s="357">
        <f t="shared" ca="1" si="377"/>
        <v>2097.4389791247236</v>
      </c>
      <c r="M856" s="359">
        <f t="shared" ca="1" si="393"/>
        <v>-1.3780814505439798</v>
      </c>
      <c r="N856" s="357">
        <f t="shared" ca="1" si="394"/>
        <v>-78.958250941436532</v>
      </c>
      <c r="O856" s="343"/>
      <c r="P856" s="363">
        <f t="shared" ca="1" si="395"/>
        <v>23</v>
      </c>
      <c r="Q856" s="357">
        <f t="shared" ca="1" si="396"/>
        <v>0</v>
      </c>
      <c r="R856" s="359">
        <f t="shared" ca="1" si="397"/>
        <v>0</v>
      </c>
      <c r="S856" s="360">
        <f t="shared" ca="1" si="398"/>
        <v>9.7379999999999765</v>
      </c>
      <c r="T856" s="357">
        <f t="shared" ca="1" si="378"/>
        <v>95.529779999999775</v>
      </c>
      <c r="U856" s="364">
        <f t="shared" ca="1" si="379"/>
        <v>0</v>
      </c>
      <c r="V856" s="359">
        <f t="shared" ca="1" si="380"/>
        <v>1.0668534320596912</v>
      </c>
      <c r="W856" s="357">
        <f t="shared" ca="1" si="381"/>
        <v>47.504212696456996</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4.7875621076789914</v>
      </c>
      <c r="AH856" s="357">
        <f t="shared" ca="1" si="405"/>
        <v>-4.8382910480441419</v>
      </c>
    </row>
    <row r="857" spans="1:34" x14ac:dyDescent="0.25">
      <c r="A857" s="402">
        <f t="shared" ca="1" si="383"/>
        <v>0.1</v>
      </c>
      <c r="B857" s="357">
        <f t="shared" ca="1" si="384"/>
        <v>40.300000000000239</v>
      </c>
      <c r="C857" s="342"/>
      <c r="D857" s="359">
        <f t="shared" ca="1" si="385"/>
        <v>-0.93429935081403548</v>
      </c>
      <c r="E857" s="360">
        <f t="shared" ca="1" si="386"/>
        <v>-5.0220754361200637</v>
      </c>
      <c r="F857" s="357">
        <f t="shared" ca="1" si="387"/>
        <v>5.108244019524915</v>
      </c>
      <c r="G857" s="359">
        <f t="shared" ca="1" si="388"/>
        <v>26.769140462370185</v>
      </c>
      <c r="H857" s="360">
        <f t="shared" ca="1" si="389"/>
        <v>-138.1625415070811</v>
      </c>
      <c r="I857" s="357">
        <f t="shared" ca="1" si="390"/>
        <v>140.73192515129611</v>
      </c>
      <c r="J857" s="359">
        <f t="shared" ca="1" si="391"/>
        <v>1582.1248981536662</v>
      </c>
      <c r="K857" s="360">
        <f t="shared" ca="1" si="392"/>
        <v>1366.2846126258014</v>
      </c>
      <c r="L857" s="357">
        <f t="shared" ca="1" si="377"/>
        <v>2090.4192967095823</v>
      </c>
      <c r="M857" s="359">
        <f t="shared" ca="1" si="393"/>
        <v>-1.3794165087491086</v>
      </c>
      <c r="N857" s="357">
        <f t="shared" ca="1" si="394"/>
        <v>-79.034744141994722</v>
      </c>
      <c r="O857" s="343"/>
      <c r="P857" s="363">
        <f t="shared" ca="1" si="395"/>
        <v>23</v>
      </c>
      <c r="Q857" s="357">
        <f t="shared" ca="1" si="396"/>
        <v>0</v>
      </c>
      <c r="R857" s="359">
        <f t="shared" ca="1" si="397"/>
        <v>0</v>
      </c>
      <c r="S857" s="360">
        <f t="shared" ca="1" si="398"/>
        <v>9.7379999999999765</v>
      </c>
      <c r="T857" s="357">
        <f t="shared" ca="1" si="378"/>
        <v>95.529779999999775</v>
      </c>
      <c r="U857" s="364">
        <f t="shared" ca="1" si="379"/>
        <v>0</v>
      </c>
      <c r="V857" s="359">
        <f t="shared" ca="1" si="380"/>
        <v>1.0683327383949963</v>
      </c>
      <c r="W857" s="357">
        <f t="shared" ca="1" si="381"/>
        <v>47.892930584475884</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4.7501652641213372</v>
      </c>
      <c r="AH857" s="357">
        <f t="shared" ca="1" si="405"/>
        <v>-4.8782309197429772</v>
      </c>
    </row>
    <row r="858" spans="1:34" x14ac:dyDescent="0.25">
      <c r="A858" s="402">
        <f t="shared" ca="1" si="383"/>
        <v>0.1</v>
      </c>
      <c r="B858" s="357">
        <f t="shared" ca="1" si="384"/>
        <v>40.40000000000024</v>
      </c>
      <c r="C858" s="342"/>
      <c r="D858" s="359">
        <f t="shared" ca="1" si="385"/>
        <v>-0.93549924241279236</v>
      </c>
      <c r="E858" s="360">
        <f t="shared" ca="1" si="386"/>
        <v>-4.9816435164815784</v>
      </c>
      <c r="F858" s="357">
        <f t="shared" ca="1" si="387"/>
        <v>5.0687208403953221</v>
      </c>
      <c r="G858" s="359">
        <f t="shared" ca="1" si="388"/>
        <v>26.675590538128905</v>
      </c>
      <c r="H858" s="360">
        <f t="shared" ca="1" si="389"/>
        <v>-138.66070585872927</v>
      </c>
      <c r="I858" s="357">
        <f t="shared" ca="1" si="390"/>
        <v>141.20332318964364</v>
      </c>
      <c r="J858" s="359">
        <f t="shared" ca="1" si="391"/>
        <v>1584.7971347036912</v>
      </c>
      <c r="K858" s="360">
        <f t="shared" ca="1" si="392"/>
        <v>1352.4434502575109</v>
      </c>
      <c r="L858" s="357">
        <f t="shared" ca="1" si="377"/>
        <v>2083.4311230058624</v>
      </c>
      <c r="M858" s="359">
        <f t="shared" ca="1" si="393"/>
        <v>-1.3807380052386171</v>
      </c>
      <c r="N858" s="357">
        <f t="shared" ca="1" si="394"/>
        <v>-79.110460313484907</v>
      </c>
      <c r="O858" s="343"/>
      <c r="P858" s="363">
        <f t="shared" ca="1" si="395"/>
        <v>23</v>
      </c>
      <c r="Q858" s="357">
        <f t="shared" ca="1" si="396"/>
        <v>0</v>
      </c>
      <c r="R858" s="359">
        <f t="shared" ca="1" si="397"/>
        <v>0</v>
      </c>
      <c r="S858" s="360">
        <f t="shared" ca="1" si="398"/>
        <v>9.7379999999999765</v>
      </c>
      <c r="T858" s="357">
        <f t="shared" ca="1" si="378"/>
        <v>95.529779999999775</v>
      </c>
      <c r="U858" s="364">
        <f t="shared" ca="1" si="379"/>
        <v>0</v>
      </c>
      <c r="V858" s="359">
        <f t="shared" ca="1" si="380"/>
        <v>1.0698193312933966</v>
      </c>
      <c r="W858" s="357">
        <f t="shared" ca="1" si="381"/>
        <v>48.281404455680409</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4.7127474294390428</v>
      </c>
      <c r="AH858" s="357">
        <f t="shared" ca="1" si="405"/>
        <v>-4.9181485504699118</v>
      </c>
    </row>
    <row r="859" spans="1:34" x14ac:dyDescent="0.25">
      <c r="A859" s="402">
        <f t="shared" ca="1" si="383"/>
        <v>0.1</v>
      </c>
      <c r="B859" s="357">
        <f t="shared" ca="1" si="384"/>
        <v>40.500000000000242</v>
      </c>
      <c r="C859" s="342"/>
      <c r="D859" s="359">
        <f t="shared" ca="1" si="385"/>
        <v>-0.93665412315024832</v>
      </c>
      <c r="E859" s="360">
        <f t="shared" ca="1" si="386"/>
        <v>-4.9412372381836525</v>
      </c>
      <c r="F859" s="357">
        <f t="shared" ca="1" si="387"/>
        <v>5.0292292044037099</v>
      </c>
      <c r="G859" s="359">
        <f t="shared" ca="1" si="388"/>
        <v>26.581925125813878</v>
      </c>
      <c r="H859" s="360">
        <f t="shared" ca="1" si="389"/>
        <v>-139.15482958254765</v>
      </c>
      <c r="I859" s="357">
        <f t="shared" ca="1" si="390"/>
        <v>141.67097564265677</v>
      </c>
      <c r="J859" s="359">
        <f t="shared" ca="1" si="391"/>
        <v>1587.4600104868885</v>
      </c>
      <c r="K859" s="360">
        <f t="shared" ca="1" si="392"/>
        <v>1338.552673485447</v>
      </c>
      <c r="L859" s="357">
        <f t="shared" ca="1" si="377"/>
        <v>2076.4759918164405</v>
      </c>
      <c r="M859" s="359">
        <f t="shared" ca="1" si="393"/>
        <v>-1.3820461547132716</v>
      </c>
      <c r="N859" s="357">
        <f t="shared" ca="1" si="394"/>
        <v>-79.185411757354871</v>
      </c>
      <c r="O859" s="343"/>
      <c r="P859" s="363">
        <f t="shared" ca="1" si="395"/>
        <v>23</v>
      </c>
      <c r="Q859" s="357">
        <f t="shared" ca="1" si="396"/>
        <v>0</v>
      </c>
      <c r="R859" s="359">
        <f t="shared" ca="1" si="397"/>
        <v>0</v>
      </c>
      <c r="S859" s="360">
        <f t="shared" ca="1" si="398"/>
        <v>9.7379999999999765</v>
      </c>
      <c r="T859" s="357">
        <f t="shared" ca="1" si="378"/>
        <v>95.529779999999775</v>
      </c>
      <c r="U859" s="364">
        <f t="shared" ca="1" si="379"/>
        <v>0</v>
      </c>
      <c r="V859" s="359">
        <f t="shared" ca="1" si="380"/>
        <v>1.071313191891675</v>
      </c>
      <c r="W859" s="357">
        <f t="shared" ca="1" si="381"/>
        <v>48.669607082639104</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4.6753123544432009</v>
      </c>
      <c r="AH859" s="357">
        <f t="shared" ca="1" si="405"/>
        <v>-4.9580411229904007</v>
      </c>
    </row>
    <row r="860" spans="1:34" x14ac:dyDescent="0.25">
      <c r="A860" s="402">
        <f t="shared" ca="1" si="383"/>
        <v>0.1</v>
      </c>
      <c r="B860" s="357">
        <f t="shared" ca="1" si="384"/>
        <v>40.600000000000243</v>
      </c>
      <c r="C860" s="342"/>
      <c r="D860" s="359">
        <f t="shared" ca="1" si="385"/>
        <v>-0.93776412745664495</v>
      </c>
      <c r="E860" s="360">
        <f t="shared" ca="1" si="386"/>
        <v>-4.9008594194281274</v>
      </c>
      <c r="F860" s="357">
        <f t="shared" ca="1" si="387"/>
        <v>4.9897719995749226</v>
      </c>
      <c r="G860" s="359">
        <f t="shared" ca="1" si="388"/>
        <v>26.488148713068213</v>
      </c>
      <c r="H860" s="360">
        <f t="shared" ca="1" si="389"/>
        <v>-139.64491552449047</v>
      </c>
      <c r="I860" s="357">
        <f t="shared" ca="1" si="390"/>
        <v>142.13488120122977</v>
      </c>
      <c r="J860" s="359">
        <f t="shared" ca="1" si="391"/>
        <v>1590.1135141788325</v>
      </c>
      <c r="K860" s="360">
        <f t="shared" ca="1" si="392"/>
        <v>1324.6126862300951</v>
      </c>
      <c r="L860" s="357">
        <f t="shared" ca="1" si="377"/>
        <v>2069.555449002482</v>
      </c>
      <c r="M860" s="359">
        <f t="shared" ca="1" si="393"/>
        <v>-1.383341167341813</v>
      </c>
      <c r="N860" s="357">
        <f t="shared" ca="1" si="394"/>
        <v>-79.259610515386441</v>
      </c>
      <c r="O860" s="343"/>
      <c r="P860" s="363">
        <f t="shared" ca="1" si="395"/>
        <v>23</v>
      </c>
      <c r="Q860" s="357">
        <f t="shared" ca="1" si="396"/>
        <v>0</v>
      </c>
      <c r="R860" s="359">
        <f t="shared" ca="1" si="397"/>
        <v>0</v>
      </c>
      <c r="S860" s="360">
        <f t="shared" ca="1" si="398"/>
        <v>9.7379999999999765</v>
      </c>
      <c r="T860" s="357">
        <f t="shared" ca="1" si="378"/>
        <v>95.529779999999775</v>
      </c>
      <c r="U860" s="364">
        <f t="shared" ca="1" si="379"/>
        <v>0</v>
      </c>
      <c r="V860" s="359">
        <f t="shared" ca="1" si="380"/>
        <v>1.0728143012951736</v>
      </c>
      <c r="W860" s="357">
        <f t="shared" ca="1" si="381"/>
        <v>49.057511447663479</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4.6378637439056449</v>
      </c>
      <c r="AH860" s="357">
        <f t="shared" ca="1" si="405"/>
        <v>-4.9979058413061432</v>
      </c>
    </row>
    <row r="861" spans="1:34" x14ac:dyDescent="0.25">
      <c r="A861" s="402">
        <f t="shared" ca="1" si="383"/>
        <v>0.1</v>
      </c>
      <c r="B861" s="357">
        <f t="shared" ca="1" si="384"/>
        <v>40.700000000000244</v>
      </c>
      <c r="C861" s="342"/>
      <c r="D861" s="359">
        <f t="shared" ca="1" si="385"/>
        <v>-0.93882939459485948</v>
      </c>
      <c r="E861" s="360">
        <f t="shared" ca="1" si="386"/>
        <v>-4.8605128568903462</v>
      </c>
      <c r="F861" s="357">
        <f t="shared" ca="1" si="387"/>
        <v>4.9503520949677613</v>
      </c>
      <c r="G861" s="359">
        <f t="shared" ca="1" si="388"/>
        <v>26.394265773608726</v>
      </c>
      <c r="H861" s="360">
        <f t="shared" ca="1" si="389"/>
        <v>-140.1309668101795</v>
      </c>
      <c r="I861" s="357">
        <f t="shared" ca="1" si="390"/>
        <v>142.59503892100707</v>
      </c>
      <c r="J861" s="359">
        <f t="shared" ca="1" si="391"/>
        <v>1592.7576349031663</v>
      </c>
      <c r="K861" s="360">
        <f t="shared" ca="1" si="392"/>
        <v>1310.6238921133615</v>
      </c>
      <c r="L861" s="357">
        <f t="shared" ca="1" si="377"/>
        <v>2062.6710523301344</v>
      </c>
      <c r="M861" s="359">
        <f t="shared" ca="1" si="393"/>
        <v>-1.384623248877082</v>
      </c>
      <c r="N861" s="357">
        <f t="shared" ca="1" si="394"/>
        <v>-79.333068376349004</v>
      </c>
      <c r="O861" s="343"/>
      <c r="P861" s="363">
        <f t="shared" ca="1" si="395"/>
        <v>23</v>
      </c>
      <c r="Q861" s="357">
        <f t="shared" ca="1" si="396"/>
        <v>0</v>
      </c>
      <c r="R861" s="359">
        <f t="shared" ca="1" si="397"/>
        <v>0</v>
      </c>
      <c r="S861" s="360">
        <f t="shared" ca="1" si="398"/>
        <v>9.7379999999999765</v>
      </c>
      <c r="T861" s="357">
        <f t="shared" ca="1" si="378"/>
        <v>95.529779999999775</v>
      </c>
      <c r="U861" s="364">
        <f t="shared" ca="1" si="379"/>
        <v>0</v>
      </c>
      <c r="V861" s="359">
        <f t="shared" ca="1" si="380"/>
        <v>1.074322640578999</v>
      </c>
      <c r="W861" s="357">
        <f t="shared" ca="1" si="381"/>
        <v>49.445090745689789</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4.600405257033179</v>
      </c>
      <c r="AH861" s="357">
        <f t="shared" ca="1" si="405"/>
        <v>-5.0377399309574447</v>
      </c>
    </row>
    <row r="862" spans="1:34" x14ac:dyDescent="0.25">
      <c r="A862" s="402">
        <f t="shared" ca="1" si="383"/>
        <v>0.1</v>
      </c>
      <c r="B862" s="357">
        <f t="shared" ca="1" si="384"/>
        <v>40.800000000000246</v>
      </c>
      <c r="C862" s="342"/>
      <c r="D862" s="359">
        <f t="shared" ca="1" si="385"/>
        <v>-0.93985006858990616</v>
      </c>
      <c r="E862" s="360">
        <f t="shared" ca="1" si="386"/>
        <v>-4.8202003254129435</v>
      </c>
      <c r="F862" s="357">
        <f t="shared" ca="1" si="387"/>
        <v>4.910972340437227</v>
      </c>
      <c r="G862" s="359">
        <f t="shared" ca="1" si="388"/>
        <v>26.300280766749736</v>
      </c>
      <c r="H862" s="360">
        <f t="shared" ca="1" si="389"/>
        <v>-140.6129868427208</v>
      </c>
      <c r="I862" s="357">
        <f t="shared" ca="1" si="390"/>
        <v>143.05144821790878</v>
      </c>
      <c r="J862" s="359">
        <f t="shared" ca="1" si="391"/>
        <v>1595.3923622301843</v>
      </c>
      <c r="K862" s="360">
        <f t="shared" ca="1" si="392"/>
        <v>1296.5866944307165</v>
      </c>
      <c r="L862" s="357">
        <f t="shared" ca="1" si="377"/>
        <v>2055.8243713014931</v>
      </c>
      <c r="M862" s="359">
        <f t="shared" ca="1" si="393"/>
        <v>-1.3858926007686594</v>
      </c>
      <c r="N862" s="357">
        <f t="shared" ca="1" si="394"/>
        <v>-79.40579688245333</v>
      </c>
      <c r="O862" s="343"/>
      <c r="P862" s="363">
        <f t="shared" ca="1" si="395"/>
        <v>23</v>
      </c>
      <c r="Q862" s="357">
        <f t="shared" ca="1" si="396"/>
        <v>0</v>
      </c>
      <c r="R862" s="359">
        <f t="shared" ca="1" si="397"/>
        <v>0</v>
      </c>
      <c r="S862" s="360">
        <f t="shared" ca="1" si="398"/>
        <v>9.7379999999999765</v>
      </c>
      <c r="T862" s="357">
        <f t="shared" ca="1" si="378"/>
        <v>95.529779999999775</v>
      </c>
      <c r="U862" s="364">
        <f t="shared" ca="1" si="379"/>
        <v>0</v>
      </c>
      <c r="V862" s="359">
        <f t="shared" ca="1" si="380"/>
        <v>1.075838190789232</v>
      </c>
      <c r="W862" s="357">
        <f t="shared" ca="1" si="381"/>
        <v>49.832318387099043</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4.5629405079204144</v>
      </c>
      <c r="AH862" s="357">
        <f t="shared" ca="1" si="405"/>
        <v>-5.0775406393191531</v>
      </c>
    </row>
    <row r="863" spans="1:34" x14ac:dyDescent="0.25">
      <c r="A863" s="402">
        <f t="shared" ca="1" si="383"/>
        <v>0.1</v>
      </c>
      <c r="B863" s="357">
        <f t="shared" ca="1" si="384"/>
        <v>40.900000000000247</v>
      </c>
      <c r="C863" s="342"/>
      <c r="D863" s="359">
        <f t="shared" ca="1" si="385"/>
        <v>-0.94082629815853036</v>
      </c>
      <c r="E863" s="360">
        <f t="shared" ca="1" si="386"/>
        <v>-4.779924577706316</v>
      </c>
      <c r="F863" s="357">
        <f t="shared" ca="1" si="387"/>
        <v>4.8716355664055566</v>
      </c>
      <c r="G863" s="359">
        <f t="shared" ca="1" si="388"/>
        <v>26.206198136933882</v>
      </c>
      <c r="H863" s="360">
        <f t="shared" ca="1" si="389"/>
        <v>-141.09097930049143</v>
      </c>
      <c r="I863" s="357">
        <f t="shared" ca="1" si="390"/>
        <v>143.50410886369747</v>
      </c>
      <c r="J863" s="359">
        <f t="shared" ca="1" si="391"/>
        <v>1598.0176861753685</v>
      </c>
      <c r="K863" s="360">
        <f t="shared" ca="1" si="392"/>
        <v>1282.5014961235559</v>
      </c>
      <c r="L863" s="357">
        <f t="shared" ca="1" si="377"/>
        <v>2049.016986969224</v>
      </c>
      <c r="M863" s="359">
        <f t="shared" ca="1" si="393"/>
        <v>-1.3871494202721488</v>
      </c>
      <c r="N863" s="357">
        <f t="shared" ca="1" si="394"/>
        <v>-79.477807335613008</v>
      </c>
      <c r="O863" s="343"/>
      <c r="P863" s="363">
        <f t="shared" ca="1" si="395"/>
        <v>23</v>
      </c>
      <c r="Q863" s="357">
        <f t="shared" ca="1" si="396"/>
        <v>0</v>
      </c>
      <c r="R863" s="359">
        <f t="shared" ca="1" si="397"/>
        <v>0</v>
      </c>
      <c r="S863" s="360">
        <f t="shared" ca="1" si="398"/>
        <v>9.7379999999999765</v>
      </c>
      <c r="T863" s="357">
        <f t="shared" ca="1" si="378"/>
        <v>95.529779999999775</v>
      </c>
      <c r="U863" s="364">
        <f t="shared" ca="1" si="379"/>
        <v>0</v>
      </c>
      <c r="V863" s="359">
        <f t="shared" ca="1" si="380"/>
        <v>1.0773609329441358</v>
      </c>
      <c r="W863" s="357">
        <f t="shared" ca="1" si="381"/>
        <v>50.21916800047326</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4.5254730659822791</v>
      </c>
      <c r="AH863" s="357">
        <f t="shared" ca="1" si="405"/>
        <v>-5.1173052358902407</v>
      </c>
    </row>
    <row r="864" spans="1:34" x14ac:dyDescent="0.25">
      <c r="A864" s="402">
        <f t="shared" ca="1" si="383"/>
        <v>0.1</v>
      </c>
      <c r="B864" s="357">
        <f t="shared" ca="1" si="384"/>
        <v>41.000000000000249</v>
      </c>
      <c r="C864" s="342"/>
      <c r="D864" s="359">
        <f t="shared" ca="1" si="385"/>
        <v>-0.94175823663882563</v>
      </c>
      <c r="E864" s="360">
        <f t="shared" ca="1" si="386"/>
        <v>-4.7396883440559252</v>
      </c>
      <c r="F864" s="357">
        <f t="shared" ca="1" si="387"/>
        <v>4.8323445836422581</v>
      </c>
      <c r="G864" s="359">
        <f t="shared" ca="1" si="388"/>
        <v>26.11202231327</v>
      </c>
      <c r="H864" s="360">
        <f t="shared" ca="1" si="389"/>
        <v>-141.56494813489701</v>
      </c>
      <c r="I864" s="357">
        <f t="shared" ca="1" si="390"/>
        <v>143.95302098158547</v>
      </c>
      <c r="J864" s="359">
        <f t="shared" ca="1" si="391"/>
        <v>1600.6335971978785</v>
      </c>
      <c r="K864" s="360">
        <f t="shared" ca="1" si="392"/>
        <v>1268.3686997517864</v>
      </c>
      <c r="L864" s="357">
        <f t="shared" ca="1" si="377"/>
        <v>2042.2504917342187</v>
      </c>
      <c r="M864" s="359">
        <f t="shared" ca="1" si="393"/>
        <v>-1.3883939005552093</v>
      </c>
      <c r="N864" s="357">
        <f t="shared" ca="1" si="394"/>
        <v>-79.549110803519611</v>
      </c>
      <c r="O864" s="343"/>
      <c r="P864" s="363">
        <f t="shared" ca="1" si="395"/>
        <v>23</v>
      </c>
      <c r="Q864" s="357">
        <f t="shared" ca="1" si="396"/>
        <v>0</v>
      </c>
      <c r="R864" s="359">
        <f t="shared" ca="1" si="397"/>
        <v>0</v>
      </c>
      <c r="S864" s="360">
        <f t="shared" ca="1" si="398"/>
        <v>9.7379999999999765</v>
      </c>
      <c r="T864" s="357">
        <f t="shared" ca="1" si="378"/>
        <v>95.529779999999775</v>
      </c>
      <c r="U864" s="364">
        <f t="shared" ca="1" si="379"/>
        <v>0</v>
      </c>
      <c r="V864" s="359">
        <f t="shared" ca="1" si="380"/>
        <v>1.0788908480353669</v>
      </c>
      <c r="W864" s="357">
        <f t="shared" ca="1" si="381"/>
        <v>50.605613435288952</v>
      </c>
      <c r="X864" s="343"/>
      <c r="Y864" s="367" t="str">
        <f t="shared" ca="1" si="399"/>
        <v/>
      </c>
      <c r="Z864" s="368" t="str">
        <f t="shared" ca="1" si="400"/>
        <v/>
      </c>
      <c r="AA864" s="369" t="str">
        <f t="shared" ca="1" si="401"/>
        <v/>
      </c>
      <c r="AB864" s="344"/>
      <c r="AC864" s="363">
        <f t="shared" ca="1" si="402"/>
        <v>41.000000000000249</v>
      </c>
      <c r="AD864" s="376">
        <f t="shared" ca="1" si="403"/>
        <v>1600.6335971978785</v>
      </c>
      <c r="AE864" s="377" t="e">
        <f t="shared" ca="1" si="382"/>
        <v>#N/A</v>
      </c>
      <c r="AF864" s="344"/>
      <c r="AG864" s="359">
        <f t="shared" ca="1" si="404"/>
        <v>4.4880064563674278</v>
      </c>
      <c r="AH864" s="357">
        <f t="shared" ca="1" si="405"/>
        <v>-5.1570310125768515</v>
      </c>
    </row>
    <row r="865" spans="1:34" x14ac:dyDescent="0.25">
      <c r="A865" s="402">
        <f t="shared" ca="1" si="383"/>
        <v>0.1</v>
      </c>
      <c r="B865" s="357">
        <f t="shared" ca="1" si="384"/>
        <v>41.10000000000025</v>
      </c>
      <c r="C865" s="342"/>
      <c r="D865" s="359">
        <f t="shared" ca="1" si="385"/>
        <v>-0.94264604191992185</v>
      </c>
      <c r="E865" s="360">
        <f t="shared" ca="1" si="386"/>
        <v>-4.6994943320363509</v>
      </c>
      <c r="F865" s="357">
        <f t="shared" ca="1" si="387"/>
        <v>4.7931021830531719</v>
      </c>
      <c r="G865" s="359">
        <f t="shared" ca="1" si="388"/>
        <v>26.017757709078008</v>
      </c>
      <c r="H865" s="360">
        <f t="shared" ca="1" si="389"/>
        <v>-142.03489756810063</v>
      </c>
      <c r="I865" s="357">
        <f t="shared" ca="1" si="390"/>
        <v>144.39818504188037</v>
      </c>
      <c r="J865" s="359">
        <f t="shared" ca="1" si="391"/>
        <v>1603.2400861989959</v>
      </c>
      <c r="K865" s="360">
        <f t="shared" ca="1" si="392"/>
        <v>1254.1887074666365</v>
      </c>
      <c r="L865" s="357">
        <f t="shared" ca="1" si="377"/>
        <v>2035.5264891256502</v>
      </c>
      <c r="M865" s="359">
        <f t="shared" ca="1" si="393"/>
        <v>-1.389626230800451</v>
      </c>
      <c r="N865" s="357">
        <f t="shared" ca="1" si="394"/>
        <v>-79.619718125538284</v>
      </c>
      <c r="O865" s="343"/>
      <c r="P865" s="363">
        <f t="shared" ca="1" si="395"/>
        <v>23</v>
      </c>
      <c r="Q865" s="357">
        <f t="shared" ca="1" si="396"/>
        <v>0</v>
      </c>
      <c r="R865" s="359">
        <f t="shared" ca="1" si="397"/>
        <v>0</v>
      </c>
      <c r="S865" s="360">
        <f t="shared" ca="1" si="398"/>
        <v>9.7379999999999765</v>
      </c>
      <c r="T865" s="357">
        <f t="shared" ca="1" si="378"/>
        <v>95.529779999999775</v>
      </c>
      <c r="U865" s="364">
        <f t="shared" ca="1" si="379"/>
        <v>0</v>
      </c>
      <c r="V865" s="359">
        <f t="shared" ca="1" si="380"/>
        <v>1.0804279170291835</v>
      </c>
      <c r="W865" s="357">
        <f t="shared" ca="1" si="381"/>
        <v>50.991628764546427</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4.4505441603534965</v>
      </c>
      <c r="AH865" s="357">
        <f t="shared" ca="1" si="405"/>
        <v>-5.1967152839688922</v>
      </c>
    </row>
    <row r="866" spans="1:34" x14ac:dyDescent="0.25">
      <c r="A866" s="402">
        <f t="shared" ca="1" si="383"/>
        <v>0.1</v>
      </c>
      <c r="B866" s="357">
        <f t="shared" ca="1" si="384"/>
        <v>41.200000000000252</v>
      </c>
      <c r="C866" s="342"/>
      <c r="D866" s="359">
        <f t="shared" ca="1" si="385"/>
        <v>-0.94348987637171144</v>
      </c>
      <c r="E866" s="360">
        <f t="shared" ca="1" si="386"/>
        <v>-4.6593452262322259</v>
      </c>
      <c r="F866" s="357">
        <f t="shared" ca="1" si="387"/>
        <v>4.7539111354787584</v>
      </c>
      <c r="G866" s="359">
        <f t="shared" ca="1" si="388"/>
        <v>25.923408721440836</v>
      </c>
      <c r="H866" s="360">
        <f t="shared" ca="1" si="389"/>
        <v>-142.50083209072386</v>
      </c>
      <c r="I866" s="357">
        <f t="shared" ca="1" si="390"/>
        <v>144.83960185766719</v>
      </c>
      <c r="J866" s="359">
        <f t="shared" ca="1" si="391"/>
        <v>1605.8371445205219</v>
      </c>
      <c r="K866" s="360">
        <f t="shared" ca="1" si="392"/>
        <v>1239.9619209836953</v>
      </c>
      <c r="L866" s="357">
        <f t="shared" ca="1" si="377"/>
        <v>2028.8465935628053</v>
      </c>
      <c r="M866" s="359">
        <f t="shared" ca="1" si="393"/>
        <v>-1.3908465963052987</v>
      </c>
      <c r="N866" s="357">
        <f t="shared" ca="1" si="394"/>
        <v>-79.689639918429421</v>
      </c>
      <c r="O866" s="343"/>
      <c r="P866" s="363">
        <f t="shared" ca="1" si="395"/>
        <v>23</v>
      </c>
      <c r="Q866" s="357">
        <f t="shared" ca="1" si="396"/>
        <v>0</v>
      </c>
      <c r="R866" s="359">
        <f t="shared" ca="1" si="397"/>
        <v>0</v>
      </c>
      <c r="S866" s="360">
        <f t="shared" ca="1" si="398"/>
        <v>9.7379999999999765</v>
      </c>
      <c r="T866" s="357">
        <f t="shared" ca="1" si="378"/>
        <v>95.529779999999775</v>
      </c>
      <c r="U866" s="364">
        <f t="shared" ca="1" si="379"/>
        <v>0</v>
      </c>
      <c r="V866" s="359">
        <f t="shared" ca="1" si="380"/>
        <v>1.0819721208676556</v>
      </c>
      <c r="W866" s="357">
        <f t="shared" ca="1" si="381"/>
        <v>51.377188287335173</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4.4130896157253225</v>
      </c>
      <c r="AH866" s="357">
        <f t="shared" ca="1" si="405"/>
        <v>-5.2363553876100379</v>
      </c>
    </row>
    <row r="867" spans="1:34" x14ac:dyDescent="0.25">
      <c r="A867" s="402">
        <f t="shared" ca="1" si="383"/>
        <v>0.1</v>
      </c>
      <c r="B867" s="357">
        <f t="shared" ca="1" si="384"/>
        <v>41.300000000000253</v>
      </c>
      <c r="C867" s="342"/>
      <c r="D867" s="359">
        <f t="shared" ca="1" si="385"/>
        <v>-0.94428990677462488</v>
      </c>
      <c r="E867" s="360">
        <f t="shared" ca="1" si="386"/>
        <v>-4.619243687966005</v>
      </c>
      <c r="F867" s="357">
        <f t="shared" ca="1" si="387"/>
        <v>4.7147741915016681</v>
      </c>
      <c r="G867" s="359">
        <f t="shared" ca="1" si="388"/>
        <v>25.828979730763372</v>
      </c>
      <c r="H867" s="360">
        <f t="shared" ca="1" si="389"/>
        <v>-142.96275645952045</v>
      </c>
      <c r="I867" s="357">
        <f t="shared" ca="1" si="390"/>
        <v>145.27727258052562</v>
      </c>
      <c r="J867" s="359">
        <f t="shared" ca="1" si="391"/>
        <v>1608.4247639431321</v>
      </c>
      <c r="K867" s="360">
        <f t="shared" ca="1" si="392"/>
        <v>1225.6887415561832</v>
      </c>
      <c r="L867" s="357">
        <f t="shared" ca="1" si="377"/>
        <v>2022.2124300980599</v>
      </c>
      <c r="M867" s="359">
        <f t="shared" ca="1" si="393"/>
        <v>-1.3920551785789246</v>
      </c>
      <c r="N867" s="357">
        <f t="shared" ca="1" si="394"/>
        <v>-79.758886581902502</v>
      </c>
      <c r="O867" s="343"/>
      <c r="P867" s="363">
        <f t="shared" ca="1" si="395"/>
        <v>23</v>
      </c>
      <c r="Q867" s="357">
        <f t="shared" ca="1" si="396"/>
        <v>0</v>
      </c>
      <c r="R867" s="359">
        <f t="shared" ca="1" si="397"/>
        <v>0</v>
      </c>
      <c r="S867" s="360">
        <f t="shared" ca="1" si="398"/>
        <v>9.7379999999999765</v>
      </c>
      <c r="T867" s="357">
        <f t="shared" ca="1" si="378"/>
        <v>95.529779999999775</v>
      </c>
      <c r="U867" s="364">
        <f t="shared" ca="1" si="379"/>
        <v>0</v>
      </c>
      <c r="V867" s="359">
        <f t="shared" ca="1" si="380"/>
        <v>1.0835234404698764</v>
      </c>
      <c r="W867" s="357">
        <f t="shared" ca="1" si="381"/>
        <v>51.762266531334795</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4.3756462171369952</v>
      </c>
      <c r="AH867" s="357">
        <f t="shared" ca="1" si="405"/>
        <v>-5.2759486842611727</v>
      </c>
    </row>
    <row r="868" spans="1:34" x14ac:dyDescent="0.25">
      <c r="A868" s="402">
        <f t="shared" ca="1" si="383"/>
        <v>0.1</v>
      </c>
      <c r="B868" s="357">
        <f t="shared" ca="1" si="384"/>
        <v>41.400000000000254</v>
      </c>
      <c r="C868" s="342"/>
      <c r="D868" s="359">
        <f t="shared" ca="1" si="385"/>
        <v>-0.94504630424945379</v>
      </c>
      <c r="E868" s="360">
        <f t="shared" ca="1" si="386"/>
        <v>-4.5791923550326246</v>
      </c>
      <c r="F868" s="357">
        <f t="shared" ca="1" si="387"/>
        <v>4.6756940812637415</v>
      </c>
      <c r="G868" s="359">
        <f t="shared" ca="1" si="388"/>
        <v>25.734475100338425</v>
      </c>
      <c r="H868" s="360">
        <f t="shared" ca="1" si="389"/>
        <v>-143.4206756950237</v>
      </c>
      <c r="I868" s="357">
        <f t="shared" ca="1" si="390"/>
        <v>145.71119869628106</v>
      </c>
      <c r="J868" s="359">
        <f t="shared" ca="1" si="391"/>
        <v>1611.0029366846873</v>
      </c>
      <c r="K868" s="360">
        <f t="shared" ca="1" si="392"/>
        <v>1211.369569948456</v>
      </c>
      <c r="L868" s="357">
        <f t="shared" ca="1" si="377"/>
        <v>2015.6256341403762</v>
      </c>
      <c r="M868" s="359">
        <f t="shared" ca="1" si="393"/>
        <v>-1.3932521554363495</v>
      </c>
      <c r="N868" s="357">
        <f t="shared" ca="1" si="394"/>
        <v>-79.82746830400778</v>
      </c>
      <c r="O868" s="343"/>
      <c r="P868" s="363">
        <f t="shared" ca="1" si="395"/>
        <v>23</v>
      </c>
      <c r="Q868" s="357">
        <f t="shared" ca="1" si="396"/>
        <v>0</v>
      </c>
      <c r="R868" s="359">
        <f t="shared" ca="1" si="397"/>
        <v>0</v>
      </c>
      <c r="S868" s="360">
        <f t="shared" ca="1" si="398"/>
        <v>9.7379999999999765</v>
      </c>
      <c r="T868" s="357">
        <f t="shared" ca="1" si="378"/>
        <v>95.529779999999775</v>
      </c>
      <c r="U868" s="364">
        <f t="shared" ca="1" si="379"/>
        <v>0</v>
      </c>
      <c r="V868" s="359">
        <f t="shared" ca="1" si="380"/>
        <v>1.0850818567331704</v>
      </c>
      <c r="W868" s="357">
        <f t="shared" ca="1" si="381"/>
        <v>52.146838255251176</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4.3382173164587554</v>
      </c>
      <c r="AH868" s="357">
        <f t="shared" ca="1" si="405"/>
        <v>-5.315492558157211</v>
      </c>
    </row>
    <row r="869" spans="1:34" x14ac:dyDescent="0.25">
      <c r="A869" s="402">
        <f t="shared" ca="1" si="383"/>
        <v>0.1</v>
      </c>
      <c r="B869" s="357">
        <f t="shared" ca="1" si="384"/>
        <v>41.500000000000256</v>
      </c>
      <c r="C869" s="342"/>
      <c r="D869" s="359">
        <f t="shared" ca="1" si="385"/>
        <v>-0.94575924418721191</v>
      </c>
      <c r="E869" s="360">
        <f t="shared" ca="1" si="386"/>
        <v>-4.5391938414410822</v>
      </c>
      <c r="F869" s="357">
        <f t="shared" ca="1" si="387"/>
        <v>4.6366735142925704</v>
      </c>
      <c r="G869" s="359">
        <f t="shared" ca="1" si="388"/>
        <v>25.639899175919705</v>
      </c>
      <c r="H869" s="360">
        <f t="shared" ca="1" si="389"/>
        <v>-143.87459507916782</v>
      </c>
      <c r="I869" s="357">
        <f t="shared" ca="1" si="390"/>
        <v>146.14138202078774</v>
      </c>
      <c r="J869" s="359">
        <f t="shared" ca="1" si="391"/>
        <v>1613.5716553985001</v>
      </c>
      <c r="K869" s="360">
        <f t="shared" ca="1" si="392"/>
        <v>1197.0048064097464</v>
      </c>
      <c r="L869" s="357">
        <f t="shared" ca="1" si="377"/>
        <v>2009.0878511587018</v>
      </c>
      <c r="M869" s="359">
        <f t="shared" ca="1" si="393"/>
        <v>-1.394437701089803</v>
      </c>
      <c r="N869" s="357">
        <f t="shared" ca="1" si="394"/>
        <v>-79.895395066370753</v>
      </c>
      <c r="O869" s="343"/>
      <c r="P869" s="363">
        <f t="shared" ca="1" si="395"/>
        <v>23</v>
      </c>
      <c r="Q869" s="357">
        <f t="shared" ca="1" si="396"/>
        <v>0</v>
      </c>
      <c r="R869" s="359">
        <f t="shared" ca="1" si="397"/>
        <v>0</v>
      </c>
      <c r="S869" s="360">
        <f t="shared" ca="1" si="398"/>
        <v>9.7379999999999765</v>
      </c>
      <c r="T869" s="357">
        <f t="shared" ca="1" si="378"/>
        <v>95.529779999999775</v>
      </c>
      <c r="U869" s="364">
        <f t="shared" ca="1" si="379"/>
        <v>0</v>
      </c>
      <c r="V869" s="359">
        <f t="shared" ca="1" si="380"/>
        <v>1.0866473505343042</v>
      </c>
      <c r="W869" s="357">
        <f t="shared" ca="1" si="381"/>
        <v>52.530878451187583</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4.3008062231095625</v>
      </c>
      <c r="AH869" s="357">
        <f t="shared" ca="1" si="405"/>
        <v>-5.3549844172572705</v>
      </c>
    </row>
    <row r="870" spans="1:34" x14ac:dyDescent="0.25">
      <c r="A870" s="402">
        <f t="shared" ca="1" si="383"/>
        <v>0.1</v>
      </c>
      <c r="B870" s="357">
        <f t="shared" ca="1" si="384"/>
        <v>41.600000000000257</v>
      </c>
      <c r="C870" s="342"/>
      <c r="D870" s="359">
        <f t="shared" ca="1" si="385"/>
        <v>-0.94642890617906061</v>
      </c>
      <c r="E870" s="360">
        <f t="shared" ca="1" si="386"/>
        <v>-4.4992507371629396</v>
      </c>
      <c r="F870" s="357">
        <f t="shared" ca="1" si="387"/>
        <v>4.5977151793377269</v>
      </c>
      <c r="G870" s="359">
        <f t="shared" ca="1" si="388"/>
        <v>25.5452562853018</v>
      </c>
      <c r="H870" s="360">
        <f t="shared" ca="1" si="389"/>
        <v>-144.32452015288411</v>
      </c>
      <c r="I870" s="357">
        <f t="shared" ca="1" si="390"/>
        <v>146.56782469574281</v>
      </c>
      <c r="J870" s="359">
        <f t="shared" ca="1" si="391"/>
        <v>1616.1309131715611</v>
      </c>
      <c r="K870" s="360">
        <f t="shared" ca="1" si="392"/>
        <v>1182.5948506481438</v>
      </c>
      <c r="L870" s="357">
        <f t="shared" ca="1" si="377"/>
        <v>2002.6007363646529</v>
      </c>
      <c r="M870" s="359">
        <f t="shared" ca="1" si="393"/>
        <v>-1.3956119862374394</v>
      </c>
      <c r="N870" s="357">
        <f t="shared" ca="1" si="394"/>
        <v>-79.96267664927521</v>
      </c>
      <c r="O870" s="343"/>
      <c r="P870" s="363">
        <f t="shared" ca="1" si="395"/>
        <v>23</v>
      </c>
      <c r="Q870" s="357">
        <f t="shared" ca="1" si="396"/>
        <v>0</v>
      </c>
      <c r="R870" s="359">
        <f t="shared" ca="1" si="397"/>
        <v>0</v>
      </c>
      <c r="S870" s="360">
        <f t="shared" ca="1" si="398"/>
        <v>9.7379999999999765</v>
      </c>
      <c r="T870" s="357">
        <f t="shared" ca="1" si="378"/>
        <v>95.529779999999775</v>
      </c>
      <c r="U870" s="364">
        <f t="shared" ca="1" si="379"/>
        <v>0</v>
      </c>
      <c r="V870" s="359">
        <f t="shared" ca="1" si="380"/>
        <v>1.0882199027306942</v>
      </c>
      <c r="W870" s="357">
        <f t="shared" ca="1" si="381"/>
        <v>52.914362346950526</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4.2634162043761936</v>
      </c>
      <c r="AH870" s="357">
        <f t="shared" ca="1" si="405"/>
        <v>-5.3944216934881606</v>
      </c>
    </row>
    <row r="871" spans="1:34" x14ac:dyDescent="0.25">
      <c r="A871" s="402">
        <f t="shared" ca="1" si="383"/>
        <v>0.1</v>
      </c>
      <c r="B871" s="357">
        <f t="shared" ca="1" si="384"/>
        <v>41.700000000000259</v>
      </c>
      <c r="C871" s="342"/>
      <c r="D871" s="359">
        <f t="shared" ca="1" si="385"/>
        <v>-0.94705547394626144</v>
      </c>
      <c r="E871" s="360">
        <f t="shared" ca="1" si="386"/>
        <v>-4.4593656078877899</v>
      </c>
      <c r="F871" s="357">
        <f t="shared" ca="1" si="387"/>
        <v>4.5588217442168126</v>
      </c>
      <c r="G871" s="359">
        <f t="shared" ca="1" si="388"/>
        <v>25.450550737907175</v>
      </c>
      <c r="H871" s="360">
        <f t="shared" ca="1" si="389"/>
        <v>-144.77045671367287</v>
      </c>
      <c r="I871" s="357">
        <f t="shared" ca="1" si="390"/>
        <v>146.99052918453017</v>
      </c>
      <c r="J871" s="359">
        <f t="shared" ca="1" si="391"/>
        <v>1618.6807035227216</v>
      </c>
      <c r="K871" s="360">
        <f t="shared" ca="1" si="392"/>
        <v>1168.1401018048159</v>
      </c>
      <c r="L871" s="357">
        <f t="shared" ca="1" si="377"/>
        <v>1996.1659543738788</v>
      </c>
      <c r="M871" s="359">
        <f t="shared" ca="1" si="393"/>
        <v>-1.3967751781494915</v>
      </c>
      <c r="N871" s="357">
        <f t="shared" ca="1" si="394"/>
        <v>-80.029322636599545</v>
      </c>
      <c r="O871" s="343"/>
      <c r="P871" s="363">
        <f t="shared" ca="1" si="395"/>
        <v>23</v>
      </c>
      <c r="Q871" s="357">
        <f t="shared" ca="1" si="396"/>
        <v>0</v>
      </c>
      <c r="R871" s="359">
        <f t="shared" ca="1" si="397"/>
        <v>0</v>
      </c>
      <c r="S871" s="360">
        <f t="shared" ca="1" si="398"/>
        <v>9.7379999999999765</v>
      </c>
      <c r="T871" s="357">
        <f t="shared" ca="1" si="378"/>
        <v>95.529779999999775</v>
      </c>
      <c r="U871" s="364">
        <f t="shared" ca="1" si="379"/>
        <v>0</v>
      </c>
      <c r="V871" s="359">
        <f t="shared" ca="1" si="380"/>
        <v>1.0897994941616156</v>
      </c>
      <c r="W871" s="357">
        <f t="shared" ca="1" si="381"/>
        <v>53.297265408290009</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4.2260504857197052</v>
      </c>
      <c r="AH871" s="357">
        <f t="shared" ca="1" si="405"/>
        <v>-5.4338018429811719</v>
      </c>
    </row>
    <row r="872" spans="1:34" x14ac:dyDescent="0.25">
      <c r="A872" s="402">
        <f t="shared" ca="1" si="383"/>
        <v>0.1</v>
      </c>
      <c r="B872" s="357">
        <f t="shared" ca="1" si="384"/>
        <v>41.80000000000026</v>
      </c>
      <c r="C872" s="342"/>
      <c r="D872" s="359">
        <f t="shared" ca="1" si="385"/>
        <v>-0.94763913527019039</v>
      </c>
      <c r="E872" s="360">
        <f t="shared" ca="1" si="386"/>
        <v>-4.4195409947856872</v>
      </c>
      <c r="F872" s="357">
        <f t="shared" ca="1" si="387"/>
        <v>4.5199958556714295</v>
      </c>
      <c r="G872" s="359">
        <f t="shared" ca="1" si="388"/>
        <v>25.355786824380157</v>
      </c>
      <c r="H872" s="360">
        <f t="shared" ca="1" si="389"/>
        <v>-145.21241081315145</v>
      </c>
      <c r="I872" s="357">
        <f t="shared" ca="1" si="390"/>
        <v>147.40949826809288</v>
      </c>
      <c r="J872" s="359">
        <f t="shared" ca="1" si="391"/>
        <v>1621.2210204008359</v>
      </c>
      <c r="K872" s="360">
        <f t="shared" ca="1" si="392"/>
        <v>1153.6409584284747</v>
      </c>
      <c r="L872" s="357">
        <f t="shared" ca="1" si="377"/>
        <v>1989.7851788455198</v>
      </c>
      <c r="M872" s="359">
        <f t="shared" ca="1" si="393"/>
        <v>-1.397927440751948</v>
      </c>
      <c r="N872" s="357">
        <f t="shared" ca="1" si="394"/>
        <v>-80.095342420611061</v>
      </c>
      <c r="O872" s="343"/>
      <c r="P872" s="363">
        <f t="shared" ca="1" si="395"/>
        <v>23</v>
      </c>
      <c r="Q872" s="357">
        <f t="shared" ca="1" si="396"/>
        <v>0</v>
      </c>
      <c r="R872" s="359">
        <f t="shared" ca="1" si="397"/>
        <v>0</v>
      </c>
      <c r="S872" s="360">
        <f t="shared" ca="1" si="398"/>
        <v>9.7379999999999765</v>
      </c>
      <c r="T872" s="357">
        <f t="shared" ca="1" si="378"/>
        <v>95.529779999999775</v>
      </c>
      <c r="U872" s="364">
        <f t="shared" ca="1" si="379"/>
        <v>0</v>
      </c>
      <c r="V872" s="359">
        <f t="shared" ca="1" si="380"/>
        <v>1.0913861056494107</v>
      </c>
      <c r="W872" s="357">
        <f t="shared" ca="1" si="381"/>
        <v>53.679563341074349</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4.1887122510699966</v>
      </c>
      <c r="AH872" s="357">
        <f t="shared" ca="1" si="405"/>
        <v>-5.4731223463021292</v>
      </c>
    </row>
    <row r="873" spans="1:34" x14ac:dyDescent="0.25">
      <c r="A873" s="402">
        <f t="shared" ca="1" si="383"/>
        <v>0.1</v>
      </c>
      <c r="B873" s="357">
        <f t="shared" ca="1" si="384"/>
        <v>41.900000000000261</v>
      </c>
      <c r="C873" s="342"/>
      <c r="D873" s="359">
        <f t="shared" ca="1" si="385"/>
        <v>-0.9481800819224121</v>
      </c>
      <c r="E873" s="360">
        <f t="shared" ca="1" si="386"/>
        <v>-4.3797794142765367</v>
      </c>
      <c r="F873" s="357">
        <f t="shared" ca="1" si="387"/>
        <v>4.481240139233214</v>
      </c>
      <c r="G873" s="359">
        <f t="shared" ca="1" si="388"/>
        <v>25.260968816187916</v>
      </c>
      <c r="H873" s="360">
        <f t="shared" ca="1" si="389"/>
        <v>-145.6503887545791</v>
      </c>
      <c r="I873" s="357">
        <f t="shared" ca="1" si="390"/>
        <v>147.82473504083288</v>
      </c>
      <c r="J873" s="359">
        <f t="shared" ca="1" si="391"/>
        <v>1623.7518581828642</v>
      </c>
      <c r="K873" s="360">
        <f t="shared" ca="1" si="392"/>
        <v>1139.0978184500882</v>
      </c>
      <c r="L873" s="357">
        <f t="shared" ca="1" si="377"/>
        <v>1983.4600920991716</v>
      </c>
      <c r="M873" s="359">
        <f t="shared" ca="1" si="393"/>
        <v>-1.3990689347078378</v>
      </c>
      <c r="N873" s="357">
        <f t="shared" ca="1" si="394"/>
        <v>-80.160745206623247</v>
      </c>
      <c r="O873" s="343"/>
      <c r="P873" s="363">
        <f t="shared" ca="1" si="395"/>
        <v>23</v>
      </c>
      <c r="Q873" s="357">
        <f t="shared" ca="1" si="396"/>
        <v>0</v>
      </c>
      <c r="R873" s="359">
        <f t="shared" ca="1" si="397"/>
        <v>0</v>
      </c>
      <c r="S873" s="360">
        <f t="shared" ca="1" si="398"/>
        <v>9.7379999999999765</v>
      </c>
      <c r="T873" s="357">
        <f t="shared" ca="1" si="378"/>
        <v>95.529779999999775</v>
      </c>
      <c r="U873" s="364">
        <f t="shared" ca="1" si="379"/>
        <v>0</v>
      </c>
      <c r="V873" s="359">
        <f t="shared" ca="1" si="380"/>
        <v>1.092979718000693</v>
      </c>
      <c r="W873" s="357">
        <f t="shared" ca="1" si="381"/>
        <v>54.061232093398608</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4.1514046431092124</v>
      </c>
      <c r="AH873" s="357">
        <f t="shared" ca="1" si="405"/>
        <v>-5.5123807086747254</v>
      </c>
    </row>
    <row r="874" spans="1:34" x14ac:dyDescent="0.25">
      <c r="A874" s="402">
        <f t="shared" ca="1" si="383"/>
        <v>0.1</v>
      </c>
      <c r="B874" s="357">
        <f t="shared" ca="1" si="384"/>
        <v>42.000000000000263</v>
      </c>
      <c r="C874" s="342"/>
      <c r="D874" s="359">
        <f t="shared" ca="1" si="385"/>
        <v>-0.94867850959479383</v>
      </c>
      <c r="E874" s="360">
        <f t="shared" ca="1" si="386"/>
        <v>-4.3400833578065363</v>
      </c>
      <c r="F874" s="357">
        <f t="shared" ca="1" si="387"/>
        <v>4.4425571991001149</v>
      </c>
      <c r="G874" s="359">
        <f t="shared" ca="1" si="388"/>
        <v>25.166100965228438</v>
      </c>
      <c r="H874" s="360">
        <f t="shared" ca="1" si="389"/>
        <v>-146.08439709035974</v>
      </c>
      <c r="I874" s="357">
        <f t="shared" ca="1" si="390"/>
        <v>148.23624290653746</v>
      </c>
      <c r="J874" s="359">
        <f t="shared" ca="1" si="391"/>
        <v>1626.2732116719351</v>
      </c>
      <c r="K874" s="360">
        <f t="shared" ca="1" si="392"/>
        <v>1124.5110791578413</v>
      </c>
      <c r="L874" s="357">
        <f t="shared" ca="1" si="377"/>
        <v>1977.192384708803</v>
      </c>
      <c r="M874" s="359">
        <f t="shared" ca="1" si="393"/>
        <v>-1.4001998174961963</v>
      </c>
      <c r="N874" s="357">
        <f t="shared" ca="1" si="394"/>
        <v>-80.225540017520174</v>
      </c>
      <c r="O874" s="343"/>
      <c r="P874" s="363">
        <f t="shared" ca="1" si="395"/>
        <v>23</v>
      </c>
      <c r="Q874" s="357">
        <f t="shared" ca="1" si="396"/>
        <v>0</v>
      </c>
      <c r="R874" s="359">
        <f t="shared" ca="1" si="397"/>
        <v>0</v>
      </c>
      <c r="S874" s="360">
        <f t="shared" ca="1" si="398"/>
        <v>9.7379999999999765</v>
      </c>
      <c r="T874" s="357">
        <f t="shared" ca="1" si="378"/>
        <v>95.529779999999775</v>
      </c>
      <c r="U874" s="364">
        <f t="shared" ca="1" si="379"/>
        <v>0</v>
      </c>
      <c r="V874" s="359">
        <f t="shared" ca="1" si="380"/>
        <v>1.0945803120075552</v>
      </c>
      <c r="W874" s="357">
        <f t="shared" ca="1" si="381"/>
        <v>54.442247857627528</v>
      </c>
      <c r="X874" s="343"/>
      <c r="Y874" s="367" t="str">
        <f t="shared" ca="1" si="399"/>
        <v/>
      </c>
      <c r="Z874" s="368" t="str">
        <f t="shared" ca="1" si="400"/>
        <v/>
      </c>
      <c r="AA874" s="369" t="str">
        <f t="shared" ca="1" si="401"/>
        <v/>
      </c>
      <c r="AB874" s="344"/>
      <c r="AC874" s="363">
        <f t="shared" ca="1" si="402"/>
        <v>42.000000000000263</v>
      </c>
      <c r="AD874" s="376">
        <f t="shared" ca="1" si="403"/>
        <v>1626.2732116719351</v>
      </c>
      <c r="AE874" s="377" t="e">
        <f t="shared" ca="1" si="382"/>
        <v>#N/A</v>
      </c>
      <c r="AF874" s="344"/>
      <c r="AG874" s="359">
        <f t="shared" ca="1" si="404"/>
        <v>4.1141307635447326</v>
      </c>
      <c r="AH874" s="357">
        <f t="shared" ca="1" si="405"/>
        <v>-5.5515744601970365</v>
      </c>
    </row>
    <row r="875" spans="1:34" x14ac:dyDescent="0.25">
      <c r="A875" s="402">
        <f t="shared" ca="1" si="383"/>
        <v>0.1</v>
      </c>
      <c r="B875" s="357">
        <f t="shared" ca="1" si="384"/>
        <v>42.100000000000264</v>
      </c>
      <c r="C875" s="342"/>
      <c r="D875" s="359">
        <f t="shared" ca="1" si="385"/>
        <v>-0.94913461782969766</v>
      </c>
      <c r="E875" s="360">
        <f t="shared" ca="1" si="386"/>
        <v>-4.3004552916315557</v>
      </c>
      <c r="F875" s="357">
        <f t="shared" ca="1" si="387"/>
        <v>4.4039496180229598</v>
      </c>
      <c r="G875" s="359">
        <f t="shared" ca="1" si="388"/>
        <v>25.071187503445469</v>
      </c>
      <c r="H875" s="360">
        <f t="shared" ca="1" si="389"/>
        <v>-146.5144426195229</v>
      </c>
      <c r="I875" s="357">
        <f t="shared" ca="1" si="390"/>
        <v>148.64402557433107</v>
      </c>
      <c r="J875" s="359">
        <f t="shared" ca="1" si="391"/>
        <v>1628.7850760953688</v>
      </c>
      <c r="K875" s="360">
        <f t="shared" ca="1" si="392"/>
        <v>1109.8811371723473</v>
      </c>
      <c r="L875" s="357">
        <f t="shared" ca="1" si="377"/>
        <v>1970.9837550730801</v>
      </c>
      <c r="M875" s="359">
        <f t="shared" ca="1" si="393"/>
        <v>-1.4013202434887908</v>
      </c>
      <c r="N875" s="357">
        <f t="shared" ca="1" si="394"/>
        <v>-80.289735698152597</v>
      </c>
      <c r="O875" s="343"/>
      <c r="P875" s="363">
        <f t="shared" ca="1" si="395"/>
        <v>23</v>
      </c>
      <c r="Q875" s="357">
        <f t="shared" ca="1" si="396"/>
        <v>0</v>
      </c>
      <c r="R875" s="359">
        <f t="shared" ca="1" si="397"/>
        <v>0</v>
      </c>
      <c r="S875" s="360">
        <f t="shared" ca="1" si="398"/>
        <v>9.7379999999999765</v>
      </c>
      <c r="T875" s="357">
        <f t="shared" ca="1" si="378"/>
        <v>95.529779999999775</v>
      </c>
      <c r="U875" s="364">
        <f t="shared" ca="1" si="379"/>
        <v>0</v>
      </c>
      <c r="V875" s="359">
        <f t="shared" ca="1" si="380"/>
        <v>1.0961878684487711</v>
      </c>
      <c r="W875" s="357">
        <f t="shared" ca="1" si="381"/>
        <v>54.822587072371959</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4.0768936733723349</v>
      </c>
      <c r="AH875" s="357">
        <f t="shared" ca="1" si="405"/>
        <v>-5.5907011560513107</v>
      </c>
    </row>
    <row r="876" spans="1:34" x14ac:dyDescent="0.25">
      <c r="A876" s="402">
        <f t="shared" ca="1" si="383"/>
        <v>0.1</v>
      </c>
      <c r="B876" s="357">
        <f t="shared" ca="1" si="384"/>
        <v>42.200000000000266</v>
      </c>
      <c r="C876" s="342"/>
      <c r="D876" s="359">
        <f t="shared" ca="1" si="385"/>
        <v>-0.94954860995022783</v>
      </c>
      <c r="E876" s="360">
        <f t="shared" ca="1" si="386"/>
        <v>-4.2608976566075629</v>
      </c>
      <c r="F876" s="357">
        <f t="shared" ca="1" si="387"/>
        <v>4.3654199572025405</v>
      </c>
      <c r="G876" s="359">
        <f t="shared" ca="1" si="388"/>
        <v>24.976232642450444</v>
      </c>
      <c r="H876" s="360">
        <f t="shared" ca="1" si="389"/>
        <v>-146.94053238518364</v>
      </c>
      <c r="I876" s="357">
        <f t="shared" ca="1" si="390"/>
        <v>149.04808705465163</v>
      </c>
      <c r="J876" s="359">
        <f t="shared" ca="1" si="391"/>
        <v>1631.2874471026637</v>
      </c>
      <c r="K876" s="360">
        <f t="shared" ca="1" si="392"/>
        <v>1095.208388422112</v>
      </c>
      <c r="L876" s="357">
        <f t="shared" ca="1" si="377"/>
        <v>1964.8359089615819</v>
      </c>
      <c r="M876" s="359">
        <f t="shared" ca="1" si="393"/>
        <v>-1.4024303640246769</v>
      </c>
      <c r="N876" s="357">
        <f t="shared" ca="1" si="394"/>
        <v>-80.353340919609664</v>
      </c>
      <c r="O876" s="343"/>
      <c r="P876" s="363">
        <f t="shared" ca="1" si="395"/>
        <v>23</v>
      </c>
      <c r="Q876" s="357">
        <f t="shared" ca="1" si="396"/>
        <v>0</v>
      </c>
      <c r="R876" s="359">
        <f t="shared" ca="1" si="397"/>
        <v>0</v>
      </c>
      <c r="S876" s="360">
        <f t="shared" ca="1" si="398"/>
        <v>9.7379999999999765</v>
      </c>
      <c r="T876" s="357">
        <f t="shared" ca="1" si="378"/>
        <v>95.529779999999775</v>
      </c>
      <c r="U876" s="364">
        <f t="shared" ca="1" si="379"/>
        <v>0</v>
      </c>
      <c r="V876" s="359">
        <f t="shared" ca="1" si="380"/>
        <v>1.0978023680909996</v>
      </c>
      <c r="W876" s="357">
        <f t="shared" ca="1" si="381"/>
        <v>55.202226424398951</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4.0396963931302805</v>
      </c>
      <c r="AH876" s="357">
        <f t="shared" ca="1" si="405"/>
        <v>-5.6297583767069304</v>
      </c>
    </row>
    <row r="877" spans="1:34" x14ac:dyDescent="0.25">
      <c r="A877" s="402">
        <f t="shared" ca="1" si="383"/>
        <v>0.1</v>
      </c>
      <c r="B877" s="357">
        <f t="shared" ca="1" si="384"/>
        <v>42.300000000000267</v>
      </c>
      <c r="C877" s="342"/>
      <c r="D877" s="359">
        <f t="shared" ca="1" si="385"/>
        <v>-0.94992069299055415</v>
      </c>
      <c r="E877" s="360">
        <f t="shared" ca="1" si="386"/>
        <v>-4.2214128679880814</v>
      </c>
      <c r="F877" s="357">
        <f t="shared" ca="1" si="387"/>
        <v>4.3269707561973441</v>
      </c>
      <c r="G877" s="359">
        <f t="shared" ca="1" si="388"/>
        <v>24.881240573151388</v>
      </c>
      <c r="H877" s="360">
        <f t="shared" ca="1" si="389"/>
        <v>-147.36267367198246</v>
      </c>
      <c r="I877" s="357">
        <f t="shared" ca="1" si="390"/>
        <v>149.448431655251</v>
      </c>
      <c r="J877" s="359">
        <f t="shared" ca="1" si="391"/>
        <v>1633.7803207634438</v>
      </c>
      <c r="K877" s="360">
        <f t="shared" ca="1" si="392"/>
        <v>1080.4932281192537</v>
      </c>
      <c r="L877" s="357">
        <f t="shared" ca="1" si="377"/>
        <v>1958.7505590364146</v>
      </c>
      <c r="M877" s="359">
        <f t="shared" ca="1" si="393"/>
        <v>-1.4035303274826569</v>
      </c>
      <c r="N877" s="357">
        <f t="shared" ca="1" si="394"/>
        <v>-80.416364183370533</v>
      </c>
      <c r="O877" s="343"/>
      <c r="P877" s="363">
        <f t="shared" ca="1" si="395"/>
        <v>23</v>
      </c>
      <c r="Q877" s="357">
        <f t="shared" ca="1" si="396"/>
        <v>0</v>
      </c>
      <c r="R877" s="359">
        <f t="shared" ca="1" si="397"/>
        <v>0</v>
      </c>
      <c r="S877" s="360">
        <f t="shared" ca="1" si="398"/>
        <v>9.7379999999999765</v>
      </c>
      <c r="T877" s="357">
        <f t="shared" ca="1" si="378"/>
        <v>95.529779999999775</v>
      </c>
      <c r="U877" s="364">
        <f t="shared" ca="1" si="379"/>
        <v>0</v>
      </c>
      <c r="V877" s="359">
        <f t="shared" ca="1" si="380"/>
        <v>1.0994237916899849</v>
      </c>
      <c r="W877" s="357">
        <f t="shared" ca="1" si="381"/>
        <v>55.581142850475793</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4.0025419031448441</v>
      </c>
      <c r="AH877" s="357">
        <f t="shared" ca="1" si="405"/>
        <v>-5.6687437281165627</v>
      </c>
    </row>
    <row r="878" spans="1:34" x14ac:dyDescent="0.25">
      <c r="A878" s="402">
        <f t="shared" ca="1" si="383"/>
        <v>0.1</v>
      </c>
      <c r="B878" s="357">
        <f t="shared" ca="1" si="384"/>
        <v>42.400000000000269</v>
      </c>
      <c r="C878" s="342"/>
      <c r="D878" s="359">
        <f t="shared" ca="1" si="385"/>
        <v>-0.95025107762630601</v>
      </c>
      <c r="E878" s="360">
        <f t="shared" ca="1" si="386"/>
        <v>-4.1820033152286289</v>
      </c>
      <c r="F878" s="357">
        <f t="shared" ca="1" si="387"/>
        <v>4.2886045328420295</v>
      </c>
      <c r="G878" s="359">
        <f t="shared" ca="1" si="388"/>
        <v>24.786215465388757</v>
      </c>
      <c r="H878" s="360">
        <f t="shared" ca="1" si="389"/>
        <v>-147.78087400350532</v>
      </c>
      <c r="I878" s="357">
        <f t="shared" ca="1" si="390"/>
        <v>149.8450639772181</v>
      </c>
      <c r="J878" s="359">
        <f t="shared" ca="1" si="391"/>
        <v>1636.2636935653709</v>
      </c>
      <c r="K878" s="360">
        <f t="shared" ca="1" si="392"/>
        <v>1065.7360507354792</v>
      </c>
      <c r="L878" s="357">
        <f t="shared" ca="1" si="377"/>
        <v>1952.7294243487618</v>
      </c>
      <c r="M878" s="359">
        <f t="shared" ca="1" si="393"/>
        <v>-1.4046202793517064</v>
      </c>
      <c r="N878" s="357">
        <f t="shared" ca="1" si="394"/>
        <v>-80.478813825339472</v>
      </c>
      <c r="O878" s="343"/>
      <c r="P878" s="363">
        <f t="shared" ca="1" si="395"/>
        <v>23</v>
      </c>
      <c r="Q878" s="357">
        <f t="shared" ca="1" si="396"/>
        <v>0</v>
      </c>
      <c r="R878" s="359">
        <f t="shared" ca="1" si="397"/>
        <v>0</v>
      </c>
      <c r="S878" s="360">
        <f t="shared" ca="1" si="398"/>
        <v>9.7379999999999765</v>
      </c>
      <c r="T878" s="357">
        <f t="shared" ca="1" si="378"/>
        <v>95.529779999999775</v>
      </c>
      <c r="U878" s="364">
        <f t="shared" ca="1" si="379"/>
        <v>0</v>
      </c>
      <c r="V878" s="359">
        <f t="shared" ca="1" si="380"/>
        <v>1.1010521199917551</v>
      </c>
      <c r="W878" s="357">
        <f t="shared" ca="1" si="381"/>
        <v>55.959313539147239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3.9654331437679318</v>
      </c>
      <c r="AH878" s="357">
        <f t="shared" ca="1" si="405"/>
        <v>-5.7076548419055175</v>
      </c>
    </row>
    <row r="879" spans="1:34" x14ac:dyDescent="0.25">
      <c r="A879" s="402">
        <f t="shared" ca="1" si="383"/>
        <v>0.1</v>
      </c>
      <c r="B879" s="357">
        <f t="shared" ca="1" si="384"/>
        <v>42.50000000000027</v>
      </c>
      <c r="C879" s="342"/>
      <c r="D879" s="359">
        <f t="shared" ca="1" si="385"/>
        <v>-0.95053997810505297</v>
      </c>
      <c r="E879" s="360">
        <f t="shared" ca="1" si="386"/>
        <v>-4.1426713617982216</v>
      </c>
      <c r="F879" s="357">
        <f t="shared" ca="1" si="387"/>
        <v>4.2503237831768867</v>
      </c>
      <c r="G879" s="359">
        <f t="shared" ca="1" si="388"/>
        <v>24.691161467578251</v>
      </c>
      <c r="H879" s="360">
        <f t="shared" ca="1" si="389"/>
        <v>-148.19514113968515</v>
      </c>
      <c r="I879" s="357">
        <f t="shared" ca="1" si="390"/>
        <v>150.23798891102484</v>
      </c>
      <c r="J879" s="359">
        <f t="shared" ca="1" si="391"/>
        <v>1638.7375624120193</v>
      </c>
      <c r="K879" s="360">
        <f t="shared" ca="1" si="392"/>
        <v>1050.9372499783196</v>
      </c>
      <c r="L879" s="357">
        <f t="shared" ca="1" si="377"/>
        <v>1946.7742298099386</v>
      </c>
      <c r="M879" s="359">
        <f t="shared" ca="1" si="393"/>
        <v>-1.405700362299434</v>
      </c>
      <c r="N879" s="357">
        <f t="shared" ca="1" si="394"/>
        <v>-80.540698019768314</v>
      </c>
      <c r="O879" s="343"/>
      <c r="P879" s="363">
        <f t="shared" ca="1" si="395"/>
        <v>23</v>
      </c>
      <c r="Q879" s="357">
        <f t="shared" ca="1" si="396"/>
        <v>0</v>
      </c>
      <c r="R879" s="359">
        <f t="shared" ca="1" si="397"/>
        <v>0</v>
      </c>
      <c r="S879" s="360">
        <f t="shared" ca="1" si="398"/>
        <v>9.7379999999999765</v>
      </c>
      <c r="T879" s="357">
        <f t="shared" ca="1" si="378"/>
        <v>95.529779999999775</v>
      </c>
      <c r="U879" s="364">
        <f t="shared" ca="1" si="379"/>
        <v>0</v>
      </c>
      <c r="V879" s="359">
        <f t="shared" ca="1" si="380"/>
        <v>1.1026873337338206</v>
      </c>
      <c r="W879" s="357">
        <f t="shared" ca="1" si="381"/>
        <v>56.336715932446758</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3.9283730156073124</v>
      </c>
      <c r="AH879" s="357">
        <f t="shared" ca="1" si="405"/>
        <v>-5.7464893755542592</v>
      </c>
    </row>
    <row r="880" spans="1:34" x14ac:dyDescent="0.25">
      <c r="A880" s="402">
        <f t="shared" ca="1" si="383"/>
        <v>0.1</v>
      </c>
      <c r="B880" s="357">
        <f t="shared" ca="1" si="384"/>
        <v>42.600000000000271</v>
      </c>
      <c r="C880" s="342"/>
      <c r="D880" s="359">
        <f t="shared" ca="1" si="385"/>
        <v>-0.95078761217687846</v>
      </c>
      <c r="E880" s="360">
        <f t="shared" ca="1" si="386"/>
        <v>-4.1034193449978424</v>
      </c>
      <c r="F880" s="357">
        <f t="shared" ca="1" si="387"/>
        <v>4.2121309813883441</v>
      </c>
      <c r="G880" s="359">
        <f t="shared" ca="1" si="388"/>
        <v>24.596082706360562</v>
      </c>
      <c r="H880" s="360">
        <f t="shared" ca="1" si="389"/>
        <v>-148.60548307418495</v>
      </c>
      <c r="I880" s="357">
        <f t="shared" ca="1" si="390"/>
        <v>150.62721163259312</v>
      </c>
      <c r="J880" s="359">
        <f t="shared" ca="1" si="391"/>
        <v>1641.2019246207162</v>
      </c>
      <c r="K880" s="360">
        <f t="shared" ca="1" si="392"/>
        <v>1036.0972187676261</v>
      </c>
      <c r="L880" s="357">
        <f t="shared" ca="1" si="377"/>
        <v>1940.8867056365636</v>
      </c>
      <c r="M880" s="359">
        <f t="shared" ca="1" si="393"/>
        <v>-1.4067707162386387</v>
      </c>
      <c r="N880" s="357">
        <f t="shared" ca="1" si="394"/>
        <v>-80.602024783069936</v>
      </c>
      <c r="O880" s="343"/>
      <c r="P880" s="363">
        <f t="shared" ca="1" si="395"/>
        <v>23</v>
      </c>
      <c r="Q880" s="357">
        <f t="shared" ca="1" si="396"/>
        <v>0</v>
      </c>
      <c r="R880" s="359">
        <f t="shared" ca="1" si="397"/>
        <v>0</v>
      </c>
      <c r="S880" s="360">
        <f t="shared" ca="1" si="398"/>
        <v>9.7379999999999765</v>
      </c>
      <c r="T880" s="357">
        <f t="shared" ca="1" si="378"/>
        <v>95.529779999999775</v>
      </c>
      <c r="U880" s="364">
        <f t="shared" ca="1" si="379"/>
        <v>0</v>
      </c>
      <c r="V880" s="359">
        <f t="shared" ca="1" si="380"/>
        <v>1.1043294136463686</v>
      </c>
      <c r="W880" s="357">
        <f t="shared" ca="1" si="381"/>
        <v>56.713327727540779</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3.8913643797499979</v>
      </c>
      <c r="AH880" s="357">
        <f t="shared" ca="1" si="405"/>
        <v>-5.7852450125741317</v>
      </c>
    </row>
    <row r="881" spans="1:34" x14ac:dyDescent="0.25">
      <c r="A881" s="402">
        <f t="shared" ca="1" si="383"/>
        <v>0.1</v>
      </c>
      <c r="B881" s="357">
        <f t="shared" ca="1" si="384"/>
        <v>42.700000000000273</v>
      </c>
      <c r="C881" s="342"/>
      <c r="D881" s="359">
        <f t="shared" ca="1" si="385"/>
        <v>-0.95099420102503651</v>
      </c>
      <c r="E881" s="360">
        <f t="shared" ca="1" si="386"/>
        <v>-4.0642495757859889</v>
      </c>
      <c r="F881" s="357">
        <f t="shared" ca="1" si="387"/>
        <v>4.174028579760785</v>
      </c>
      <c r="G881" s="359">
        <f t="shared" ca="1" si="388"/>
        <v>24.500983286258059</v>
      </c>
      <c r="H881" s="360">
        <f t="shared" ca="1" si="389"/>
        <v>-149.01190803176354</v>
      </c>
      <c r="I881" s="357">
        <f t="shared" ca="1" si="390"/>
        <v>151.01273759938348</v>
      </c>
      <c r="J881" s="359">
        <f t="shared" ca="1" si="391"/>
        <v>1643.6567779203472</v>
      </c>
      <c r="K881" s="360">
        <f t="shared" ca="1" si="392"/>
        <v>1021.2163492123287</v>
      </c>
      <c r="L881" s="357">
        <f t="shared" ca="1" si="377"/>
        <v>1935.0685867694858</v>
      </c>
      <c r="M881" s="359">
        <f t="shared" ca="1" si="393"/>
        <v>-1.4078314783920238</v>
      </c>
      <c r="N881" s="357">
        <f t="shared" ca="1" si="394"/>
        <v>-80.662801977526115</v>
      </c>
      <c r="O881" s="343"/>
      <c r="P881" s="363">
        <f t="shared" ca="1" si="395"/>
        <v>23</v>
      </c>
      <c r="Q881" s="357">
        <f t="shared" ca="1" si="396"/>
        <v>0</v>
      </c>
      <c r="R881" s="359">
        <f t="shared" ca="1" si="397"/>
        <v>0</v>
      </c>
      <c r="S881" s="360">
        <f t="shared" ca="1" si="398"/>
        <v>9.7379999999999765</v>
      </c>
      <c r="T881" s="357">
        <f t="shared" ca="1" si="378"/>
        <v>95.529779999999775</v>
      </c>
      <c r="U881" s="364">
        <f t="shared" ca="1" si="379"/>
        <v>0</v>
      </c>
      <c r="V881" s="359">
        <f t="shared" ca="1" si="380"/>
        <v>1.1059783404534556</v>
      </c>
      <c r="W881" s="357">
        <f t="shared" ca="1" si="381"/>
        <v>57.089126878306992</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3.8544100579793241</v>
      </c>
      <c r="AH881" s="357">
        <f t="shared" ca="1" si="405"/>
        <v>-5.8239194626762085</v>
      </c>
    </row>
    <row r="882" spans="1:34" x14ac:dyDescent="0.25">
      <c r="A882" s="402">
        <f t="shared" ca="1" si="383"/>
        <v>0.1</v>
      </c>
      <c r="B882" s="357">
        <f t="shared" ca="1" si="384"/>
        <v>42.800000000000274</v>
      </c>
      <c r="C882" s="342"/>
      <c r="D882" s="359">
        <f t="shared" ca="1" si="385"/>
        <v>-0.95115996919672352</v>
      </c>
      <c r="E882" s="360">
        <f t="shared" ca="1" si="386"/>
        <v>-4.0251643386111766</v>
      </c>
      <c r="F882" s="357">
        <f t="shared" ca="1" si="387"/>
        <v>4.1360190086397646</v>
      </c>
      <c r="G882" s="359">
        <f t="shared" ca="1" si="388"/>
        <v>24.405867289338385</v>
      </c>
      <c r="H882" s="360">
        <f t="shared" ca="1" si="389"/>
        <v>-149.41442446562465</v>
      </c>
      <c r="I882" s="357">
        <f t="shared" ca="1" si="390"/>
        <v>151.39457254650395</v>
      </c>
      <c r="J882" s="359">
        <f t="shared" ca="1" si="391"/>
        <v>1646.1021204491269</v>
      </c>
      <c r="K882" s="360">
        <f t="shared" ca="1" si="392"/>
        <v>1006.2950325874593</v>
      </c>
      <c r="L882" s="357">
        <f t="shared" ca="1" si="377"/>
        <v>1929.3216122661634</v>
      </c>
      <c r="M882" s="359">
        <f t="shared" ca="1" si="393"/>
        <v>-1.4088827833551263</v>
      </c>
      <c r="N882" s="357">
        <f t="shared" ca="1" si="394"/>
        <v>-80.723037314893048</v>
      </c>
      <c r="O882" s="343"/>
      <c r="P882" s="363">
        <f t="shared" ca="1" si="395"/>
        <v>23</v>
      </c>
      <c r="Q882" s="357">
        <f t="shared" ca="1" si="396"/>
        <v>0</v>
      </c>
      <c r="R882" s="359">
        <f t="shared" ca="1" si="397"/>
        <v>0</v>
      </c>
      <c r="S882" s="360">
        <f t="shared" ca="1" si="398"/>
        <v>9.7379999999999765</v>
      </c>
      <c r="T882" s="357">
        <f t="shared" ca="1" si="378"/>
        <v>95.529779999999775</v>
      </c>
      <c r="U882" s="364">
        <f t="shared" ca="1" si="379"/>
        <v>0</v>
      </c>
      <c r="V882" s="359">
        <f t="shared" ca="1" si="380"/>
        <v>1.1076340948741976</v>
      </c>
      <c r="W882" s="357">
        <f t="shared" ca="1" si="381"/>
        <v>57.464091596845975</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3.8175128329861492</v>
      </c>
      <c r="AH882" s="357">
        <f t="shared" ca="1" si="405"/>
        <v>-5.8625104619333674</v>
      </c>
    </row>
    <row r="883" spans="1:34" x14ac:dyDescent="0.25">
      <c r="A883" s="402">
        <f t="shared" ca="1" si="383"/>
        <v>0.1</v>
      </c>
      <c r="B883" s="357">
        <f t="shared" ca="1" si="384"/>
        <v>42.900000000000276</v>
      </c>
      <c r="C883" s="342"/>
      <c r="D883" s="359">
        <f t="shared" ca="1" si="385"/>
        <v>-0.9512851445339523</v>
      </c>
      <c r="E883" s="360">
        <f t="shared" ca="1" si="386"/>
        <v>-3.9861658912514661</v>
      </c>
      <c r="F883" s="357">
        <f t="shared" ca="1" si="387"/>
        <v>4.0981046764068356</v>
      </c>
      <c r="G883" s="359">
        <f t="shared" ca="1" si="388"/>
        <v>24.310738774884989</v>
      </c>
      <c r="H883" s="360">
        <f t="shared" ca="1" si="389"/>
        <v>-149.81304105474979</v>
      </c>
      <c r="I883" s="357">
        <f t="shared" ca="1" si="390"/>
        <v>151.77272248283893</v>
      </c>
      <c r="J883" s="359">
        <f t="shared" ca="1" si="391"/>
        <v>1648.537950752338</v>
      </c>
      <c r="K883" s="360">
        <f t="shared" ca="1" si="392"/>
        <v>991.33365931144056</v>
      </c>
      <c r="L883" s="357">
        <f t="shared" ca="1" si="377"/>
        <v>1923.6475246662339</v>
      </c>
      <c r="M883" s="359">
        <f t="shared" ca="1" si="393"/>
        <v>-1.4099247631575167</v>
      </c>
      <c r="N883" s="357">
        <f t="shared" ca="1" si="394"/>
        <v>-80.782738359907896</v>
      </c>
      <c r="O883" s="343"/>
      <c r="P883" s="363">
        <f t="shared" ca="1" si="395"/>
        <v>23</v>
      </c>
      <c r="Q883" s="357">
        <f t="shared" ca="1" si="396"/>
        <v>0</v>
      </c>
      <c r="R883" s="359">
        <f t="shared" ca="1" si="397"/>
        <v>0</v>
      </c>
      <c r="S883" s="360">
        <f t="shared" ca="1" si="398"/>
        <v>9.7379999999999765</v>
      </c>
      <c r="T883" s="357">
        <f t="shared" ca="1" si="378"/>
        <v>95.529779999999775</v>
      </c>
      <c r="U883" s="364">
        <f t="shared" ca="1" si="379"/>
        <v>0</v>
      </c>
      <c r="V883" s="359">
        <f t="shared" ca="1" si="380"/>
        <v>1.1092966576239589</v>
      </c>
      <c r="W883" s="357">
        <f t="shared" ca="1" si="381"/>
        <v>57.838200354926549</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3.7806754485746881</v>
      </c>
      <c r="AH883" s="357">
        <f t="shared" ca="1" si="405"/>
        <v>-5.9010157729355219</v>
      </c>
    </row>
    <row r="884" spans="1:34" x14ac:dyDescent="0.25">
      <c r="A884" s="402">
        <f t="shared" ca="1" si="383"/>
        <v>0.1</v>
      </c>
      <c r="B884" s="357">
        <f t="shared" ca="1" si="384"/>
        <v>43.000000000000277</v>
      </c>
      <c r="C884" s="342"/>
      <c r="D884" s="359">
        <f t="shared" ca="1" si="385"/>
        <v>-0.95136995810455038</v>
      </c>
      <c r="E884" s="360">
        <f t="shared" ca="1" si="386"/>
        <v>-3.9472564646609838</v>
      </c>
      <c r="F884" s="357">
        <f t="shared" ca="1" si="387"/>
        <v>4.0602879694661782</v>
      </c>
      <c r="G884" s="359">
        <f t="shared" ca="1" si="388"/>
        <v>24.215601779074532</v>
      </c>
      <c r="H884" s="360">
        <f t="shared" ca="1" si="389"/>
        <v>-150.20776670121589</v>
      </c>
      <c r="I884" s="357">
        <f t="shared" ca="1" si="390"/>
        <v>152.14719368719759</v>
      </c>
      <c r="J884" s="359">
        <f t="shared" ca="1" si="391"/>
        <v>1650.9642677800359</v>
      </c>
      <c r="K884" s="360">
        <f t="shared" ca="1" si="392"/>
        <v>976.33261892364226</v>
      </c>
      <c r="L884" s="357">
        <f t="shared" ca="1" si="377"/>
        <v>1918.0480693300594</v>
      </c>
      <c r="M884" s="359">
        <f t="shared" ca="1" si="393"/>
        <v>-1.4109575473223268</v>
      </c>
      <c r="N884" s="357">
        <f t="shared" ca="1" si="394"/>
        <v>-80.841912533699457</v>
      </c>
      <c r="O884" s="343"/>
      <c r="P884" s="363">
        <f t="shared" ca="1" si="395"/>
        <v>23</v>
      </c>
      <c r="Q884" s="357">
        <f t="shared" ca="1" si="396"/>
        <v>0</v>
      </c>
      <c r="R884" s="359">
        <f t="shared" ca="1" si="397"/>
        <v>0</v>
      </c>
      <c r="S884" s="360">
        <f t="shared" ca="1" si="398"/>
        <v>9.7379999999999765</v>
      </c>
      <c r="T884" s="357">
        <f t="shared" ca="1" si="378"/>
        <v>95.529779999999775</v>
      </c>
      <c r="U884" s="364">
        <f t="shared" ca="1" si="379"/>
        <v>0</v>
      </c>
      <c r="V884" s="359">
        <f t="shared" ca="1" si="380"/>
        <v>1.110966009415536</v>
      </c>
      <c r="W884" s="357">
        <f t="shared" ca="1" si="381"/>
        <v>58.211431885364902</v>
      </c>
      <c r="X884" s="343"/>
      <c r="Y884" s="367" t="str">
        <f t="shared" ca="1" si="399"/>
        <v/>
      </c>
      <c r="Z884" s="368" t="str">
        <f t="shared" ca="1" si="400"/>
        <v/>
      </c>
      <c r="AA884" s="369" t="str">
        <f t="shared" ca="1" si="401"/>
        <v/>
      </c>
      <c r="AB884" s="344"/>
      <c r="AC884" s="363">
        <f t="shared" ca="1" si="402"/>
        <v>43.000000000000277</v>
      </c>
      <c r="AD884" s="376">
        <f t="shared" ca="1" si="403"/>
        <v>1650.9642677800359</v>
      </c>
      <c r="AE884" s="377" t="e">
        <f t="shared" ca="1" si="382"/>
        <v>#N/A</v>
      </c>
      <c r="AF884" s="344"/>
      <c r="AG884" s="359">
        <f t="shared" ca="1" si="404"/>
        <v>3.7439006098633998</v>
      </c>
      <c r="AH884" s="357">
        <f t="shared" ca="1" si="405"/>
        <v>-5.9394331849380455</v>
      </c>
    </row>
    <row r="885" spans="1:34" x14ac:dyDescent="0.25">
      <c r="A885" s="402">
        <f t="shared" ca="1" si="383"/>
        <v>0.1</v>
      </c>
      <c r="B885" s="357">
        <f t="shared" ca="1" si="384"/>
        <v>43.100000000000279</v>
      </c>
      <c r="C885" s="342"/>
      <c r="D885" s="359">
        <f t="shared" ca="1" si="385"/>
        <v>-0.95141464413327859</v>
      </c>
      <c r="E885" s="360">
        <f t="shared" ca="1" si="386"/>
        <v>-3.9084382628234025</v>
      </c>
      <c r="F885" s="357">
        <f t="shared" ca="1" si="387"/>
        <v>4.0225712522431802</v>
      </c>
      <c r="G885" s="359">
        <f t="shared" ca="1" si="388"/>
        <v>24.120460314661205</v>
      </c>
      <c r="H885" s="360">
        <f t="shared" ca="1" si="389"/>
        <v>-150.59861052749824</v>
      </c>
      <c r="I885" s="357">
        <f t="shared" ca="1" si="390"/>
        <v>152.51799270448143</v>
      </c>
      <c r="J885" s="359">
        <f t="shared" ca="1" si="391"/>
        <v>1653.3810708847227</v>
      </c>
      <c r="K885" s="360">
        <f t="shared" ca="1" si="392"/>
        <v>961.29230006220655</v>
      </c>
      <c r="L885" s="357">
        <f t="shared" ca="1" si="377"/>
        <v>1912.5249937500946</v>
      </c>
      <c r="M885" s="359">
        <f t="shared" ca="1" si="393"/>
        <v>-1.4119812629241542</v>
      </c>
      <c r="N885" s="357">
        <f t="shared" ca="1" si="394"/>
        <v>-80.900567117105851</v>
      </c>
      <c r="O885" s="343"/>
      <c r="P885" s="363">
        <f t="shared" ca="1" si="395"/>
        <v>23</v>
      </c>
      <c r="Q885" s="357">
        <f t="shared" ca="1" si="396"/>
        <v>0</v>
      </c>
      <c r="R885" s="359">
        <f t="shared" ca="1" si="397"/>
        <v>0</v>
      </c>
      <c r="S885" s="360">
        <f t="shared" ca="1" si="398"/>
        <v>9.7379999999999765</v>
      </c>
      <c r="T885" s="357">
        <f t="shared" ca="1" si="378"/>
        <v>95.529779999999775</v>
      </c>
      <c r="U885" s="364">
        <f t="shared" ca="1" si="379"/>
        <v>0</v>
      </c>
      <c r="V885" s="359">
        <f t="shared" ca="1" si="380"/>
        <v>1.1126421309603409</v>
      </c>
      <c r="W885" s="357">
        <f t="shared" ca="1" si="381"/>
        <v>58.583765183337647</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3.7071909834813654</v>
      </c>
      <c r="AH885" s="357">
        <f t="shared" ca="1" si="405"/>
        <v>-5.9777605140033936</v>
      </c>
    </row>
    <row r="886" spans="1:34" x14ac:dyDescent="0.25">
      <c r="A886" s="402">
        <f t="shared" ca="1" si="383"/>
        <v>0.1</v>
      </c>
      <c r="B886" s="357">
        <f t="shared" ca="1" si="384"/>
        <v>43.20000000000028</v>
      </c>
      <c r="C886" s="342"/>
      <c r="D886" s="359">
        <f t="shared" ca="1" si="385"/>
        <v>-0.95141943993308931</v>
      </c>
      <c r="E886" s="360">
        <f t="shared" ca="1" si="386"/>
        <v>-3.869713462612399</v>
      </c>
      <c r="F886" s="357">
        <f t="shared" ca="1" si="387"/>
        <v>3.9849568671952067</v>
      </c>
      <c r="G886" s="359">
        <f t="shared" ca="1" si="388"/>
        <v>24.025318370667897</v>
      </c>
      <c r="H886" s="360">
        <f t="shared" ca="1" si="389"/>
        <v>-150.98558187375949</v>
      </c>
      <c r="I886" s="357">
        <f t="shared" ca="1" si="390"/>
        <v>152.88512634187043</v>
      </c>
      <c r="J886" s="359">
        <f t="shared" ca="1" si="391"/>
        <v>1655.7883598189892</v>
      </c>
      <c r="K886" s="360">
        <f t="shared" ca="1" si="392"/>
        <v>946.21309044214365</v>
      </c>
      <c r="L886" s="357">
        <f t="shared" ca="1" si="377"/>
        <v>1907.0800468349855</v>
      </c>
      <c r="M886" s="359">
        <f t="shared" ca="1" si="393"/>
        <v>-1.4129960346453956</v>
      </c>
      <c r="N886" s="357">
        <f t="shared" ca="1" si="394"/>
        <v>-80.958709253902214</v>
      </c>
      <c r="O886" s="343"/>
      <c r="P886" s="363">
        <f t="shared" ca="1" si="395"/>
        <v>23</v>
      </c>
      <c r="Q886" s="357">
        <f t="shared" ca="1" si="396"/>
        <v>0</v>
      </c>
      <c r="R886" s="359">
        <f t="shared" ca="1" si="397"/>
        <v>0</v>
      </c>
      <c r="S886" s="360">
        <f t="shared" ca="1" si="398"/>
        <v>9.7379999999999765</v>
      </c>
      <c r="T886" s="357">
        <f t="shared" ca="1" si="378"/>
        <v>95.529779999999775</v>
      </c>
      <c r="U886" s="364">
        <f t="shared" ca="1" si="379"/>
        <v>0</v>
      </c>
      <c r="V886" s="359">
        <f t="shared" ca="1" si="380"/>
        <v>1.114325002969579</v>
      </c>
      <c r="W886" s="357">
        <f t="shared" ca="1" si="381"/>
        <v>58.955179507628692</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3.670549197760514</v>
      </c>
      <c r="AH886" s="357">
        <f t="shared" ca="1" si="405"/>
        <v>-6.0159956031359405</v>
      </c>
    </row>
    <row r="887" spans="1:34" x14ac:dyDescent="0.25">
      <c r="A887" s="402">
        <f t="shared" ca="1" si="383"/>
        <v>0.1</v>
      </c>
      <c r="B887" s="357">
        <f t="shared" ca="1" si="384"/>
        <v>43.300000000000281</v>
      </c>
      <c r="C887" s="342"/>
      <c r="D887" s="359">
        <f t="shared" ca="1" si="385"/>
        <v>-0.95138458583652674</v>
      </c>
      <c r="E887" s="360">
        <f t="shared" ca="1" si="386"/>
        <v>-3.8310842136590466</v>
      </c>
      <c r="F887" s="357">
        <f t="shared" ca="1" si="387"/>
        <v>3.9474471348347269</v>
      </c>
      <c r="G887" s="359">
        <f t="shared" ca="1" si="388"/>
        <v>23.930179912084245</v>
      </c>
      <c r="H887" s="360">
        <f t="shared" ca="1" si="389"/>
        <v>-151.36869029512539</v>
      </c>
      <c r="I887" s="357">
        <f t="shared" ca="1" si="390"/>
        <v>153.24860166502762</v>
      </c>
      <c r="J887" s="359">
        <f t="shared" ca="1" si="391"/>
        <v>1658.1861347331269</v>
      </c>
      <c r="K887" s="360">
        <f t="shared" ca="1" si="392"/>
        <v>931.09537683369945</v>
      </c>
      <c r="L887" s="357">
        <f t="shared" ca="1" si="377"/>
        <v>1901.7149781663593</v>
      </c>
      <c r="M887" s="359">
        <f t="shared" ca="1" si="393"/>
        <v>-1.4140019848310599</v>
      </c>
      <c r="N887" s="357">
        <f t="shared" ca="1" si="394"/>
        <v>-81.016345953941183</v>
      </c>
      <c r="O887" s="343"/>
      <c r="P887" s="363">
        <f t="shared" ca="1" si="395"/>
        <v>23</v>
      </c>
      <c r="Q887" s="357">
        <f t="shared" ca="1" si="396"/>
        <v>0</v>
      </c>
      <c r="R887" s="359">
        <f t="shared" ca="1" si="397"/>
        <v>0</v>
      </c>
      <c r="S887" s="360">
        <f t="shared" ca="1" si="398"/>
        <v>9.7379999999999765</v>
      </c>
      <c r="T887" s="357">
        <f t="shared" ca="1" si="378"/>
        <v>95.529779999999775</v>
      </c>
      <c r="U887" s="364">
        <f t="shared" ca="1" si="379"/>
        <v>0</v>
      </c>
      <c r="V887" s="359">
        <f t="shared" ca="1" si="380"/>
        <v>1.1160146061554261</v>
      </c>
      <c r="W887" s="357">
        <f t="shared" ca="1" si="381"/>
        <v>59.325654381810494</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3.6339778429241543</v>
      </c>
      <c r="AH887" s="357">
        <f t="shared" ca="1" si="405"/>
        <v>-6.0541363224100264</v>
      </c>
    </row>
    <row r="888" spans="1:34" x14ac:dyDescent="0.25">
      <c r="A888" s="402">
        <f t="shared" ca="1" si="383"/>
        <v>0.1</v>
      </c>
      <c r="B888" s="357">
        <f t="shared" ca="1" si="384"/>
        <v>43.400000000000283</v>
      </c>
      <c r="C888" s="342"/>
      <c r="D888" s="359">
        <f t="shared" ca="1" si="385"/>
        <v>-0.95131032512727343</v>
      </c>
      <c r="E888" s="360">
        <f t="shared" ca="1" si="386"/>
        <v>-3.7925526382261321</v>
      </c>
      <c r="F888" s="357">
        <f t="shared" ca="1" si="387"/>
        <v>3.9100443537650253</v>
      </c>
      <c r="G888" s="359">
        <f t="shared" ca="1" si="388"/>
        <v>23.835048879571517</v>
      </c>
      <c r="H888" s="360">
        <f t="shared" ca="1" si="389"/>
        <v>-151.747945558948</v>
      </c>
      <c r="I888" s="357">
        <f t="shared" ca="1" si="390"/>
        <v>153.60842599432172</v>
      </c>
      <c r="J888" s="359">
        <f t="shared" ca="1" si="391"/>
        <v>1660.5743961727096</v>
      </c>
      <c r="K888" s="360">
        <f t="shared" ca="1" si="392"/>
        <v>915.93954504099577</v>
      </c>
      <c r="L888" s="357">
        <f t="shared" ca="1" si="377"/>
        <v>1896.4315372283454</v>
      </c>
      <c r="M888" s="359">
        <f t="shared" ca="1" si="393"/>
        <v>-1.4149992335421024</v>
      </c>
      <c r="N888" s="357">
        <f t="shared" ca="1" si="394"/>
        <v>-81.073484096208787</v>
      </c>
      <c r="O888" s="343"/>
      <c r="P888" s="363">
        <f t="shared" ca="1" si="395"/>
        <v>23</v>
      </c>
      <c r="Q888" s="357">
        <f t="shared" ca="1" si="396"/>
        <v>0</v>
      </c>
      <c r="R888" s="359">
        <f t="shared" ca="1" si="397"/>
        <v>0</v>
      </c>
      <c r="S888" s="360">
        <f t="shared" ca="1" si="398"/>
        <v>9.7379999999999765</v>
      </c>
      <c r="T888" s="357">
        <f t="shared" ca="1" si="378"/>
        <v>95.529779999999775</v>
      </c>
      <c r="U888" s="364">
        <f t="shared" ca="1" si="379"/>
        <v>0</v>
      </c>
      <c r="V888" s="359">
        <f t="shared" ca="1" si="380"/>
        <v>1.1177109212322003</v>
      </c>
      <c r="W888" s="357">
        <f t="shared" ca="1" si="381"/>
        <v>59.695169595359602</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3.5974794712721057</v>
      </c>
      <c r="AH888" s="357">
        <f t="shared" ca="1" si="405"/>
        <v>-6.0921805690912549</v>
      </c>
    </row>
    <row r="889" spans="1:34" x14ac:dyDescent="0.25">
      <c r="A889" s="402">
        <f t="shared" ca="1" si="383"/>
        <v>0.1</v>
      </c>
      <c r="B889" s="357">
        <f t="shared" ca="1" si="384"/>
        <v>43.500000000000284</v>
      </c>
      <c r="C889" s="342"/>
      <c r="D889" s="359">
        <f t="shared" ca="1" si="385"/>
        <v>-0.95119690397187406</v>
      </c>
      <c r="E889" s="360">
        <f t="shared" ca="1" si="386"/>
        <v>-3.7541208310893648</v>
      </c>
      <c r="F889" s="357">
        <f t="shared" ca="1" si="387"/>
        <v>3.8727508007286993</v>
      </c>
      <c r="G889" s="359">
        <f t="shared" ca="1" si="388"/>
        <v>23.73992918917433</v>
      </c>
      <c r="H889" s="360">
        <f t="shared" ca="1" si="389"/>
        <v>-152.12335764205693</v>
      </c>
      <c r="I889" s="357">
        <f t="shared" ca="1" si="390"/>
        <v>153.96460690106727</v>
      </c>
      <c r="J889" s="359">
        <f t="shared" ca="1" si="391"/>
        <v>1662.9531450761469</v>
      </c>
      <c r="K889" s="360">
        <f t="shared" ca="1" si="392"/>
        <v>900.74597988094547</v>
      </c>
      <c r="L889" s="357">
        <f t="shared" ca="1" si="377"/>
        <v>1891.2314726099323</v>
      </c>
      <c r="M889" s="359">
        <f t="shared" ca="1" si="393"/>
        <v>-1.4159878986073331</v>
      </c>
      <c r="N889" s="357">
        <f t="shared" ca="1" si="394"/>
        <v>-81.13013043179852</v>
      </c>
      <c r="O889" s="343"/>
      <c r="P889" s="363">
        <f t="shared" ca="1" si="395"/>
        <v>23</v>
      </c>
      <c r="Q889" s="357">
        <f t="shared" ca="1" si="396"/>
        <v>0</v>
      </c>
      <c r="R889" s="359">
        <f t="shared" ca="1" si="397"/>
        <v>0</v>
      </c>
      <c r="S889" s="360">
        <f t="shared" ca="1" si="398"/>
        <v>9.7379999999999765</v>
      </c>
      <c r="T889" s="357">
        <f t="shared" ca="1" si="378"/>
        <v>95.529779999999775</v>
      </c>
      <c r="U889" s="364">
        <f t="shared" ca="1" si="379"/>
        <v>0</v>
      </c>
      <c r="V889" s="359">
        <f t="shared" ca="1" si="380"/>
        <v>1.119413928917532</v>
      </c>
      <c r="W889" s="357">
        <f t="shared" ca="1" si="381"/>
        <v>60.063705204706608</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3.5610565973628017</v>
      </c>
      <c r="AH889" s="357">
        <f t="shared" ca="1" si="405"/>
        <v>-6.1301262677510522</v>
      </c>
    </row>
    <row r="890" spans="1:34" x14ac:dyDescent="0.25">
      <c r="A890" s="402">
        <f t="shared" ca="1" si="383"/>
        <v>0.1</v>
      </c>
      <c r="B890" s="357">
        <f t="shared" ca="1" si="384"/>
        <v>43.600000000000286</v>
      </c>
      <c r="C890" s="342"/>
      <c r="D890" s="359">
        <f t="shared" ca="1" si="385"/>
        <v>-0.9510445713516108</v>
      </c>
      <c r="E890" s="360">
        <f t="shared" ca="1" si="386"/>
        <v>-3.7157908594254865</v>
      </c>
      <c r="F890" s="357">
        <f t="shared" ca="1" si="387"/>
        <v>3.8355687306692032</v>
      </c>
      <c r="G890" s="359">
        <f t="shared" ca="1" si="388"/>
        <v>23.644824732039169</v>
      </c>
      <c r="H890" s="360">
        <f t="shared" ca="1" si="389"/>
        <v>-152.49493672799949</v>
      </c>
      <c r="I890" s="357">
        <f t="shared" ca="1" si="390"/>
        <v>154.31715220378265</v>
      </c>
      <c r="J890" s="359">
        <f t="shared" ca="1" si="391"/>
        <v>1665.3223827722077</v>
      </c>
      <c r="K890" s="360">
        <f t="shared" ca="1" si="392"/>
        <v>885.51506516244262</v>
      </c>
      <c r="L890" s="357">
        <f t="shared" ca="1" si="377"/>
        <v>1886.1165311803372</v>
      </c>
      <c r="M890" s="359">
        <f t="shared" ca="1" si="393"/>
        <v>-1.4169680956739361</v>
      </c>
      <c r="N890" s="357">
        <f t="shared" ca="1" si="394"/>
        <v>-81.186291586805979</v>
      </c>
      <c r="O890" s="343"/>
      <c r="P890" s="363">
        <f t="shared" ca="1" si="395"/>
        <v>23</v>
      </c>
      <c r="Q890" s="357">
        <f t="shared" ca="1" si="396"/>
        <v>0</v>
      </c>
      <c r="R890" s="359">
        <f t="shared" ca="1" si="397"/>
        <v>0</v>
      </c>
      <c r="S890" s="360">
        <f t="shared" ca="1" si="398"/>
        <v>9.7379999999999765</v>
      </c>
      <c r="T890" s="357">
        <f t="shared" ca="1" si="378"/>
        <v>95.529779999999775</v>
      </c>
      <c r="U890" s="364">
        <f t="shared" ca="1" si="379"/>
        <v>0</v>
      </c>
      <c r="V890" s="359">
        <f t="shared" ca="1" si="380"/>
        <v>1.1211236099335284</v>
      </c>
      <c r="W890" s="357">
        <f t="shared" ca="1" si="381"/>
        <v>60.431241534221066</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3.524711698192708</v>
      </c>
      <c r="AH890" s="357">
        <f t="shared" ca="1" si="405"/>
        <v>-6.1679713703744872</v>
      </c>
    </row>
    <row r="891" spans="1:34" x14ac:dyDescent="0.25">
      <c r="A891" s="402">
        <f t="shared" ca="1" si="383"/>
        <v>0.1</v>
      </c>
      <c r="B891" s="357">
        <f t="shared" ca="1" si="384"/>
        <v>43.700000000000287</v>
      </c>
      <c r="C891" s="342"/>
      <c r="D891" s="359">
        <f t="shared" ca="1" si="385"/>
        <v>-0.95085357899457335</v>
      </c>
      <c r="E891" s="360">
        <f t="shared" ca="1" si="386"/>
        <v>-3.6775647627072034</v>
      </c>
      <c r="F891" s="357">
        <f t="shared" ca="1" si="387"/>
        <v>3.7985003768056256</v>
      </c>
      <c r="G891" s="359">
        <f t="shared" ca="1" si="388"/>
        <v>23.549739374139712</v>
      </c>
      <c r="H891" s="360">
        <f t="shared" ca="1" si="389"/>
        <v>-152.86269320427022</v>
      </c>
      <c r="I891" s="357">
        <f t="shared" ca="1" si="390"/>
        <v>154.66606996446487</v>
      </c>
      <c r="J891" s="359">
        <f t="shared" ca="1" si="391"/>
        <v>1667.6821109775167</v>
      </c>
      <c r="K891" s="360">
        <f t="shared" ca="1" si="392"/>
        <v>870.2471836658292</v>
      </c>
      <c r="L891" s="357">
        <f t="shared" ca="1" si="377"/>
        <v>1881.0884572376531</v>
      </c>
      <c r="M891" s="359">
        <f t="shared" ca="1" si="393"/>
        <v>-1.4179399382566482</v>
      </c>
      <c r="N891" s="357">
        <f t="shared" ca="1" si="394"/>
        <v>-81.241974065146479</v>
      </c>
      <c r="O891" s="343"/>
      <c r="P891" s="363">
        <f t="shared" ca="1" si="395"/>
        <v>23</v>
      </c>
      <c r="Q891" s="357">
        <f t="shared" ca="1" si="396"/>
        <v>0</v>
      </c>
      <c r="R891" s="359">
        <f t="shared" ca="1" si="397"/>
        <v>0</v>
      </c>
      <c r="S891" s="360">
        <f t="shared" ca="1" si="398"/>
        <v>9.7379999999999765</v>
      </c>
      <c r="T891" s="357">
        <f t="shared" ca="1" si="378"/>
        <v>95.529779999999775</v>
      </c>
      <c r="U891" s="364">
        <f t="shared" ca="1" si="379"/>
        <v>0</v>
      </c>
      <c r="V891" s="359">
        <f t="shared" ca="1" si="380"/>
        <v>1.1228399450079354</v>
      </c>
      <c r="W891" s="357">
        <f t="shared" ca="1" si="381"/>
        <v>60.797759177131148</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3.4884472133733491</v>
      </c>
      <c r="AH891" s="357">
        <f t="shared" ca="1" si="405"/>
        <v>-6.2057138564614105</v>
      </c>
    </row>
    <row r="892" spans="1:34" x14ac:dyDescent="0.25">
      <c r="A892" s="402">
        <f t="shared" ca="1" si="383"/>
        <v>0.1</v>
      </c>
      <c r="B892" s="357">
        <f t="shared" ca="1" si="384"/>
        <v>43.800000000000288</v>
      </c>
      <c r="C892" s="342"/>
      <c r="D892" s="359">
        <f t="shared" ca="1" si="385"/>
        <v>-0.95062418130790494</v>
      </c>
      <c r="E892" s="360">
        <f t="shared" ca="1" si="386"/>
        <v>-3.6394445526049779</v>
      </c>
      <c r="F892" s="357">
        <f t="shared" ca="1" si="387"/>
        <v>3.7615479507210026</v>
      </c>
      <c r="G892" s="359">
        <f t="shared" ca="1" si="388"/>
        <v>23.454676956008921</v>
      </c>
      <c r="H892" s="360">
        <f t="shared" ca="1" si="389"/>
        <v>-153.22663765953072</v>
      </c>
      <c r="I892" s="357">
        <f t="shared" ca="1" si="390"/>
        <v>155.01136848488196</v>
      </c>
      <c r="J892" s="359">
        <f t="shared" ca="1" si="391"/>
        <v>1670.0323317940242</v>
      </c>
      <c r="K892" s="360">
        <f t="shared" ca="1" si="392"/>
        <v>854.94271712263912</v>
      </c>
      <c r="L892" s="357">
        <f t="shared" ca="1" si="377"/>
        <v>1876.1489916311089</v>
      </c>
      <c r="M892" s="359">
        <f t="shared" ca="1" si="393"/>
        <v>-1.4189035377856318</v>
      </c>
      <c r="N892" s="357">
        <f t="shared" ca="1" si="394"/>
        <v>-81.297184251298034</v>
      </c>
      <c r="O892" s="343"/>
      <c r="P892" s="363">
        <f t="shared" ca="1" si="395"/>
        <v>23</v>
      </c>
      <c r="Q892" s="357">
        <f t="shared" ca="1" si="396"/>
        <v>0</v>
      </c>
      <c r="R892" s="359">
        <f t="shared" ca="1" si="397"/>
        <v>0</v>
      </c>
      <c r="S892" s="360">
        <f t="shared" ca="1" si="398"/>
        <v>9.7379999999999765</v>
      </c>
      <c r="T892" s="357">
        <f t="shared" ca="1" si="378"/>
        <v>95.529779999999775</v>
      </c>
      <c r="U892" s="364">
        <f t="shared" ca="1" si="379"/>
        <v>0</v>
      </c>
      <c r="V892" s="359">
        <f t="shared" ca="1" si="380"/>
        <v>1.1245629148752965</v>
      </c>
      <c r="W892" s="357">
        <f t="shared" ca="1" si="381"/>
        <v>61.163238996379157</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3.4522655453062709</v>
      </c>
      <c r="AH892" s="357">
        <f t="shared" ca="1" si="405"/>
        <v>-6.243351733120897</v>
      </c>
    </row>
    <row r="893" spans="1:34" x14ac:dyDescent="0.25">
      <c r="A893" s="402">
        <f t="shared" ca="1" si="383"/>
        <v>0.1</v>
      </c>
      <c r="B893" s="357">
        <f t="shared" ca="1" si="384"/>
        <v>43.90000000000029</v>
      </c>
      <c r="C893" s="342"/>
      <c r="D893" s="359">
        <f t="shared" ca="1" si="385"/>
        <v>-0.95035663531027348</v>
      </c>
      <c r="E893" s="360">
        <f t="shared" ca="1" si="386"/>
        <v>-3.6014322128955456</v>
      </c>
      <c r="F893" s="357">
        <f t="shared" ca="1" si="387"/>
        <v>3.7247136424643399</v>
      </c>
      <c r="G893" s="359">
        <f t="shared" ca="1" si="388"/>
        <v>23.359641292477892</v>
      </c>
      <c r="H893" s="360">
        <f t="shared" ca="1" si="389"/>
        <v>-153.58678088082027</v>
      </c>
      <c r="I893" s="357">
        <f t="shared" ca="1" si="390"/>
        <v>155.35305630288173</v>
      </c>
      <c r="J893" s="359">
        <f t="shared" ca="1" si="391"/>
        <v>1672.3730477064485</v>
      </c>
      <c r="K893" s="360">
        <f t="shared" ca="1" si="392"/>
        <v>839.6020461956216</v>
      </c>
      <c r="L893" s="357">
        <f t="shared" ca="1" si="377"/>
        <v>1871.2998708573755</v>
      </c>
      <c r="M893" s="359">
        <f t="shared" ca="1" si="393"/>
        <v>-1.419859003653088</v>
      </c>
      <c r="N893" s="357">
        <f t="shared" ca="1" si="394"/>
        <v>-81.351928412972086</v>
      </c>
      <c r="O893" s="343"/>
      <c r="P893" s="363">
        <f t="shared" ca="1" si="395"/>
        <v>23</v>
      </c>
      <c r="Q893" s="357">
        <f t="shared" ca="1" si="396"/>
        <v>0</v>
      </c>
      <c r="R893" s="359">
        <f t="shared" ca="1" si="397"/>
        <v>0</v>
      </c>
      <c r="S893" s="360">
        <f t="shared" ca="1" si="398"/>
        <v>9.7379999999999765</v>
      </c>
      <c r="T893" s="357">
        <f t="shared" ca="1" si="378"/>
        <v>95.529779999999775</v>
      </c>
      <c r="U893" s="364">
        <f t="shared" ca="1" si="379"/>
        <v>0</v>
      </c>
      <c r="V893" s="359">
        <f t="shared" ca="1" si="380"/>
        <v>1.1262925002781043</v>
      </c>
      <c r="W893" s="357">
        <f t="shared" ca="1" si="381"/>
        <v>61.527662125411759</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3.4161690593561298</v>
      </c>
      <c r="AH893" s="357">
        <f t="shared" ca="1" si="405"/>
        <v>-6.280883035159099</v>
      </c>
    </row>
    <row r="894" spans="1:34" x14ac:dyDescent="0.25">
      <c r="A894" s="402">
        <f t="shared" ca="1" si="383"/>
        <v>0.1</v>
      </c>
      <c r="B894" s="357">
        <f t="shared" ca="1" si="384"/>
        <v>44.000000000000291</v>
      </c>
      <c r="C894" s="342"/>
      <c r="D894" s="359">
        <f t="shared" ca="1" si="385"/>
        <v>-0.95005120056451986</v>
      </c>
      <c r="E894" s="360">
        <f t="shared" ca="1" si="386"/>
        <v>-3.5635296993772831</v>
      </c>
      <c r="F894" s="357">
        <f t="shared" ca="1" si="387"/>
        <v>3.6879996206667425</v>
      </c>
      <c r="G894" s="359">
        <f t="shared" ca="1" si="388"/>
        <v>23.26463617242144</v>
      </c>
      <c r="H894" s="360">
        <f t="shared" ca="1" si="389"/>
        <v>-153.94313385075799</v>
      </c>
      <c r="I894" s="357">
        <f t="shared" ca="1" si="390"/>
        <v>155.69114218871775</v>
      </c>
      <c r="J894" s="359">
        <f t="shared" ca="1" si="391"/>
        <v>1674.7042615796934</v>
      </c>
      <c r="K894" s="360">
        <f t="shared" ca="1" si="392"/>
        <v>824.22555045904267</v>
      </c>
      <c r="L894" s="357">
        <f t="shared" ca="1" si="377"/>
        <v>1866.5428261314278</v>
      </c>
      <c r="M894" s="359">
        <f t="shared" ca="1" si="393"/>
        <v>-1.4208064432586434</v>
      </c>
      <c r="N894" s="357">
        <f t="shared" ca="1" si="394"/>
        <v>-81.406212703713933</v>
      </c>
      <c r="O894" s="343"/>
      <c r="P894" s="363">
        <f t="shared" ca="1" si="395"/>
        <v>23</v>
      </c>
      <c r="Q894" s="357">
        <f t="shared" ca="1" si="396"/>
        <v>0</v>
      </c>
      <c r="R894" s="359">
        <f t="shared" ca="1" si="397"/>
        <v>0</v>
      </c>
      <c r="S894" s="360">
        <f t="shared" ca="1" si="398"/>
        <v>9.7379999999999765</v>
      </c>
      <c r="T894" s="357">
        <f t="shared" ca="1" si="378"/>
        <v>95.529779999999775</v>
      </c>
      <c r="U894" s="364">
        <f t="shared" ca="1" si="379"/>
        <v>0</v>
      </c>
      <c r="V894" s="359">
        <f t="shared" ca="1" si="380"/>
        <v>1.1280286819679524</v>
      </c>
      <c r="W894" s="357">
        <f t="shared" ca="1" si="381"/>
        <v>61.8910099689069</v>
      </c>
      <c r="X894" s="343"/>
      <c r="Y894" s="367" t="str">
        <f t="shared" ca="1" si="399"/>
        <v/>
      </c>
      <c r="Z894" s="368" t="str">
        <f t="shared" ca="1" si="400"/>
        <v/>
      </c>
      <c r="AA894" s="369" t="str">
        <f t="shared" ca="1" si="401"/>
        <v/>
      </c>
      <c r="AB894" s="344"/>
      <c r="AC894" s="363">
        <f t="shared" ca="1" si="402"/>
        <v>44.000000000000291</v>
      </c>
      <c r="AD894" s="376">
        <f t="shared" ca="1" si="403"/>
        <v>1674.7042615796934</v>
      </c>
      <c r="AE894" s="377" t="e">
        <f t="shared" ca="1" si="382"/>
        <v>#N/A</v>
      </c>
      <c r="AF894" s="344"/>
      <c r="AG894" s="359">
        <f t="shared" ca="1" si="404"/>
        <v>3.380160084022358</v>
      </c>
      <c r="AH894" s="357">
        <f t="shared" ca="1" si="405"/>
        <v>-6.318305825160393</v>
      </c>
    </row>
    <row r="895" spans="1:34" x14ac:dyDescent="0.25">
      <c r="A895" s="402">
        <f t="shared" ca="1" si="383"/>
        <v>0.1</v>
      </c>
      <c r="B895" s="357">
        <f t="shared" ca="1" si="384"/>
        <v>44.100000000000293</v>
      </c>
      <c r="C895" s="342"/>
      <c r="D895" s="359">
        <f t="shared" ca="1" si="385"/>
        <v>-0.94970813911054841</v>
      </c>
      <c r="E895" s="360">
        <f t="shared" ca="1" si="386"/>
        <v>-3.5257389397922161</v>
      </c>
      <c r="F895" s="357">
        <f t="shared" ca="1" si="387"/>
        <v>3.6514080326717746</v>
      </c>
      <c r="G895" s="359">
        <f t="shared" ca="1" si="388"/>
        <v>23.169665358510386</v>
      </c>
      <c r="H895" s="360">
        <f t="shared" ca="1" si="389"/>
        <v>-154.2957077447372</v>
      </c>
      <c r="I895" s="357">
        <f t="shared" ca="1" si="390"/>
        <v>156.02563514139177</v>
      </c>
      <c r="J895" s="359">
        <f t="shared" ca="1" si="391"/>
        <v>1677.0259766562399</v>
      </c>
      <c r="K895" s="360">
        <f t="shared" ca="1" si="392"/>
        <v>808.81360837926786</v>
      </c>
      <c r="L895" s="357">
        <f t="shared" ca="1" si="377"/>
        <v>1861.8795824325769</v>
      </c>
      <c r="M895" s="359">
        <f t="shared" ca="1" si="393"/>
        <v>-1.4217459620535486</v>
      </c>
      <c r="N895" s="357">
        <f t="shared" ca="1" si="394"/>
        <v>-81.460043165435224</v>
      </c>
      <c r="O895" s="343"/>
      <c r="P895" s="363">
        <f t="shared" ca="1" si="395"/>
        <v>23</v>
      </c>
      <c r="Q895" s="357">
        <f t="shared" ca="1" si="396"/>
        <v>0</v>
      </c>
      <c r="R895" s="359">
        <f t="shared" ca="1" si="397"/>
        <v>0</v>
      </c>
      <c r="S895" s="360">
        <f t="shared" ca="1" si="398"/>
        <v>9.7379999999999765</v>
      </c>
      <c r="T895" s="357">
        <f t="shared" ca="1" si="378"/>
        <v>95.529779999999775</v>
      </c>
      <c r="U895" s="364">
        <f t="shared" ca="1" si="379"/>
        <v>0</v>
      </c>
      <c r="V895" s="359">
        <f t="shared" ca="1" si="380"/>
        <v>1.1297714407066792</v>
      </c>
      <c r="W895" s="357">
        <f t="shared" ca="1" si="381"/>
        <v>62.253264203436657</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3.3442409111094502</v>
      </c>
      <c r="AH895" s="357">
        <f t="shared" ca="1" si="405"/>
        <v>-6.3556181935620302</v>
      </c>
    </row>
    <row r="896" spans="1:34" x14ac:dyDescent="0.25">
      <c r="A896" s="402">
        <f t="shared" ca="1" si="383"/>
        <v>0.1</v>
      </c>
      <c r="B896" s="357">
        <f t="shared" ca="1" si="384"/>
        <v>44.200000000000294</v>
      </c>
      <c r="C896" s="342"/>
      <c r="D896" s="359">
        <f t="shared" ca="1" si="385"/>
        <v>-0.94932771539844296</v>
      </c>
      <c r="E896" s="360">
        <f t="shared" ca="1" si="386"/>
        <v>-3.4880618337547507</v>
      </c>
      <c r="F896" s="357">
        <f t="shared" ca="1" si="387"/>
        <v>3.6149410046804609</v>
      </c>
      <c r="G896" s="359">
        <f t="shared" ca="1" si="388"/>
        <v>23.074732586970541</v>
      </c>
      <c r="H896" s="360">
        <f t="shared" ca="1" si="389"/>
        <v>-154.64451392811267</v>
      </c>
      <c r="I896" s="357">
        <f t="shared" ca="1" si="390"/>
        <v>156.35654438501265</v>
      </c>
      <c r="J896" s="359">
        <f t="shared" ca="1" si="391"/>
        <v>1679.3381965535139</v>
      </c>
      <c r="K896" s="360">
        <f t="shared" ca="1" si="392"/>
        <v>793.36659729562541</v>
      </c>
      <c r="L896" s="357">
        <f t="shared" ca="1" si="377"/>
        <v>1857.3118575263679</v>
      </c>
      <c r="M896" s="359">
        <f t="shared" ca="1" si="393"/>
        <v>-1.4226776635837264</v>
      </c>
      <c r="N896" s="357">
        <f t="shared" ca="1" si="394"/>
        <v>-81.5134257308803</v>
      </c>
      <c r="O896" s="343"/>
      <c r="P896" s="363">
        <f t="shared" ca="1" si="395"/>
        <v>23</v>
      </c>
      <c r="Q896" s="357">
        <f t="shared" ca="1" si="396"/>
        <v>0</v>
      </c>
      <c r="R896" s="359">
        <f t="shared" ca="1" si="397"/>
        <v>0</v>
      </c>
      <c r="S896" s="360">
        <f t="shared" ca="1" si="398"/>
        <v>9.7379999999999765</v>
      </c>
      <c r="T896" s="357">
        <f t="shared" ca="1" si="378"/>
        <v>95.529779999999775</v>
      </c>
      <c r="U896" s="364">
        <f t="shared" ca="1" si="379"/>
        <v>0</v>
      </c>
      <c r="V896" s="359">
        <f t="shared" ca="1" si="380"/>
        <v>1.1315207572675083</v>
      </c>
      <c r="W896" s="357">
        <f t="shared" ca="1" si="381"/>
        <v>62.614406778066396</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3.3084137958962412</v>
      </c>
      <c r="AH896" s="357">
        <f t="shared" ca="1" si="405"/>
        <v>-6.3928182587222029</v>
      </c>
    </row>
    <row r="897" spans="1:34" x14ac:dyDescent="0.25">
      <c r="A897" s="402">
        <f t="shared" ca="1" si="383"/>
        <v>0.1</v>
      </c>
      <c r="B897" s="357">
        <f t="shared" ca="1" si="384"/>
        <v>44.300000000000296</v>
      </c>
      <c r="C897" s="342"/>
      <c r="D897" s="359">
        <f t="shared" ca="1" si="385"/>
        <v>-0.94891019622181494</v>
      </c>
      <c r="E897" s="360">
        <f t="shared" ca="1" si="386"/>
        <v>-3.4505002526870676</v>
      </c>
      <c r="F897" s="357">
        <f t="shared" ca="1" si="387"/>
        <v>3.5786006419111982</v>
      </c>
      <c r="G897" s="359">
        <f t="shared" ca="1" si="388"/>
        <v>22.979841567348359</v>
      </c>
      <c r="H897" s="360">
        <f t="shared" ca="1" si="389"/>
        <v>-154.98956395338138</v>
      </c>
      <c r="I897" s="357">
        <f t="shared" ca="1" si="390"/>
        <v>156.68387936517186</v>
      </c>
      <c r="J897" s="359">
        <f t="shared" ca="1" si="391"/>
        <v>1681.6409252612298</v>
      </c>
      <c r="K897" s="360">
        <f t="shared" ca="1" si="392"/>
        <v>777.8848934015507</v>
      </c>
      <c r="L897" s="357">
        <f t="shared" ca="1" si="377"/>
        <v>1852.8413609631525</v>
      </c>
      <c r="M897" s="359">
        <f t="shared" ca="1" si="393"/>
        <v>-1.4236016495316994</v>
      </c>
      <c r="N897" s="357">
        <f t="shared" ca="1" si="394"/>
        <v>-81.566366226028549</v>
      </c>
      <c r="O897" s="343"/>
      <c r="P897" s="363">
        <f t="shared" ca="1" si="395"/>
        <v>23</v>
      </c>
      <c r="Q897" s="357">
        <f t="shared" ca="1" si="396"/>
        <v>0</v>
      </c>
      <c r="R897" s="359">
        <f t="shared" ca="1" si="397"/>
        <v>0</v>
      </c>
      <c r="S897" s="360">
        <f t="shared" ca="1" si="398"/>
        <v>9.7379999999999765</v>
      </c>
      <c r="T897" s="357">
        <f t="shared" ca="1" si="378"/>
        <v>95.529779999999775</v>
      </c>
      <c r="U897" s="364">
        <f t="shared" ca="1" si="379"/>
        <v>0</v>
      </c>
      <c r="V897" s="359">
        <f t="shared" ca="1" si="380"/>
        <v>1.1332766124361853</v>
      </c>
      <c r="W897" s="357">
        <f t="shared" ca="1" si="381"/>
        <v>62.9744199148913</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3.2726809573044129</v>
      </c>
      <c r="AH897" s="357">
        <f t="shared" ca="1" si="405"/>
        <v>-6.4299041669815722</v>
      </c>
    </row>
    <row r="898" spans="1:34" x14ac:dyDescent="0.25">
      <c r="A898" s="402">
        <f t="shared" ca="1" si="383"/>
        <v>0.1</v>
      </c>
      <c r="B898" s="357">
        <f t="shared" ca="1" si="384"/>
        <v>44.400000000000297</v>
      </c>
      <c r="C898" s="342"/>
      <c r="D898" s="359">
        <f t="shared" ca="1" si="385"/>
        <v>-0.94845585065141469</v>
      </c>
      <c r="E898" s="360">
        <f t="shared" ca="1" si="386"/>
        <v>-3.4130560397610887</v>
      </c>
      <c r="F898" s="357">
        <f t="shared" ca="1" si="387"/>
        <v>3.5423890287748669</v>
      </c>
      <c r="G898" s="359">
        <f t="shared" ca="1" si="388"/>
        <v>22.884995982283218</v>
      </c>
      <c r="H898" s="360">
        <f t="shared" ca="1" si="389"/>
        <v>-155.33086955735749</v>
      </c>
      <c r="I898" s="357">
        <f t="shared" ca="1" si="390"/>
        <v>157.00764974533541</v>
      </c>
      <c r="J898" s="359">
        <f t="shared" ca="1" si="391"/>
        <v>1683.9341671387112</v>
      </c>
      <c r="K898" s="360">
        <f t="shared" ca="1" si="392"/>
        <v>762.36887172601371</v>
      </c>
      <c r="L898" s="357">
        <f t="shared" ca="1" si="377"/>
        <v>1848.4697930542279</v>
      </c>
      <c r="M898" s="359">
        <f t="shared" ca="1" si="393"/>
        <v>-1.4245180197574365</v>
      </c>
      <c r="N898" s="357">
        <f t="shared" ca="1" si="394"/>
        <v>-81.618870372434728</v>
      </c>
      <c r="O898" s="343"/>
      <c r="P898" s="363">
        <f t="shared" ca="1" si="395"/>
        <v>23</v>
      </c>
      <c r="Q898" s="357">
        <f t="shared" ca="1" si="396"/>
        <v>0</v>
      </c>
      <c r="R898" s="359">
        <f t="shared" ca="1" si="397"/>
        <v>0</v>
      </c>
      <c r="S898" s="360">
        <f t="shared" ca="1" si="398"/>
        <v>9.7379999999999765</v>
      </c>
      <c r="T898" s="357">
        <f t="shared" ca="1" si="378"/>
        <v>95.529779999999775</v>
      </c>
      <c r="U898" s="364">
        <f t="shared" ca="1" si="379"/>
        <v>0</v>
      </c>
      <c r="V898" s="359">
        <f t="shared" ca="1" si="380"/>
        <v>1.1350389870121089</v>
      </c>
      <c r="W898" s="357">
        <f t="shared" ca="1" si="381"/>
        <v>63.333286109509977</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3.2370445780663504</v>
      </c>
      <c r="AH898" s="357">
        <f t="shared" ca="1" si="405"/>
        <v>-6.4668740927183661</v>
      </c>
    </row>
    <row r="899" spans="1:34" x14ac:dyDescent="0.25">
      <c r="A899" s="402">
        <f t="shared" ca="1" si="383"/>
        <v>0.1</v>
      </c>
      <c r="B899" s="357">
        <f t="shared" ca="1" si="384"/>
        <v>44.500000000000298</v>
      </c>
      <c r="C899" s="342"/>
      <c r="D899" s="359">
        <f t="shared" ca="1" si="385"/>
        <v>-0.94796494996899017</v>
      </c>
      <c r="E899" s="360">
        <f t="shared" ca="1" si="386"/>
        <v>-3.3757310098470343</v>
      </c>
      <c r="F899" s="357">
        <f t="shared" ca="1" si="387"/>
        <v>3.5063082290655205</v>
      </c>
      <c r="G899" s="359">
        <f t="shared" ca="1" si="388"/>
        <v>22.790199487286319</v>
      </c>
      <c r="H899" s="360">
        <f t="shared" ca="1" si="389"/>
        <v>-155.6684426583422</v>
      </c>
      <c r="I899" s="357">
        <f t="shared" ca="1" si="390"/>
        <v>157.32786540325233</v>
      </c>
      <c r="J899" s="359">
        <f t="shared" ca="1" si="391"/>
        <v>1686.2179269121898</v>
      </c>
      <c r="K899" s="360">
        <f t="shared" ca="1" si="392"/>
        <v>746.81890611522874</v>
      </c>
      <c r="L899" s="357">
        <f t="shared" ca="1" si="377"/>
        <v>1844.1988438265516</v>
      </c>
      <c r="M899" s="359">
        <f t="shared" ca="1" si="393"/>
        <v>-1.4254268723381445</v>
      </c>
      <c r="N899" s="357">
        <f t="shared" ca="1" si="394"/>
        <v>-81.670943789508868</v>
      </c>
      <c r="O899" s="343"/>
      <c r="P899" s="363">
        <f t="shared" ca="1" si="395"/>
        <v>23</v>
      </c>
      <c r="Q899" s="357">
        <f t="shared" ca="1" si="396"/>
        <v>0</v>
      </c>
      <c r="R899" s="359">
        <f t="shared" ca="1" si="397"/>
        <v>0</v>
      </c>
      <c r="S899" s="360">
        <f t="shared" ca="1" si="398"/>
        <v>9.7379999999999765</v>
      </c>
      <c r="T899" s="357">
        <f t="shared" ca="1" si="378"/>
        <v>95.529779999999775</v>
      </c>
      <c r="U899" s="364">
        <f t="shared" ca="1" si="379"/>
        <v>0</v>
      </c>
      <c r="V899" s="359">
        <f t="shared" ca="1" si="380"/>
        <v>1.1368078618094557</v>
      </c>
      <c r="W899" s="357">
        <f t="shared" ca="1" si="381"/>
        <v>63.69098813143588</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3.2015068048926363</v>
      </c>
      <c r="AH899" s="357">
        <f t="shared" ca="1" si="405"/>
        <v>-6.5037262383970145</v>
      </c>
    </row>
    <row r="900" spans="1:34" x14ac:dyDescent="0.25">
      <c r="A900" s="402">
        <f t="shared" ca="1" si="383"/>
        <v>0.1</v>
      </c>
      <c r="B900" s="357">
        <f t="shared" ca="1" si="384"/>
        <v>44.6000000000003</v>
      </c>
      <c r="C900" s="342"/>
      <c r="D900" s="359">
        <f t="shared" ca="1" si="385"/>
        <v>-0.94743776760142673</v>
      </c>
      <c r="E900" s="360">
        <f t="shared" ca="1" si="386"/>
        <v>-3.3385269494684913</v>
      </c>
      <c r="F900" s="357">
        <f t="shared" ca="1" si="387"/>
        <v>3.4703602861669802</v>
      </c>
      <c r="G900" s="359">
        <f t="shared" ca="1" si="388"/>
        <v>22.695455710526176</v>
      </c>
      <c r="H900" s="360">
        <f t="shared" ca="1" si="389"/>
        <v>-156.00229535328904</v>
      </c>
      <c r="I900" s="357">
        <f t="shared" ca="1" si="390"/>
        <v>157.64453642737919</v>
      </c>
      <c r="J900" s="359">
        <f t="shared" ca="1" si="391"/>
        <v>1688.4922096720804</v>
      </c>
      <c r="K900" s="360">
        <f t="shared" ca="1" si="392"/>
        <v>731.23536921464722</v>
      </c>
      <c r="L900" s="357">
        <f t="shared" ref="L900:L963" ca="1" si="406">SQRT(pos_x^2+pos_z^2)</f>
        <v>1840.0301919571284</v>
      </c>
      <c r="M900" s="359">
        <f t="shared" ca="1" si="393"/>
        <v>-1.4263283036070398</v>
      </c>
      <c r="N900" s="357">
        <f t="shared" ca="1" si="394"/>
        <v>-81.722591996737691</v>
      </c>
      <c r="O900" s="343"/>
      <c r="P900" s="363">
        <f t="shared" ca="1" si="395"/>
        <v>23</v>
      </c>
      <c r="Q900" s="357">
        <f t="shared" ca="1" si="396"/>
        <v>0</v>
      </c>
      <c r="R900" s="359">
        <f t="shared" ca="1" si="397"/>
        <v>0</v>
      </c>
      <c r="S900" s="360">
        <f t="shared" ca="1" si="398"/>
        <v>9.7379999999999765</v>
      </c>
      <c r="T900" s="357">
        <f t="shared" ref="T900:T963" ca="1" si="407">m*g</f>
        <v>95.529779999999775</v>
      </c>
      <c r="U900" s="364">
        <f t="shared" ref="U900:U963" ca="1" si="408">IF(pos_xz&lt;L_rampe,Poids*COS(Beta),0)</f>
        <v>0</v>
      </c>
      <c r="V900" s="359">
        <f t="shared" ref="V900:V963" ca="1" si="409">Rho_moyen*(20000-Alt_rampe-pos_z)/(20000+Alt_rampe+pos_z)</f>
        <v>1.1385832176583046</v>
      </c>
      <c r="W900" s="357">
        <f t="shared" ref="W900:W963" ca="1" si="410">1/2*Rho*Sref*Cx*vit_xz^2</f>
        <v>64.047509024446981</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3.1660697486393481</v>
      </c>
      <c r="AH900" s="357">
        <f t="shared" ca="1" si="405"/>
        <v>-6.540458834610396</v>
      </c>
    </row>
    <row r="901" spans="1:34" x14ac:dyDescent="0.25">
      <c r="A901" s="402">
        <f t="shared" ref="A901:A964" ca="1" si="412">IF(B900+0.01&lt;=T_ini+ROUNDUP(Temps_fin_propu,0), 0.01, IF(K900&gt;0, 0.1, 0.0001))</f>
        <v>0.1</v>
      </c>
      <c r="B901" s="357">
        <f t="shared" ref="B901:B964" ca="1" si="413">B900+pas</f>
        <v>44.700000000000301</v>
      </c>
      <c r="C901" s="342"/>
      <c r="D901" s="359">
        <f t="shared" ref="D901:D964" ca="1" si="414">IF(AND(L900&lt;L_rampe,Poussee&lt;Poids*SIN(M900)),0,(-W900+Poussee)/m*COS(M900)-U900/m*SIN(M900))</f>
        <v>-0.94687457905516381</v>
      </c>
      <c r="E901" s="360">
        <f t="shared" ref="E901:E964" ca="1" si="415">IF(AND(L900&lt;L_rampe,Poussee&lt;Poids*SIN(M900)),0,(-W900+Poussee)/m*SIN(M900)+U900/m*COS(M900)-Poids/m)</f>
        <v>-3.301445616763945</v>
      </c>
      <c r="F901" s="357">
        <f t="shared" ref="F901:F964" ca="1" si="416">SQRT(acc_x^2+acc_z^2)</f>
        <v>3.4345472232756906</v>
      </c>
      <c r="G901" s="359">
        <f t="shared" ref="G901:G964" ca="1" si="417">G900+acc_x*pas</f>
        <v>22.600768252620661</v>
      </c>
      <c r="H901" s="360">
        <f t="shared" ref="H901:H964" ca="1" si="418">H900+acc_z*pas</f>
        <v>-156.33243991496545</v>
      </c>
      <c r="I901" s="357">
        <f t="shared" ref="I901:I964" ca="1" si="419">SQRT(vit_x^2+vit_z^2)</f>
        <v>157.95767311332156</v>
      </c>
      <c r="J901" s="359">
        <f t="shared" ref="J901:J964" ca="1" si="420">J900+0.5*(vit_x+G900)*pas*(K900&gt;=0)</f>
        <v>1690.7570208702377</v>
      </c>
      <c r="K901" s="360">
        <f t="shared" ref="K901:K964" ca="1" si="421">K900+0.5*(vit_z+H900)*pas</f>
        <v>715.61863245123448</v>
      </c>
      <c r="L901" s="357">
        <f t="shared" ca="1" si="406"/>
        <v>1835.9655036882846</v>
      </c>
      <c r="M901" s="359">
        <f t="shared" ref="M901:M964" ca="1" si="422">IF(AND(L900&gt;L_rampe,G901&gt;0),ATAN2(G901,H901),$M$4)</f>
        <v>-1.4272224081911293</v>
      </c>
      <c r="N901" s="357">
        <f t="shared" ref="N901:N964" ca="1" si="423">DEGREES(Beta)</f>
        <v>-81.773820415849329</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9.7379999999999765</v>
      </c>
      <c r="T901" s="357">
        <f t="shared" ca="1" si="407"/>
        <v>95.529779999999775</v>
      </c>
      <c r="U901" s="364">
        <f t="shared" ca="1" si="408"/>
        <v>0</v>
      </c>
      <c r="V901" s="359">
        <f t="shared" ca="1" si="409"/>
        <v>1.1403650354057486</v>
      </c>
      <c r="W901" s="357">
        <f t="shared" ca="1" si="410"/>
        <v>64.402832106873888</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3.130735484475335</v>
      </c>
      <c r="AH901" s="357">
        <f t="shared" ref="AH901:AH964" ca="1" si="434">IF(AND(L900&lt;L_rampe,Poussee&lt;Poids*SIN(M900)), g*SIN(M900), (-W900+Poussee)/m)</f>
        <v>-6.5770701401157465</v>
      </c>
    </row>
    <row r="902" spans="1:34" x14ac:dyDescent="0.25">
      <c r="A902" s="402">
        <f t="shared" ca="1" si="412"/>
        <v>0.1</v>
      </c>
      <c r="B902" s="357">
        <f t="shared" ca="1" si="413"/>
        <v>44.800000000000303</v>
      </c>
      <c r="C902" s="342"/>
      <c r="D902" s="359">
        <f t="shared" ca="1" si="414"/>
        <v>-0.94627566185090239</v>
      </c>
      <c r="E902" s="360">
        <f t="shared" ca="1" si="415"/>
        <v>-3.2644887414547608</v>
      </c>
      <c r="F902" s="357">
        <f t="shared" ca="1" si="416"/>
        <v>3.3988710436402632</v>
      </c>
      <c r="G902" s="359">
        <f t="shared" ca="1" si="417"/>
        <v>22.506140686435572</v>
      </c>
      <c r="H902" s="360">
        <f t="shared" ca="1" si="418"/>
        <v>-156.65888878911093</v>
      </c>
      <c r="I902" s="357">
        <f t="shared" ca="1" si="419"/>
        <v>158.26728596029142</v>
      </c>
      <c r="J902" s="359">
        <f t="shared" ca="1" si="420"/>
        <v>1693.0123663171905</v>
      </c>
      <c r="K902" s="360">
        <f t="shared" ca="1" si="421"/>
        <v>699.96906601603064</v>
      </c>
      <c r="L902" s="357">
        <f t="shared" ca="1" si="406"/>
        <v>1832.006431725142</v>
      </c>
      <c r="M902" s="359">
        <f t="shared" ca="1" si="422"/>
        <v>-1.428109279048029</v>
      </c>
      <c r="N902" s="357">
        <f t="shared" ca="1" si="423"/>
        <v>-81.82463437292283</v>
      </c>
      <c r="O902" s="343"/>
      <c r="P902" s="363">
        <f t="shared" ca="1" si="424"/>
        <v>23</v>
      </c>
      <c r="Q902" s="357">
        <f t="shared" ca="1" si="425"/>
        <v>0</v>
      </c>
      <c r="R902" s="359">
        <f t="shared" ca="1" si="426"/>
        <v>0</v>
      </c>
      <c r="S902" s="360">
        <f t="shared" ca="1" si="427"/>
        <v>9.7379999999999765</v>
      </c>
      <c r="T902" s="357">
        <f t="shared" ca="1" si="407"/>
        <v>95.529779999999775</v>
      </c>
      <c r="U902" s="364">
        <f t="shared" ca="1" si="408"/>
        <v>0</v>
      </c>
      <c r="V902" s="359">
        <f t="shared" ca="1" si="409"/>
        <v>1.1421532959170102</v>
      </c>
      <c r="W902" s="357">
        <f t="shared" ca="1" si="410"/>
        <v>64.756940971827319</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3.095506052049668</v>
      </c>
      <c r="AH902" s="357">
        <f t="shared" ca="1" si="434"/>
        <v>-6.6135584418642477</v>
      </c>
    </row>
    <row r="903" spans="1:34" x14ac:dyDescent="0.25">
      <c r="A903" s="402">
        <f t="shared" ca="1" si="412"/>
        <v>0.1</v>
      </c>
      <c r="B903" s="357">
        <f t="shared" ca="1" si="413"/>
        <v>44.900000000000304</v>
      </c>
      <c r="C903" s="342"/>
      <c r="D903" s="359">
        <f t="shared" ca="1" si="414"/>
        <v>-0.94564129545861897</v>
      </c>
      <c r="E903" s="360">
        <f t="shared" ca="1" si="415"/>
        <v>-3.2276580248195019</v>
      </c>
      <c r="F903" s="357">
        <f t="shared" ca="1" si="416"/>
        <v>3.363333730818038</v>
      </c>
      <c r="G903" s="359">
        <f t="shared" ca="1" si="417"/>
        <v>22.41157655688971</v>
      </c>
      <c r="H903" s="360">
        <f t="shared" ca="1" si="418"/>
        <v>-156.98165459159287</v>
      </c>
      <c r="I903" s="357">
        <f t="shared" ca="1" si="419"/>
        <v>158.57338566758136</v>
      </c>
      <c r="J903" s="359">
        <f t="shared" ca="1" si="420"/>
        <v>1695.2582521793568</v>
      </c>
      <c r="K903" s="360">
        <f t="shared" ca="1" si="421"/>
        <v>684.28703884699542</v>
      </c>
      <c r="L903" s="357">
        <f t="shared" ca="1" si="406"/>
        <v>1828.1546141167046</v>
      </c>
      <c r="M903" s="359">
        <f t="shared" ca="1" si="422"/>
        <v>-1.4289890075018485</v>
      </c>
      <c r="N903" s="357">
        <f t="shared" ca="1" si="423"/>
        <v>-81.875039100444255</v>
      </c>
      <c r="O903" s="343"/>
      <c r="P903" s="363">
        <f t="shared" ca="1" si="424"/>
        <v>23</v>
      </c>
      <c r="Q903" s="357">
        <f t="shared" ca="1" si="425"/>
        <v>0</v>
      </c>
      <c r="R903" s="359">
        <f t="shared" ca="1" si="426"/>
        <v>0</v>
      </c>
      <c r="S903" s="360">
        <f t="shared" ca="1" si="427"/>
        <v>9.7379999999999765</v>
      </c>
      <c r="T903" s="357">
        <f t="shared" ca="1" si="407"/>
        <v>95.529779999999775</v>
      </c>
      <c r="U903" s="364">
        <f t="shared" ca="1" si="408"/>
        <v>0</v>
      </c>
      <c r="V903" s="359">
        <f t="shared" ca="1" si="409"/>
        <v>1.1439479800765424</v>
      </c>
      <c r="W903" s="357">
        <f t="shared" ca="1" si="410"/>
        <v>65.109819487364845</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3.0603834556593608</v>
      </c>
      <c r="AH903" s="357">
        <f t="shared" ca="1" si="434"/>
        <v>-6.6499220550243869</v>
      </c>
    </row>
    <row r="904" spans="1:34" x14ac:dyDescent="0.25">
      <c r="A904" s="402">
        <f t="shared" ca="1" si="412"/>
        <v>0.1</v>
      </c>
      <c r="B904" s="357">
        <f t="shared" ca="1" si="413"/>
        <v>45.000000000000306</v>
      </c>
      <c r="C904" s="342"/>
      <c r="D904" s="359">
        <f t="shared" ca="1" si="414"/>
        <v>-0.94497176123288418</v>
      </c>
      <c r="E904" s="360">
        <f t="shared" ca="1" si="415"/>
        <v>-3.1909551396746165</v>
      </c>
      <c r="F904" s="357">
        <f t="shared" ca="1" si="416"/>
        <v>3.327937248949179</v>
      </c>
      <c r="G904" s="359">
        <f t="shared" ca="1" si="417"/>
        <v>22.317079380766423</v>
      </c>
      <c r="H904" s="360">
        <f t="shared" ca="1" si="418"/>
        <v>-157.30075010556033</v>
      </c>
      <c r="I904" s="357">
        <f t="shared" ca="1" si="419"/>
        <v>158.87598313105531</v>
      </c>
      <c r="J904" s="359">
        <f t="shared" ca="1" si="420"/>
        <v>1697.4946849762396</v>
      </c>
      <c r="K904" s="360">
        <f t="shared" ca="1" si="421"/>
        <v>668.57291861213776</v>
      </c>
      <c r="L904" s="357">
        <f t="shared" ca="1" si="406"/>
        <v>1824.4116731220877</v>
      </c>
      <c r="M904" s="359">
        <f t="shared" ca="1" si="422"/>
        <v>-1.4298616832781701</v>
      </c>
      <c r="N904" s="357">
        <f t="shared" ca="1" si="423"/>
        <v>-81.925039739310776</v>
      </c>
      <c r="O904" s="343"/>
      <c r="P904" s="363">
        <f t="shared" ca="1" si="424"/>
        <v>23</v>
      </c>
      <c r="Q904" s="357">
        <f t="shared" ca="1" si="425"/>
        <v>0</v>
      </c>
      <c r="R904" s="359">
        <f t="shared" ca="1" si="426"/>
        <v>0</v>
      </c>
      <c r="S904" s="360">
        <f t="shared" ca="1" si="427"/>
        <v>9.7379999999999765</v>
      </c>
      <c r="T904" s="357">
        <f t="shared" ca="1" si="407"/>
        <v>95.529779999999775</v>
      </c>
      <c r="U904" s="364">
        <f t="shared" ca="1" si="408"/>
        <v>0</v>
      </c>
      <c r="V904" s="359">
        <f t="shared" ca="1" si="409"/>
        <v>1.1457490687891321</v>
      </c>
      <c r="W904" s="357">
        <f t="shared" ca="1" si="410"/>
        <v>65.461451796598055</v>
      </c>
      <c r="X904" s="343"/>
      <c r="Y904" s="367" t="str">
        <f t="shared" ca="1" si="428"/>
        <v/>
      </c>
      <c r="Z904" s="368" t="str">
        <f t="shared" ca="1" si="429"/>
        <v/>
      </c>
      <c r="AA904" s="369" t="str">
        <f t="shared" ca="1" si="430"/>
        <v/>
      </c>
      <c r="AB904" s="344"/>
      <c r="AC904" s="363">
        <f t="shared" ca="1" si="431"/>
        <v>45.000000000000306</v>
      </c>
      <c r="AD904" s="376">
        <f t="shared" ca="1" si="432"/>
        <v>1697.4946849762396</v>
      </c>
      <c r="AE904" s="377" t="e">
        <f t="shared" ca="1" si="411"/>
        <v>#N/A</v>
      </c>
      <c r="AF904" s="344"/>
      <c r="AG904" s="359">
        <f t="shared" ca="1" si="433"/>
        <v>3.0253696644176351</v>
      </c>
      <c r="AH904" s="357">
        <f t="shared" ca="1" si="434"/>
        <v>-6.6861593229990763</v>
      </c>
    </row>
    <row r="905" spans="1:34" x14ac:dyDescent="0.25">
      <c r="A905" s="402">
        <f t="shared" ca="1" si="412"/>
        <v>0.1</v>
      </c>
      <c r="B905" s="357">
        <f t="shared" ca="1" si="413"/>
        <v>45.100000000000307</v>
      </c>
      <c r="C905" s="342"/>
      <c r="D905" s="359">
        <f t="shared" ca="1" si="414"/>
        <v>-0.94426734234851406</v>
      </c>
      <c r="E905" s="360">
        <f t="shared" ca="1" si="415"/>
        <v>-3.1543817303613428</v>
      </c>
      <c r="F905" s="357">
        <f t="shared" ca="1" si="416"/>
        <v>3.2926835430486401</v>
      </c>
      <c r="G905" s="359">
        <f t="shared" ca="1" si="417"/>
        <v>22.222652646531571</v>
      </c>
      <c r="H905" s="360">
        <f t="shared" ca="1" si="418"/>
        <v>-157.61618827859647</v>
      </c>
      <c r="I905" s="357">
        <f t="shared" ca="1" si="419"/>
        <v>159.17508943965564</v>
      </c>
      <c r="J905" s="359">
        <f t="shared" ca="1" si="420"/>
        <v>1699.7216715776044</v>
      </c>
      <c r="K905" s="360">
        <f t="shared" ca="1" si="421"/>
        <v>652.82707169292996</v>
      </c>
      <c r="L905" s="357">
        <f t="shared" ca="1" si="406"/>
        <v>1820.7792140635097</v>
      </c>
      <c r="M905" s="359">
        <f t="shared" ca="1" si="422"/>
        <v>-1.4307273945381458</v>
      </c>
      <c r="N905" s="357">
        <f t="shared" ca="1" si="423"/>
        <v>-81.974641340784345</v>
      </c>
      <c r="O905" s="343"/>
      <c r="P905" s="363">
        <f t="shared" ca="1" si="424"/>
        <v>23</v>
      </c>
      <c r="Q905" s="357">
        <f t="shared" ca="1" si="425"/>
        <v>0</v>
      </c>
      <c r="R905" s="359">
        <f t="shared" ca="1" si="426"/>
        <v>0</v>
      </c>
      <c r="S905" s="360">
        <f t="shared" ca="1" si="427"/>
        <v>9.7379999999999765</v>
      </c>
      <c r="T905" s="357">
        <f t="shared" ca="1" si="407"/>
        <v>95.529779999999775</v>
      </c>
      <c r="U905" s="364">
        <f t="shared" ca="1" si="408"/>
        <v>0</v>
      </c>
      <c r="V905" s="359">
        <f t="shared" ca="1" si="409"/>
        <v>1.1475565429809911</v>
      </c>
      <c r="W905" s="357">
        <f t="shared" ca="1" si="410"/>
        <v>65.811822317739981</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2.990466612422729</v>
      </c>
      <c r="AH905" s="357">
        <f t="shared" ca="1" si="434"/>
        <v>-6.7222686174366615</v>
      </c>
    </row>
    <row r="906" spans="1:34" x14ac:dyDescent="0.25">
      <c r="A906" s="402">
        <f t="shared" ca="1" si="412"/>
        <v>0.1</v>
      </c>
      <c r="B906" s="357">
        <f t="shared" ca="1" si="413"/>
        <v>45.200000000000308</v>
      </c>
      <c r="C906" s="342"/>
      <c r="D906" s="359">
        <f t="shared" ca="1" si="414"/>
        <v>-0.9435283237365466</v>
      </c>
      <c r="E906" s="360">
        <f t="shared" ca="1" si="415"/>
        <v>-3.1179394127388731</v>
      </c>
      <c r="F906" s="357">
        <f t="shared" ca="1" si="416"/>
        <v>3.2575745393165643</v>
      </c>
      <c r="G906" s="359">
        <f t="shared" ca="1" si="417"/>
        <v>22.128299814157916</v>
      </c>
      <c r="H906" s="360">
        <f t="shared" ca="1" si="418"/>
        <v>-157.92798221987036</v>
      </c>
      <c r="I906" s="357">
        <f t="shared" ca="1" si="419"/>
        <v>159.47071587192724</v>
      </c>
      <c r="J906" s="359">
        <f t="shared" ca="1" si="420"/>
        <v>1701.9392192006389</v>
      </c>
      <c r="K906" s="360">
        <f t="shared" ca="1" si="421"/>
        <v>637.0498631680066</v>
      </c>
      <c r="L906" s="357">
        <f t="shared" ca="1" si="406"/>
        <v>1817.2588241677784</v>
      </c>
      <c r="M906" s="359">
        <f t="shared" ca="1" si="422"/>
        <v>-1.4315862279117417</v>
      </c>
      <c r="N906" s="357">
        <f t="shared" ca="1" si="423"/>
        <v>-82.023848868396371</v>
      </c>
      <c r="O906" s="343"/>
      <c r="P906" s="363">
        <f t="shared" ca="1" si="424"/>
        <v>23</v>
      </c>
      <c r="Q906" s="357">
        <f t="shared" ca="1" si="425"/>
        <v>0</v>
      </c>
      <c r="R906" s="359">
        <f t="shared" ca="1" si="426"/>
        <v>0</v>
      </c>
      <c r="S906" s="360">
        <f t="shared" ca="1" si="427"/>
        <v>9.7379999999999765</v>
      </c>
      <c r="T906" s="357">
        <f t="shared" ca="1" si="407"/>
        <v>95.529779999999775</v>
      </c>
      <c r="U906" s="364">
        <f t="shared" ca="1" si="408"/>
        <v>0</v>
      </c>
      <c r="V906" s="359">
        <f t="shared" ca="1" si="409"/>
        <v>1.1493703836008458</v>
      </c>
      <c r="W906" s="357">
        <f t="shared" ca="1" si="410"/>
        <v>66.160915744093856</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2.9556761989274953</v>
      </c>
      <c r="AH906" s="357">
        <f t="shared" ca="1" si="434"/>
        <v>-6.7582483382357914</v>
      </c>
    </row>
    <row r="907" spans="1:34" x14ac:dyDescent="0.25">
      <c r="A907" s="402">
        <f t="shared" ca="1" si="412"/>
        <v>0.1</v>
      </c>
      <c r="B907" s="357">
        <f t="shared" ca="1" si="413"/>
        <v>45.30000000000031</v>
      </c>
      <c r="C907" s="342"/>
      <c r="D907" s="359">
        <f t="shared" ca="1" si="414"/>
        <v>-0.94275499202056312</v>
      </c>
      <c r="E907" s="360">
        <f t="shared" ca="1" si="415"/>
        <v>-3.0816297741836509</v>
      </c>
      <c r="F907" s="357">
        <f t="shared" ca="1" si="416"/>
        <v>3.2226121454675352</v>
      </c>
      <c r="G907" s="359">
        <f t="shared" ca="1" si="417"/>
        <v>22.034024314955861</v>
      </c>
      <c r="H907" s="360">
        <f t="shared" ca="1" si="418"/>
        <v>-158.23614519728872</v>
      </c>
      <c r="I907" s="357">
        <f t="shared" ca="1" si="419"/>
        <v>159.76287389255836</v>
      </c>
      <c r="J907" s="359">
        <f t="shared" ca="1" si="420"/>
        <v>1704.1473354070947</v>
      </c>
      <c r="K907" s="360">
        <f t="shared" ca="1" si="421"/>
        <v>621.24165679714861</v>
      </c>
      <c r="L907" s="357">
        <f t="shared" ca="1" si="406"/>
        <v>1813.852071398097</v>
      </c>
      <c r="M907" s="359">
        <f t="shared" ca="1" si="422"/>
        <v>-1.4324382685301507</v>
      </c>
      <c r="N907" s="357">
        <f t="shared" ca="1" si="423"/>
        <v>-82.072667199804926</v>
      </c>
      <c r="O907" s="343"/>
      <c r="P907" s="363">
        <f t="shared" ca="1" si="424"/>
        <v>23</v>
      </c>
      <c r="Q907" s="357">
        <f t="shared" ca="1" si="425"/>
        <v>0</v>
      </c>
      <c r="R907" s="359">
        <f t="shared" ca="1" si="426"/>
        <v>0</v>
      </c>
      <c r="S907" s="360">
        <f t="shared" ca="1" si="427"/>
        <v>9.7379999999999765</v>
      </c>
      <c r="T907" s="357">
        <f t="shared" ca="1" si="407"/>
        <v>95.529779999999775</v>
      </c>
      <c r="U907" s="364">
        <f t="shared" ca="1" si="408"/>
        <v>0</v>
      </c>
      <c r="V907" s="359">
        <f t="shared" ca="1" si="409"/>
        <v>1.1511905716210198</v>
      </c>
      <c r="W907" s="357">
        <f t="shared" ca="1" si="410"/>
        <v>66.508717043983651</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2.9210002885098616</v>
      </c>
      <c r="AH907" s="357">
        <f t="shared" ca="1" si="434"/>
        <v>-6.7940969135442613</v>
      </c>
    </row>
    <row r="908" spans="1:34" x14ac:dyDescent="0.25">
      <c r="A908" s="402">
        <f t="shared" ca="1" si="412"/>
        <v>0.1</v>
      </c>
      <c r="B908" s="357">
        <f t="shared" ca="1" si="413"/>
        <v>45.400000000000311</v>
      </c>
      <c r="C908" s="342"/>
      <c r="D908" s="359">
        <f t="shared" ca="1" si="414"/>
        <v>-0.94194763545336679</v>
      </c>
      <c r="E908" s="360">
        <f t="shared" ca="1" si="415"/>
        <v>-3.0454543735947484</v>
      </c>
      <c r="F908" s="357">
        <f t="shared" ca="1" si="416"/>
        <v>3.1877982510791942</v>
      </c>
      <c r="G908" s="359">
        <f t="shared" ca="1" si="417"/>
        <v>21.939829551410526</v>
      </c>
      <c r="H908" s="360">
        <f t="shared" ca="1" si="418"/>
        <v>-158.5406906346482</v>
      </c>
      <c r="I908" s="357">
        <f t="shared" ca="1" si="419"/>
        <v>160.05157514893807</v>
      </c>
      <c r="J908" s="359">
        <f t="shared" ca="1" si="420"/>
        <v>1706.3460281004129</v>
      </c>
      <c r="K908" s="360">
        <f t="shared" ca="1" si="421"/>
        <v>605.40281500555182</v>
      </c>
      <c r="L908" s="357">
        <f t="shared" ca="1" si="406"/>
        <v>1810.560503278115</v>
      </c>
      <c r="M908" s="359">
        <f t="shared" ca="1" si="422"/>
        <v>-1.4332836000573999</v>
      </c>
      <c r="N908" s="357">
        <f t="shared" ca="1" si="423"/>
        <v>-82.121101128605645</v>
      </c>
      <c r="O908" s="343"/>
      <c r="P908" s="363">
        <f t="shared" ca="1" si="424"/>
        <v>23</v>
      </c>
      <c r="Q908" s="357">
        <f t="shared" ca="1" si="425"/>
        <v>0</v>
      </c>
      <c r="R908" s="359">
        <f t="shared" ca="1" si="426"/>
        <v>0</v>
      </c>
      <c r="S908" s="360">
        <f t="shared" ca="1" si="427"/>
        <v>9.7379999999999765</v>
      </c>
      <c r="T908" s="357">
        <f t="shared" ca="1" si="407"/>
        <v>95.529779999999775</v>
      </c>
      <c r="U908" s="364">
        <f t="shared" ca="1" si="408"/>
        <v>0</v>
      </c>
      <c r="V908" s="359">
        <f t="shared" ca="1" si="409"/>
        <v>1.1530170880385091</v>
      </c>
      <c r="W908" s="357">
        <f t="shared" ca="1" si="410"/>
        <v>66.855211460626521</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2.8864407112442523</v>
      </c>
      <c r="AH908" s="357">
        <f t="shared" ca="1" si="434"/>
        <v>-6.8298127997518803</v>
      </c>
    </row>
    <row r="909" spans="1:34" x14ac:dyDescent="0.25">
      <c r="A909" s="402">
        <f t="shared" ca="1" si="412"/>
        <v>0.1</v>
      </c>
      <c r="B909" s="357">
        <f t="shared" ca="1" si="413"/>
        <v>45.500000000000313</v>
      </c>
      <c r="C909" s="342"/>
      <c r="D909" s="359">
        <f t="shared" ca="1" si="414"/>
        <v>-0.94110654385401415</v>
      </c>
      <c r="E909" s="360">
        <f t="shared" ca="1" si="415"/>
        <v>-3.0094147414053296</v>
      </c>
      <c r="F909" s="357">
        <f t="shared" ca="1" si="416"/>
        <v>3.1531347279608197</v>
      </c>
      <c r="G909" s="359">
        <f t="shared" ca="1" si="417"/>
        <v>21.845718897025126</v>
      </c>
      <c r="H909" s="360">
        <f t="shared" ca="1" si="418"/>
        <v>-158.84163210878873</v>
      </c>
      <c r="I909" s="357">
        <f t="shared" ca="1" si="419"/>
        <v>160.33683146773117</v>
      </c>
      <c r="J909" s="359">
        <f t="shared" ca="1" si="420"/>
        <v>1708.5353055228347</v>
      </c>
      <c r="K909" s="360">
        <f t="shared" ca="1" si="421"/>
        <v>589.53369886837993</v>
      </c>
      <c r="L909" s="357">
        <f t="shared" ca="1" si="406"/>
        <v>1807.3856457102454</v>
      </c>
      <c r="M909" s="359">
        <f t="shared" ca="1" si="422"/>
        <v>-1.4341223047211737</v>
      </c>
      <c r="N909" s="357">
        <f t="shared" ca="1" si="423"/>
        <v>-82.169155366097826</v>
      </c>
      <c r="O909" s="343"/>
      <c r="P909" s="363">
        <f t="shared" ca="1" si="424"/>
        <v>23</v>
      </c>
      <c r="Q909" s="357">
        <f t="shared" ca="1" si="425"/>
        <v>0</v>
      </c>
      <c r="R909" s="359">
        <f t="shared" ca="1" si="426"/>
        <v>0</v>
      </c>
      <c r="S909" s="360">
        <f t="shared" ca="1" si="427"/>
        <v>9.7379999999999765</v>
      </c>
      <c r="T909" s="357">
        <f t="shared" ca="1" si="407"/>
        <v>95.529779999999775</v>
      </c>
      <c r="U909" s="364">
        <f t="shared" ca="1" si="408"/>
        <v>0</v>
      </c>
      <c r="V909" s="359">
        <f t="shared" ca="1" si="409"/>
        <v>1.1548499138760526</v>
      </c>
      <c r="W909" s="357">
        <f t="shared" ca="1" si="410"/>
        <v>67.200384511948556</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2.8519992628741484</v>
      </c>
      <c r="AH909" s="357">
        <f t="shared" ca="1" si="434"/>
        <v>-6.8653944814773755</v>
      </c>
    </row>
    <row r="910" spans="1:34" x14ac:dyDescent="0.25">
      <c r="A910" s="402">
        <f t="shared" ca="1" si="412"/>
        <v>0.1</v>
      </c>
      <c r="B910" s="357">
        <f t="shared" ca="1" si="413"/>
        <v>45.600000000000314</v>
      </c>
      <c r="C910" s="342"/>
      <c r="D910" s="359">
        <f t="shared" ca="1" si="414"/>
        <v>-0.94023200854523714</v>
      </c>
      <c r="E910" s="360">
        <f t="shared" ca="1" si="415"/>
        <v>-2.9735123796000291</v>
      </c>
      <c r="F910" s="357">
        <f t="shared" ca="1" si="416"/>
        <v>3.1186234305423346</v>
      </c>
      <c r="G910" s="359">
        <f t="shared" ca="1" si="417"/>
        <v>21.751695696170604</v>
      </c>
      <c r="H910" s="360">
        <f t="shared" ca="1" si="418"/>
        <v>-159.13898334674874</v>
      </c>
      <c r="I910" s="357">
        <f t="shared" ca="1" si="419"/>
        <v>160.61865485146978</v>
      </c>
      <c r="J910" s="359">
        <f t="shared" ca="1" si="420"/>
        <v>1710.7151762524945</v>
      </c>
      <c r="K910" s="360">
        <f t="shared" ca="1" si="421"/>
        <v>573.63466809560305</v>
      </c>
      <c r="L910" s="357">
        <f t="shared" ca="1" si="406"/>
        <v>1804.3290017903487</v>
      </c>
      <c r="M910" s="359">
        <f t="shared" ca="1" si="422"/>
        <v>-1.4349544633428775</v>
      </c>
      <c r="N910" s="357">
        <f t="shared" ca="1" si="423"/>
        <v>-82.216834543006883</v>
      </c>
      <c r="O910" s="343"/>
      <c r="P910" s="363">
        <f t="shared" ca="1" si="424"/>
        <v>23</v>
      </c>
      <c r="Q910" s="357">
        <f t="shared" ca="1" si="425"/>
        <v>0</v>
      </c>
      <c r="R910" s="359">
        <f t="shared" ca="1" si="426"/>
        <v>0</v>
      </c>
      <c r="S910" s="360">
        <f t="shared" ca="1" si="427"/>
        <v>9.7379999999999765</v>
      </c>
      <c r="T910" s="357">
        <f t="shared" ca="1" si="407"/>
        <v>95.529779999999775</v>
      </c>
      <c r="U910" s="364">
        <f t="shared" ca="1" si="408"/>
        <v>0</v>
      </c>
      <c r="V910" s="359">
        <f t="shared" ca="1" si="409"/>
        <v>1.156689030183196</v>
      </c>
      <c r="W910" s="357">
        <f t="shared" ca="1" si="410"/>
        <v>67.544221990343473</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2.8176777049858019</v>
      </c>
      <c r="AH910" s="357">
        <f t="shared" ca="1" si="434"/>
        <v>-6.9008404715494676</v>
      </c>
    </row>
    <row r="911" spans="1:34" x14ac:dyDescent="0.25">
      <c r="A911" s="402">
        <f t="shared" ca="1" si="412"/>
        <v>0.1</v>
      </c>
      <c r="B911" s="357">
        <f t="shared" ca="1" si="413"/>
        <v>45.700000000000315</v>
      </c>
      <c r="C911" s="342"/>
      <c r="D911" s="359">
        <f t="shared" ca="1" si="414"/>
        <v>-0.93932432229123053</v>
      </c>
      <c r="E911" s="360">
        <f t="shared" ca="1" si="415"/>
        <v>-2.9377487617382982</v>
      </c>
      <c r="F911" s="357">
        <f t="shared" ca="1" si="416"/>
        <v>3.0842661962844233</v>
      </c>
      <c r="G911" s="359">
        <f t="shared" ca="1" si="417"/>
        <v>21.657763263941479</v>
      </c>
      <c r="H911" s="360">
        <f t="shared" ca="1" si="418"/>
        <v>-159.43275822292259</v>
      </c>
      <c r="I911" s="357">
        <f t="shared" ca="1" si="419"/>
        <v>160.89705747516274</v>
      </c>
      <c r="J911" s="359">
        <f t="shared" ca="1" si="420"/>
        <v>1712.8856492005002</v>
      </c>
      <c r="K911" s="360">
        <f t="shared" ca="1" si="421"/>
        <v>557.70608101711946</v>
      </c>
      <c r="L911" s="357">
        <f t="shared" ca="1" si="406"/>
        <v>1801.3920506209895</v>
      </c>
      <c r="M911" s="359">
        <f t="shared" ca="1" si="422"/>
        <v>-1.43578015536696</v>
      </c>
      <c r="N911" s="357">
        <f t="shared" ca="1" si="423"/>
        <v>-82.264143211164424</v>
      </c>
      <c r="O911" s="343"/>
      <c r="P911" s="363">
        <f t="shared" ca="1" si="424"/>
        <v>23</v>
      </c>
      <c r="Q911" s="357">
        <f t="shared" ca="1" si="425"/>
        <v>0</v>
      </c>
      <c r="R911" s="359">
        <f t="shared" ca="1" si="426"/>
        <v>0</v>
      </c>
      <c r="S911" s="360">
        <f t="shared" ca="1" si="427"/>
        <v>9.7379999999999765</v>
      </c>
      <c r="T911" s="357">
        <f t="shared" ca="1" si="407"/>
        <v>95.529779999999775</v>
      </c>
      <c r="U911" s="364">
        <f t="shared" ca="1" si="408"/>
        <v>0</v>
      </c>
      <c r="V911" s="359">
        <f t="shared" ca="1" si="409"/>
        <v>1.1585344180373485</v>
      </c>
      <c r="W911" s="357">
        <f t="shared" ca="1" si="410"/>
        <v>67.886709962375832</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2.7834777651832701</v>
      </c>
      <c r="AH911" s="357">
        <f t="shared" ca="1" si="434"/>
        <v>-6.9361493109820946</v>
      </c>
    </row>
    <row r="912" spans="1:34" x14ac:dyDescent="0.25">
      <c r="A912" s="402">
        <f t="shared" ca="1" si="412"/>
        <v>0.1</v>
      </c>
      <c r="B912" s="357">
        <f t="shared" ca="1" si="413"/>
        <v>45.800000000000317</v>
      </c>
      <c r="C912" s="342"/>
      <c r="D912" s="359">
        <f t="shared" ca="1" si="414"/>
        <v>-0.93838377923584559</v>
      </c>
      <c r="E912" s="360">
        <f t="shared" ca="1" si="415"/>
        <v>-2.9021253329835499</v>
      </c>
      <c r="F912" s="357">
        <f t="shared" ca="1" si="416"/>
        <v>3.0500648461102968</v>
      </c>
      <c r="G912" s="359">
        <f t="shared" ca="1" si="417"/>
        <v>21.563924886017894</v>
      </c>
      <c r="H912" s="360">
        <f t="shared" ca="1" si="418"/>
        <v>-159.72297075622095</v>
      </c>
      <c r="I912" s="357">
        <f t="shared" ca="1" si="419"/>
        <v>161.17205168292185</v>
      </c>
      <c r="J912" s="359">
        <f t="shared" ca="1" si="420"/>
        <v>1715.0467336079982</v>
      </c>
      <c r="K912" s="360">
        <f t="shared" ca="1" si="421"/>
        <v>541.74829456816224</v>
      </c>
      <c r="L912" s="357">
        <f t="shared" ca="1" si="406"/>
        <v>1798.5762461255226</v>
      </c>
      <c r="M912" s="359">
        <f t="shared" ca="1" si="422"/>
        <v>-1.4365994588895201</v>
      </c>
      <c r="N912" s="357">
        <f t="shared" ca="1" si="423"/>
        <v>-82.311085845147318</v>
      </c>
      <c r="O912" s="343"/>
      <c r="P912" s="363">
        <f t="shared" ca="1" si="424"/>
        <v>23</v>
      </c>
      <c r="Q912" s="357">
        <f t="shared" ca="1" si="425"/>
        <v>0</v>
      </c>
      <c r="R912" s="359">
        <f t="shared" ca="1" si="426"/>
        <v>0</v>
      </c>
      <c r="S912" s="360">
        <f t="shared" ca="1" si="427"/>
        <v>9.7379999999999765</v>
      </c>
      <c r="T912" s="357">
        <f t="shared" ca="1" si="407"/>
        <v>95.529779999999775</v>
      </c>
      <c r="U912" s="364">
        <f t="shared" ca="1" si="408"/>
        <v>0</v>
      </c>
      <c r="V912" s="359">
        <f t="shared" ca="1" si="409"/>
        <v>1.1603860585448333</v>
      </c>
      <c r="W912" s="357">
        <f t="shared" ca="1" si="410"/>
        <v>68.227834768428494</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2.7494011372648002</v>
      </c>
      <c r="AH912" s="357">
        <f t="shared" ca="1" si="434"/>
        <v>-6.9713195689439305</v>
      </c>
    </row>
    <row r="913" spans="1:34" x14ac:dyDescent="0.25">
      <c r="A913" s="402">
        <f t="shared" ca="1" si="412"/>
        <v>0.1</v>
      </c>
      <c r="B913" s="357">
        <f t="shared" ca="1" si="413"/>
        <v>45.900000000000318</v>
      </c>
      <c r="C913" s="342"/>
      <c r="D913" s="359">
        <f t="shared" ca="1" si="414"/>
        <v>-0.93741067484117557</v>
      </c>
      <c r="E913" s="360">
        <f t="shared" ca="1" si="415"/>
        <v>-2.8666435101381245</v>
      </c>
      <c r="F913" s="357">
        <f t="shared" ca="1" si="416"/>
        <v>3.0160211848598171</v>
      </c>
      <c r="G913" s="359">
        <f t="shared" ca="1" si="417"/>
        <v>21.470183818533776</v>
      </c>
      <c r="H913" s="360">
        <f t="shared" ca="1" si="418"/>
        <v>-160.00963510723477</v>
      </c>
      <c r="I913" s="357">
        <f t="shared" ca="1" si="419"/>
        <v>161.44364998460625</v>
      </c>
      <c r="J913" s="359">
        <f t="shared" ca="1" si="420"/>
        <v>1717.1984390432258</v>
      </c>
      <c r="K913" s="360">
        <f t="shared" ca="1" si="421"/>
        <v>525.76166427498947</v>
      </c>
      <c r="L913" s="357">
        <f t="shared" ca="1" si="406"/>
        <v>1795.8830158653702</v>
      </c>
      <c r="M913" s="359">
        <f t="shared" ca="1" si="422"/>
        <v>-1.4374124506862129</v>
      </c>
      <c r="N913" s="357">
        <f t="shared" ca="1" si="423"/>
        <v>-82.357666843876572</v>
      </c>
      <c r="O913" s="343"/>
      <c r="P913" s="363">
        <f t="shared" ca="1" si="424"/>
        <v>23</v>
      </c>
      <c r="Q913" s="357">
        <f t="shared" ca="1" si="425"/>
        <v>0</v>
      </c>
      <c r="R913" s="359">
        <f t="shared" ca="1" si="426"/>
        <v>0</v>
      </c>
      <c r="S913" s="360">
        <f t="shared" ca="1" si="427"/>
        <v>9.7379999999999765</v>
      </c>
      <c r="T913" s="357">
        <f t="shared" ca="1" si="407"/>
        <v>95.529779999999775</v>
      </c>
      <c r="U913" s="364">
        <f t="shared" ca="1" si="408"/>
        <v>0</v>
      </c>
      <c r="V913" s="359">
        <f t="shared" ca="1" si="409"/>
        <v>1.1622439328419327</v>
      </c>
      <c r="W913" s="357">
        <f t="shared" ca="1" si="410"/>
        <v>68.56758302229585</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2.7154494814006931</v>
      </c>
      <c r="AH913" s="357">
        <f t="shared" ca="1" si="434"/>
        <v>-7.0063498427221873</v>
      </c>
    </row>
    <row r="914" spans="1:34" x14ac:dyDescent="0.25">
      <c r="A914" s="402">
        <f t="shared" ca="1" si="412"/>
        <v>0.1</v>
      </c>
      <c r="B914" s="357">
        <f t="shared" ca="1" si="413"/>
        <v>46.00000000000032</v>
      </c>
      <c r="C914" s="342"/>
      <c r="D914" s="359">
        <f t="shared" ca="1" si="414"/>
        <v>-0.93640530582656434</v>
      </c>
      <c r="E914" s="360">
        <f t="shared" ca="1" si="415"/>
        <v>-2.8313046816839273</v>
      </c>
      <c r="F914" s="357">
        <f t="shared" ca="1" si="416"/>
        <v>2.9821370017665969</v>
      </c>
      <c r="G914" s="359">
        <f t="shared" ca="1" si="417"/>
        <v>21.376543287951119</v>
      </c>
      <c r="H914" s="360">
        <f t="shared" ca="1" si="418"/>
        <v>-160.29276557540317</v>
      </c>
      <c r="I914" s="357">
        <f t="shared" ca="1" si="419"/>
        <v>161.71186505248403</v>
      </c>
      <c r="J914" s="359">
        <f t="shared" ca="1" si="420"/>
        <v>1719.34077539855</v>
      </c>
      <c r="K914" s="360">
        <f t="shared" ca="1" si="421"/>
        <v>509.74654424085759</v>
      </c>
      <c r="L914" s="357">
        <f t="shared" ca="1" si="406"/>
        <v>1793.3137598628923</v>
      </c>
      <c r="M914" s="359">
        <f t="shared" ca="1" si="422"/>
        <v>-1.4382192062394785</v>
      </c>
      <c r="N914" s="357">
        <f t="shared" ca="1" si="423"/>
        <v>-82.403890532177428</v>
      </c>
      <c r="O914" s="343"/>
      <c r="P914" s="363">
        <f t="shared" ca="1" si="424"/>
        <v>23</v>
      </c>
      <c r="Q914" s="357">
        <f t="shared" ca="1" si="425"/>
        <v>0</v>
      </c>
      <c r="R914" s="359">
        <f t="shared" ca="1" si="426"/>
        <v>0</v>
      </c>
      <c r="S914" s="360">
        <f t="shared" ca="1" si="427"/>
        <v>9.7379999999999765</v>
      </c>
      <c r="T914" s="357">
        <f t="shared" ca="1" si="407"/>
        <v>95.529779999999775</v>
      </c>
      <c r="U914" s="364">
        <f t="shared" ca="1" si="408"/>
        <v>0</v>
      </c>
      <c r="V914" s="359">
        <f t="shared" ca="1" si="409"/>
        <v>1.1641080220959248</v>
      </c>
      <c r="W914" s="357">
        <f t="shared" ca="1" si="410"/>
        <v>68.905941610722479</v>
      </c>
      <c r="X914" s="343"/>
      <c r="Y914" s="367" t="str">
        <f t="shared" ca="1" si="428"/>
        <v/>
      </c>
      <c r="Z914" s="368" t="str">
        <f t="shared" ca="1" si="429"/>
        <v/>
      </c>
      <c r="AA914" s="369" t="str">
        <f t="shared" ca="1" si="430"/>
        <v/>
      </c>
      <c r="AB914" s="344"/>
      <c r="AC914" s="363">
        <f t="shared" ca="1" si="431"/>
        <v>46.00000000000032</v>
      </c>
      <c r="AD914" s="376">
        <f t="shared" ca="1" si="432"/>
        <v>1719.34077539855</v>
      </c>
      <c r="AE914" s="377" t="e">
        <f t="shared" ca="1" si="411"/>
        <v>#N/A</v>
      </c>
      <c r="AF914" s="344"/>
      <c r="AG914" s="359">
        <f t="shared" ca="1" si="433"/>
        <v>2.6816244243126581</v>
      </c>
      <c r="AH914" s="357">
        <f t="shared" ca="1" si="434"/>
        <v>-7.0412387576808397</v>
      </c>
    </row>
    <row r="915" spans="1:34" x14ac:dyDescent="0.25">
      <c r="A915" s="402">
        <f t="shared" ca="1" si="412"/>
        <v>0.1</v>
      </c>
      <c r="B915" s="357">
        <f t="shared" ca="1" si="413"/>
        <v>46.100000000000321</v>
      </c>
      <c r="C915" s="342"/>
      <c r="D915" s="359">
        <f t="shared" ca="1" si="414"/>
        <v>-0.93536797010802819</v>
      </c>
      <c r="E915" s="360">
        <f t="shared" ca="1" si="415"/>
        <v>-2.796110207828761</v>
      </c>
      <c r="F915" s="357">
        <f t="shared" ca="1" si="416"/>
        <v>2.948414070958862</v>
      </c>
      <c r="G915" s="359">
        <f t="shared" ca="1" si="417"/>
        <v>21.283006490940316</v>
      </c>
      <c r="H915" s="360">
        <f t="shared" ca="1" si="418"/>
        <v>-160.57237659618605</v>
      </c>
      <c r="I915" s="357">
        <f t="shared" ca="1" si="419"/>
        <v>161.97670971791223</v>
      </c>
      <c r="J915" s="359">
        <f t="shared" ca="1" si="420"/>
        <v>1721.4737528874946</v>
      </c>
      <c r="K915" s="360">
        <f t="shared" ca="1" si="421"/>
        <v>493.70328713227815</v>
      </c>
      <c r="L915" s="357">
        <f t="shared" ca="1" si="406"/>
        <v>1790.8698494323287</v>
      </c>
      <c r="M915" s="359">
        <f t="shared" ca="1" si="422"/>
        <v>-1.4390197997651115</v>
      </c>
      <c r="N915" s="357">
        <f t="shared" ca="1" si="423"/>
        <v>-82.449761162301698</v>
      </c>
      <c r="O915" s="343"/>
      <c r="P915" s="363">
        <f t="shared" ca="1" si="424"/>
        <v>23</v>
      </c>
      <c r="Q915" s="357">
        <f t="shared" ca="1" si="425"/>
        <v>0</v>
      </c>
      <c r="R915" s="359">
        <f t="shared" ca="1" si="426"/>
        <v>0</v>
      </c>
      <c r="S915" s="360">
        <f t="shared" ca="1" si="427"/>
        <v>9.7379999999999765</v>
      </c>
      <c r="T915" s="357">
        <f t="shared" ca="1" si="407"/>
        <v>95.529779999999775</v>
      </c>
      <c r="U915" s="364">
        <f t="shared" ca="1" si="408"/>
        <v>0</v>
      </c>
      <c r="V915" s="359">
        <f t="shared" ca="1" si="409"/>
        <v>1.1659783075061134</v>
      </c>
      <c r="W915" s="357">
        <f t="shared" ca="1" si="410"/>
        <v>69.242897692889031</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2.6479275594548142</v>
      </c>
      <c r="AH915" s="357">
        <f t="shared" ca="1" si="434"/>
        <v>-7.0759849672132518</v>
      </c>
    </row>
    <row r="916" spans="1:34" x14ac:dyDescent="0.25">
      <c r="A916" s="402">
        <f t="shared" ca="1" si="412"/>
        <v>0.1</v>
      </c>
      <c r="B916" s="357">
        <f t="shared" ca="1" si="413"/>
        <v>46.200000000000323</v>
      </c>
      <c r="C916" s="342"/>
      <c r="D916" s="359">
        <f t="shared" ca="1" si="414"/>
        <v>-0.93429896673811497</v>
      </c>
      <c r="E916" s="360">
        <f t="shared" ca="1" si="415"/>
        <v>-2.7610614205581721</v>
      </c>
      <c r="F916" s="357">
        <f t="shared" ca="1" si="416"/>
        <v>2.9148541519847302</v>
      </c>
      <c r="G916" s="359">
        <f t="shared" ca="1" si="417"/>
        <v>21.189576594266505</v>
      </c>
      <c r="H916" s="360">
        <f t="shared" ca="1" si="418"/>
        <v>-160.84848273824187</v>
      </c>
      <c r="I916" s="357">
        <f t="shared" ca="1" si="419"/>
        <v>162.23819696803457</v>
      </c>
      <c r="J916" s="359">
        <f t="shared" ca="1" si="420"/>
        <v>1723.5973820417548</v>
      </c>
      <c r="K916" s="360">
        <f t="shared" ca="1" si="421"/>
        <v>477.63224416555676</v>
      </c>
      <c r="L916" s="357">
        <f t="shared" ca="1" si="406"/>
        <v>1788.552626021336</v>
      </c>
      <c r="M916" s="359">
        <f t="shared" ca="1" si="422"/>
        <v>-1.4398143042381895</v>
      </c>
      <c r="N916" s="357">
        <f t="shared" ca="1" si="423"/>
        <v>-82.495282915413341</v>
      </c>
      <c r="O916" s="343"/>
      <c r="P916" s="363">
        <f t="shared" ca="1" si="424"/>
        <v>23</v>
      </c>
      <c r="Q916" s="357">
        <f t="shared" ca="1" si="425"/>
        <v>0</v>
      </c>
      <c r="R916" s="359">
        <f t="shared" ca="1" si="426"/>
        <v>0</v>
      </c>
      <c r="S916" s="360">
        <f t="shared" ca="1" si="427"/>
        <v>9.7379999999999765</v>
      </c>
      <c r="T916" s="357">
        <f t="shared" ca="1" si="407"/>
        <v>95.529779999999775</v>
      </c>
      <c r="U916" s="364">
        <f t="shared" ca="1" si="408"/>
        <v>0</v>
      </c>
      <c r="V916" s="359">
        <f t="shared" ca="1" si="409"/>
        <v>1.1678547703048519</v>
      </c>
      <c r="W916" s="357">
        <f t="shared" ca="1" si="410"/>
        <v>69.57843869984498</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2.6143604471962671</v>
      </c>
      <c r="AH916" s="357">
        <f t="shared" ca="1" si="434"/>
        <v>-7.1105871526893818</v>
      </c>
    </row>
    <row r="917" spans="1:34" x14ac:dyDescent="0.25">
      <c r="A917" s="402">
        <f t="shared" ca="1" si="412"/>
        <v>0.1</v>
      </c>
      <c r="B917" s="357">
        <f t="shared" ca="1" si="413"/>
        <v>46.300000000000324</v>
      </c>
      <c r="C917" s="342"/>
      <c r="D917" s="359">
        <f t="shared" ca="1" si="414"/>
        <v>-0.93319859584619369</v>
      </c>
      <c r="E917" s="360">
        <f t="shared" ca="1" si="415"/>
        <v>-2.7261596236928476</v>
      </c>
      <c r="F917" s="357">
        <f t="shared" ca="1" si="416"/>
        <v>2.8814589903627703</v>
      </c>
      <c r="G917" s="359">
        <f t="shared" ca="1" si="417"/>
        <v>21.096256734681887</v>
      </c>
      <c r="H917" s="360">
        <f t="shared" ca="1" si="418"/>
        <v>-161.12109870061116</v>
      </c>
      <c r="I917" s="357">
        <f t="shared" ca="1" si="419"/>
        <v>162.49633994249746</v>
      </c>
      <c r="J917" s="359">
        <f t="shared" ca="1" si="420"/>
        <v>1725.7116737082022</v>
      </c>
      <c r="K917" s="360">
        <f t="shared" ca="1" si="421"/>
        <v>461.53376509361408</v>
      </c>
      <c r="L917" s="357">
        <f t="shared" ca="1" si="406"/>
        <v>1786.3634000656898</v>
      </c>
      <c r="M917" s="359">
        <f t="shared" ca="1" si="422"/>
        <v>-1.4406027914183765</v>
      </c>
      <c r="N917" s="357">
        <f t="shared" ca="1" si="423"/>
        <v>-82.540459903038226</v>
      </c>
      <c r="O917" s="343"/>
      <c r="P917" s="363">
        <f t="shared" ca="1" si="424"/>
        <v>23</v>
      </c>
      <c r="Q917" s="357">
        <f t="shared" ca="1" si="425"/>
        <v>0</v>
      </c>
      <c r="R917" s="359">
        <f t="shared" ca="1" si="426"/>
        <v>0</v>
      </c>
      <c r="S917" s="360">
        <f t="shared" ca="1" si="427"/>
        <v>9.7379999999999765</v>
      </c>
      <c r="T917" s="357">
        <f t="shared" ca="1" si="407"/>
        <v>95.529779999999775</v>
      </c>
      <c r="U917" s="364">
        <f t="shared" ca="1" si="408"/>
        <v>0</v>
      </c>
      <c r="V917" s="359">
        <f t="shared" ca="1" si="409"/>
        <v>1.1697373917585607</v>
      </c>
      <c r="W917" s="357">
        <f t="shared" ca="1" si="410"/>
        <v>69.912552333889536</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2.5809246150054692</v>
      </c>
      <c r="AH917" s="357">
        <f t="shared" ca="1" si="434"/>
        <v>-7.1450440233975305</v>
      </c>
    </row>
    <row r="918" spans="1:34" x14ac:dyDescent="0.25">
      <c r="A918" s="402">
        <f t="shared" ca="1" si="412"/>
        <v>0.1</v>
      </c>
      <c r="B918" s="357">
        <f t="shared" ca="1" si="413"/>
        <v>46.400000000000325</v>
      </c>
      <c r="C918" s="342"/>
      <c r="D918" s="359">
        <f t="shared" ca="1" si="414"/>
        <v>-0.93206715857920996</v>
      </c>
      <c r="E918" s="360">
        <f t="shared" ca="1" si="415"/>
        <v>-2.691406092951425</v>
      </c>
      <c r="F918" s="357">
        <f t="shared" ca="1" si="416"/>
        <v>2.8482303181586239</v>
      </c>
      <c r="G918" s="359">
        <f t="shared" ca="1" si="417"/>
        <v>21.003050018823966</v>
      </c>
      <c r="H918" s="360">
        <f t="shared" ca="1" si="418"/>
        <v>-161.39023930990629</v>
      </c>
      <c r="I918" s="357">
        <f t="shared" ca="1" si="419"/>
        <v>162.75115193018465</v>
      </c>
      <c r="J918" s="359">
        <f t="shared" ca="1" si="420"/>
        <v>1727.8166390458775</v>
      </c>
      <c r="K918" s="360">
        <f t="shared" ca="1" si="421"/>
        <v>445.4081981930882</v>
      </c>
      <c r="L918" s="357">
        <f t="shared" ca="1" si="406"/>
        <v>1784.3034498597499</v>
      </c>
      <c r="M918" s="359">
        <f t="shared" ca="1" si="422"/>
        <v>-1.4413853318746241</v>
      </c>
      <c r="N918" s="357">
        <f t="shared" ca="1" si="423"/>
        <v>-82.585296168479459</v>
      </c>
      <c r="O918" s="343"/>
      <c r="P918" s="363">
        <f t="shared" ca="1" si="424"/>
        <v>23</v>
      </c>
      <c r="Q918" s="357">
        <f t="shared" ca="1" si="425"/>
        <v>0</v>
      </c>
      <c r="R918" s="359">
        <f t="shared" ca="1" si="426"/>
        <v>0</v>
      </c>
      <c r="S918" s="360">
        <f t="shared" ca="1" si="427"/>
        <v>9.7379999999999765</v>
      </c>
      <c r="T918" s="357">
        <f t="shared" ca="1" si="407"/>
        <v>95.529779999999775</v>
      </c>
      <c r="U918" s="364">
        <f t="shared" ca="1" si="408"/>
        <v>0</v>
      </c>
      <c r="V918" s="359">
        <f t="shared" ca="1" si="409"/>
        <v>1.1716261531687342</v>
      </c>
      <c r="W918" s="357">
        <f t="shared" ca="1" si="410"/>
        <v>70.245226567901355</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2.5476215576362833</v>
      </c>
      <c r="AH918" s="357">
        <f t="shared" ca="1" si="434"/>
        <v>-7.1793543164807669</v>
      </c>
    </row>
    <row r="919" spans="1:34" x14ac:dyDescent="0.25">
      <c r="A919" s="402">
        <f t="shared" ca="1" si="412"/>
        <v>0.1</v>
      </c>
      <c r="B919" s="357">
        <f t="shared" ca="1" si="413"/>
        <v>46.500000000000327</v>
      </c>
      <c r="C919" s="342"/>
      <c r="D919" s="359">
        <f t="shared" ca="1" si="414"/>
        <v>-0.93090495704287779</v>
      </c>
      <c r="E919" s="360">
        <f t="shared" ca="1" si="415"/>
        <v>-2.6568020760186464</v>
      </c>
      <c r="F919" s="357">
        <f t="shared" ca="1" si="416"/>
        <v>2.8151698545885275</v>
      </c>
      <c r="G919" s="359">
        <f t="shared" ca="1" si="417"/>
        <v>20.909959523119678</v>
      </c>
      <c r="H919" s="360">
        <f t="shared" ca="1" si="418"/>
        <v>-161.65591951750815</v>
      </c>
      <c r="I919" s="357">
        <f t="shared" ca="1" si="419"/>
        <v>163.00264636597032</v>
      </c>
      <c r="J919" s="359">
        <f t="shared" ca="1" si="420"/>
        <v>1729.9122895229748</v>
      </c>
      <c r="K919" s="360">
        <f t="shared" ca="1" si="421"/>
        <v>429.25589025171746</v>
      </c>
      <c r="L919" s="357">
        <f t="shared" ca="1" si="406"/>
        <v>1782.3740204453204</v>
      </c>
      <c r="M919" s="359">
        <f t="shared" ca="1" si="422"/>
        <v>-1.4421619950092786</v>
      </c>
      <c r="N919" s="357">
        <f t="shared" ca="1" si="423"/>
        <v>-82.629795688198556</v>
      </c>
      <c r="O919" s="343"/>
      <c r="P919" s="363">
        <f t="shared" ca="1" si="424"/>
        <v>23</v>
      </c>
      <c r="Q919" s="357">
        <f t="shared" ca="1" si="425"/>
        <v>0</v>
      </c>
      <c r="R919" s="359">
        <f t="shared" ca="1" si="426"/>
        <v>0</v>
      </c>
      <c r="S919" s="360">
        <f t="shared" ca="1" si="427"/>
        <v>9.7379999999999765</v>
      </c>
      <c r="T919" s="357">
        <f t="shared" ca="1" si="407"/>
        <v>95.529779999999775</v>
      </c>
      <c r="U919" s="364">
        <f t="shared" ca="1" si="408"/>
        <v>0</v>
      </c>
      <c r="V919" s="359">
        <f t="shared" ca="1" si="409"/>
        <v>1.1735210358729447</v>
      </c>
      <c r="W919" s="357">
        <f t="shared" ca="1" si="410"/>
        <v>70.576449644617583</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2.5144527373158612</v>
      </c>
      <c r="AH919" s="357">
        <f t="shared" ca="1" si="434"/>
        <v>-7.2135167968680962</v>
      </c>
    </row>
    <row r="920" spans="1:34" x14ac:dyDescent="0.25">
      <c r="A920" s="402">
        <f t="shared" ca="1" si="412"/>
        <v>0.1</v>
      </c>
      <c r="B920" s="357">
        <f t="shared" ca="1" si="413"/>
        <v>46.600000000000328</v>
      </c>
      <c r="C920" s="342"/>
      <c r="D920" s="359">
        <f t="shared" ca="1" si="414"/>
        <v>-0.92971229424336377</v>
      </c>
      <c r="E920" s="360">
        <f t="shared" ca="1" si="415"/>
        <v>-2.6223487926188005</v>
      </c>
      <c r="F920" s="357">
        <f t="shared" ca="1" si="416"/>
        <v>2.782279306650671</v>
      </c>
      <c r="G920" s="359">
        <f t="shared" ca="1" si="417"/>
        <v>20.816988293695342</v>
      </c>
      <c r="H920" s="360">
        <f t="shared" ca="1" si="418"/>
        <v>-161.91815439677003</v>
      </c>
      <c r="I920" s="357">
        <f t="shared" ca="1" si="419"/>
        <v>163.25083682749104</v>
      </c>
      <c r="J920" s="359">
        <f t="shared" ca="1" si="420"/>
        <v>1731.9986369138155</v>
      </c>
      <c r="K920" s="360">
        <f t="shared" ca="1" si="421"/>
        <v>413.07718655600354</v>
      </c>
      <c r="L920" s="357">
        <f t="shared" ca="1" si="406"/>
        <v>1780.5763225215421</v>
      </c>
      <c r="M920" s="359">
        <f t="shared" ca="1" si="422"/>
        <v>-1.4429328490816187</v>
      </c>
      <c r="N920" s="357">
        <f t="shared" ca="1" si="423"/>
        <v>-82.673962373164116</v>
      </c>
      <c r="O920" s="343"/>
      <c r="P920" s="363">
        <f t="shared" ca="1" si="424"/>
        <v>23</v>
      </c>
      <c r="Q920" s="357">
        <f t="shared" ca="1" si="425"/>
        <v>0</v>
      </c>
      <c r="R920" s="359">
        <f t="shared" ca="1" si="426"/>
        <v>0</v>
      </c>
      <c r="S920" s="360">
        <f t="shared" ca="1" si="427"/>
        <v>9.7379999999999765</v>
      </c>
      <c r="T920" s="357">
        <f t="shared" ca="1" si="407"/>
        <v>95.529779999999775</v>
      </c>
      <c r="U920" s="364">
        <f t="shared" ca="1" si="408"/>
        <v>0</v>
      </c>
      <c r="V920" s="359">
        <f t="shared" ca="1" si="409"/>
        <v>1.1754220212458351</v>
      </c>
      <c r="W920" s="357">
        <f t="shared" ca="1" si="410"/>
        <v>70.90621007586293</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2.4814195839343496</v>
      </c>
      <c r="AH920" s="357">
        <f t="shared" ca="1" si="434"/>
        <v>-7.2475302572004265</v>
      </c>
    </row>
    <row r="921" spans="1:34" x14ac:dyDescent="0.25">
      <c r="A921" s="402">
        <f t="shared" ca="1" si="412"/>
        <v>0.1</v>
      </c>
      <c r="B921" s="357">
        <f t="shared" ca="1" si="413"/>
        <v>46.70000000000033</v>
      </c>
      <c r="C921" s="342"/>
      <c r="D921" s="359">
        <f t="shared" ca="1" si="414"/>
        <v>-0.92848947402942117</v>
      </c>
      <c r="E921" s="360">
        <f t="shared" ca="1" si="415"/>
        <v>-2.5880474345943938</v>
      </c>
      <c r="F921" s="357">
        <f t="shared" ca="1" si="416"/>
        <v>2.7495603697853324</v>
      </c>
      <c r="G921" s="359">
        <f t="shared" ca="1" si="417"/>
        <v>20.7241393462924</v>
      </c>
      <c r="H921" s="360">
        <f t="shared" ca="1" si="418"/>
        <v>-162.17695914022949</v>
      </c>
      <c r="I921" s="357">
        <f t="shared" ca="1" si="419"/>
        <v>163.49573703193673</v>
      </c>
      <c r="J921" s="359">
        <f t="shared" ca="1" si="420"/>
        <v>1734.075693295815</v>
      </c>
      <c r="K921" s="360">
        <f t="shared" ca="1" si="421"/>
        <v>396.87243087915357</v>
      </c>
      <c r="L921" s="357">
        <f t="shared" ca="1" si="406"/>
        <v>1778.9115313784691</v>
      </c>
      <c r="M921" s="359">
        <f t="shared" ca="1" si="422"/>
        <v>-1.4436979612308354</v>
      </c>
      <c r="N921" s="357">
        <f t="shared" ca="1" si="423"/>
        <v>-82.717800070168408</v>
      </c>
      <c r="O921" s="343"/>
      <c r="P921" s="363">
        <f t="shared" ca="1" si="424"/>
        <v>23</v>
      </c>
      <c r="Q921" s="357">
        <f t="shared" ca="1" si="425"/>
        <v>0</v>
      </c>
      <c r="R921" s="359">
        <f t="shared" ca="1" si="426"/>
        <v>0</v>
      </c>
      <c r="S921" s="360">
        <f t="shared" ca="1" si="427"/>
        <v>9.7379999999999765</v>
      </c>
      <c r="T921" s="357">
        <f t="shared" ca="1" si="407"/>
        <v>95.529779999999775</v>
      </c>
      <c r="U921" s="364">
        <f t="shared" ca="1" si="408"/>
        <v>0</v>
      </c>
      <c r="V921" s="359">
        <f t="shared" ca="1" si="409"/>
        <v>1.1773290907001073</v>
      </c>
      <c r="W921" s="357">
        <f t="shared" ca="1" si="410"/>
        <v>71.234496641729976</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2.4485234952364863</v>
      </c>
      <c r="AH921" s="357">
        <f t="shared" ca="1" si="434"/>
        <v>-7.2813935177513969</v>
      </c>
    </row>
    <row r="922" spans="1:34" x14ac:dyDescent="0.25">
      <c r="A922" s="402">
        <f t="shared" ca="1" si="412"/>
        <v>0.1</v>
      </c>
      <c r="B922" s="357">
        <f t="shared" ca="1" si="413"/>
        <v>46.800000000000331</v>
      </c>
      <c r="C922" s="342"/>
      <c r="D922" s="359">
        <f t="shared" ca="1" si="414"/>
        <v>-0.92723680103502204</v>
      </c>
      <c r="E922" s="360">
        <f t="shared" ca="1" si="415"/>
        <v>-2.5538991659898933</v>
      </c>
      <c r="F922" s="357">
        <f t="shared" ca="1" si="416"/>
        <v>2.7170147285647044</v>
      </c>
      <c r="G922" s="359">
        <f t="shared" ca="1" si="417"/>
        <v>20.631415666188897</v>
      </c>
      <c r="H922" s="360">
        <f t="shared" ca="1" si="418"/>
        <v>-162.43234905682849</v>
      </c>
      <c r="I922" s="357">
        <f t="shared" ca="1" si="419"/>
        <v>163.73736083286073</v>
      </c>
      <c r="J922" s="359">
        <f t="shared" ca="1" si="420"/>
        <v>1736.1434710464391</v>
      </c>
      <c r="K922" s="360">
        <f t="shared" ca="1" si="421"/>
        <v>380.64196546930066</v>
      </c>
      <c r="L922" s="357">
        <f t="shared" ca="1" si="406"/>
        <v>1777.3807858569614</v>
      </c>
      <c r="M922" s="359">
        <f t="shared" ca="1" si="422"/>
        <v>-1.4444573974984671</v>
      </c>
      <c r="N922" s="357">
        <f t="shared" ca="1" si="423"/>
        <v>-82.761312563112881</v>
      </c>
      <c r="O922" s="343"/>
      <c r="P922" s="363">
        <f t="shared" ca="1" si="424"/>
        <v>23</v>
      </c>
      <c r="Q922" s="357">
        <f t="shared" ca="1" si="425"/>
        <v>0</v>
      </c>
      <c r="R922" s="359">
        <f t="shared" ca="1" si="426"/>
        <v>0</v>
      </c>
      <c r="S922" s="360">
        <f t="shared" ca="1" si="427"/>
        <v>9.7379999999999765</v>
      </c>
      <c r="T922" s="357">
        <f t="shared" ca="1" si="407"/>
        <v>95.529779999999775</v>
      </c>
      <c r="U922" s="364">
        <f t="shared" ca="1" si="408"/>
        <v>0</v>
      </c>
      <c r="V922" s="359">
        <f t="shared" ca="1" si="409"/>
        <v>1.1792422256875013</v>
      </c>
      <c r="W922" s="357">
        <f t="shared" ca="1" si="410"/>
        <v>71.5612983897107</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2.4157658370150497</v>
      </c>
      <c r="AH922" s="357">
        <f t="shared" ca="1" si="434"/>
        <v>-7.3151054263432069</v>
      </c>
    </row>
    <row r="923" spans="1:34" x14ac:dyDescent="0.25">
      <c r="A923" s="402">
        <f t="shared" ca="1" si="412"/>
        <v>0.1</v>
      </c>
      <c r="B923" s="357">
        <f t="shared" ca="1" si="413"/>
        <v>46.900000000000333</v>
      </c>
      <c r="C923" s="342"/>
      <c r="D923" s="359">
        <f t="shared" ca="1" si="414"/>
        <v>-0.9259545806224857</v>
      </c>
      <c r="E923" s="360">
        <f t="shared" ca="1" si="415"/>
        <v>-2.5199051231405809</v>
      </c>
      <c r="F923" s="357">
        <f t="shared" ca="1" si="416"/>
        <v>2.6846440574135539</v>
      </c>
      <c r="G923" s="359">
        <f t="shared" ca="1" si="417"/>
        <v>20.538820208126648</v>
      </c>
      <c r="H923" s="360">
        <f t="shared" ca="1" si="418"/>
        <v>-162.68433956914254</v>
      </c>
      <c r="I923" s="357">
        <f t="shared" ca="1" si="419"/>
        <v>163.97572221700938</v>
      </c>
      <c r="J923" s="359">
        <f t="shared" ca="1" si="420"/>
        <v>1738.2019828401549</v>
      </c>
      <c r="K923" s="360">
        <f t="shared" ca="1" si="421"/>
        <v>364.38613103800208</v>
      </c>
      <c r="L923" s="357">
        <f t="shared" ca="1" si="406"/>
        <v>1775.9851873375212</v>
      </c>
      <c r="M923" s="359">
        <f t="shared" ca="1" si="422"/>
        <v>-1.4452112228503109</v>
      </c>
      <c r="N923" s="357">
        <f t="shared" ca="1" si="423"/>
        <v>-82.804503574263492</v>
      </c>
      <c r="O923" s="343"/>
      <c r="P923" s="363">
        <f t="shared" ca="1" si="424"/>
        <v>23</v>
      </c>
      <c r="Q923" s="357">
        <f t="shared" ca="1" si="425"/>
        <v>0</v>
      </c>
      <c r="R923" s="359">
        <f t="shared" ca="1" si="426"/>
        <v>0</v>
      </c>
      <c r="S923" s="360">
        <f t="shared" ca="1" si="427"/>
        <v>9.7379999999999765</v>
      </c>
      <c r="T923" s="357">
        <f t="shared" ca="1" si="407"/>
        <v>95.529779999999775</v>
      </c>
      <c r="U923" s="364">
        <f t="shared" ca="1" si="408"/>
        <v>0</v>
      </c>
      <c r="V923" s="359">
        <f t="shared" ca="1" si="409"/>
        <v>1.1811614076997665</v>
      </c>
      <c r="W923" s="357">
        <f t="shared" ca="1" si="410"/>
        <v>71.886604633780607</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2.3831479433062617</v>
      </c>
      <c r="AH923" s="357">
        <f t="shared" ca="1" si="434"/>
        <v>-7.3486648582574317</v>
      </c>
    </row>
    <row r="924" spans="1:34" x14ac:dyDescent="0.25">
      <c r="A924" s="402">
        <f t="shared" ca="1" si="412"/>
        <v>0.1</v>
      </c>
      <c r="B924" s="357">
        <f t="shared" ca="1" si="413"/>
        <v>47.000000000000334</v>
      </c>
      <c r="C924" s="342"/>
      <c r="D924" s="359">
        <f t="shared" ca="1" si="414"/>
        <v>-0.92464311882609052</v>
      </c>
      <c r="E924" s="360">
        <f t="shared" ca="1" si="415"/>
        <v>-2.4860664147663361</v>
      </c>
      <c r="F924" s="357">
        <f t="shared" ca="1" si="416"/>
        <v>2.6524500213616813</v>
      </c>
      <c r="G924" s="359">
        <f t="shared" ca="1" si="417"/>
        <v>20.446355896244039</v>
      </c>
      <c r="H924" s="360">
        <f t="shared" ca="1" si="418"/>
        <v>-162.93294621061918</v>
      </c>
      <c r="I924" s="357">
        <f t="shared" ca="1" si="419"/>
        <v>164.21083530117127</v>
      </c>
      <c r="J924" s="359">
        <f t="shared" ca="1" si="420"/>
        <v>1740.2512416453735</v>
      </c>
      <c r="K924" s="360">
        <f t="shared" ca="1" si="421"/>
        <v>348.10526674901399</v>
      </c>
      <c r="L924" s="357">
        <f t="shared" ca="1" si="406"/>
        <v>1774.7257987606608</v>
      </c>
      <c r="M924" s="359">
        <f t="shared" ca="1" si="422"/>
        <v>-1.4459595011978181</v>
      </c>
      <c r="N924" s="357">
        <f t="shared" ca="1" si="423"/>
        <v>-82.847376765476682</v>
      </c>
      <c r="O924" s="343"/>
      <c r="P924" s="363">
        <f t="shared" ca="1" si="424"/>
        <v>23</v>
      </c>
      <c r="Q924" s="357">
        <f t="shared" ca="1" si="425"/>
        <v>0</v>
      </c>
      <c r="R924" s="359">
        <f t="shared" ca="1" si="426"/>
        <v>0</v>
      </c>
      <c r="S924" s="360">
        <f t="shared" ca="1" si="427"/>
        <v>9.7379999999999765</v>
      </c>
      <c r="T924" s="357">
        <f t="shared" ca="1" si="407"/>
        <v>95.529779999999775</v>
      </c>
      <c r="U924" s="364">
        <f t="shared" ca="1" si="408"/>
        <v>0</v>
      </c>
      <c r="V924" s="359">
        <f t="shared" ca="1" si="409"/>
        <v>1.183086618269626</v>
      </c>
      <c r="W924" s="357">
        <f t="shared" ca="1" si="410"/>
        <v>72.210404953436097</v>
      </c>
      <c r="X924" s="343"/>
      <c r="Y924" s="367" t="str">
        <f t="shared" ca="1" si="428"/>
        <v/>
      </c>
      <c r="Z924" s="368" t="str">
        <f t="shared" ca="1" si="429"/>
        <v/>
      </c>
      <c r="AA924" s="369" t="str">
        <f t="shared" ca="1" si="430"/>
        <v/>
      </c>
      <c r="AB924" s="344"/>
      <c r="AC924" s="363">
        <f t="shared" ca="1" si="431"/>
        <v>47.000000000000334</v>
      </c>
      <c r="AD924" s="376">
        <f t="shared" ca="1" si="432"/>
        <v>1740.2512416453735</v>
      </c>
      <c r="AE924" s="377" t="e">
        <f t="shared" ca="1" si="411"/>
        <v>#N/A</v>
      </c>
      <c r="AF924" s="344"/>
      <c r="AG924" s="359">
        <f t="shared" ca="1" si="433"/>
        <v>2.3506711165871206</v>
      </c>
      <c r="AH924" s="357">
        <f t="shared" ca="1" si="434"/>
        <v>-7.3820707161409711</v>
      </c>
    </row>
    <row r="925" spans="1:34" x14ac:dyDescent="0.25">
      <c r="A925" s="402">
        <f t="shared" ca="1" si="412"/>
        <v>0.1</v>
      </c>
      <c r="B925" s="357">
        <f t="shared" ca="1" si="413"/>
        <v>47.100000000000335</v>
      </c>
      <c r="C925" s="342"/>
      <c r="D925" s="359">
        <f t="shared" ca="1" si="414"/>
        <v>-0.92330272229620869</v>
      </c>
      <c r="E925" s="360">
        <f t="shared" ca="1" si="415"/>
        <v>-2.4523841220703178</v>
      </c>
      <c r="F925" s="357">
        <f t="shared" ca="1" si="416"/>
        <v>2.6204342768293567</v>
      </c>
      <c r="G925" s="359">
        <f t="shared" ca="1" si="417"/>
        <v>20.354025624014419</v>
      </c>
      <c r="H925" s="360">
        <f t="shared" ca="1" si="418"/>
        <v>-163.17818462282622</v>
      </c>
      <c r="I925" s="357">
        <f t="shared" ca="1" si="419"/>
        <v>164.44271432904588</v>
      </c>
      <c r="J925" s="359">
        <f t="shared" ca="1" si="420"/>
        <v>1742.2912607213864</v>
      </c>
      <c r="K925" s="360">
        <f t="shared" ca="1" si="421"/>
        <v>331.79971020734172</v>
      </c>
      <c r="L925" s="357">
        <f t="shared" ca="1" si="406"/>
        <v>1773.6036436813592</v>
      </c>
      <c r="M925" s="359">
        <f t="shared" ca="1" si="422"/>
        <v>-1.4467022954189919</v>
      </c>
      <c r="N925" s="357">
        <f t="shared" ca="1" si="423"/>
        <v>-82.889935739396648</v>
      </c>
      <c r="O925" s="343"/>
      <c r="P925" s="363">
        <f t="shared" ca="1" si="424"/>
        <v>23</v>
      </c>
      <c r="Q925" s="357">
        <f t="shared" ca="1" si="425"/>
        <v>0</v>
      </c>
      <c r="R925" s="359">
        <f t="shared" ca="1" si="426"/>
        <v>0</v>
      </c>
      <c r="S925" s="360">
        <f t="shared" ca="1" si="427"/>
        <v>9.7379999999999765</v>
      </c>
      <c r="T925" s="357">
        <f t="shared" ca="1" si="407"/>
        <v>95.529779999999775</v>
      </c>
      <c r="U925" s="364">
        <f t="shared" ca="1" si="408"/>
        <v>0</v>
      </c>
      <c r="V925" s="359">
        <f t="shared" ca="1" si="409"/>
        <v>1.1850178389717327</v>
      </c>
      <c r="W925" s="357">
        <f t="shared" ca="1" si="410"/>
        <v>72.53268919268541</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2.3183366279746647</v>
      </c>
      <c r="AH925" s="357">
        <f t="shared" ca="1" si="434"/>
        <v>-7.4153219299071953</v>
      </c>
    </row>
    <row r="926" spans="1:34" x14ac:dyDescent="0.25">
      <c r="A926" s="402">
        <f t="shared" ca="1" si="412"/>
        <v>0.1</v>
      </c>
      <c r="B926" s="357">
        <f t="shared" ca="1" si="413"/>
        <v>47.200000000000337</v>
      </c>
      <c r="C926" s="342"/>
      <c r="D926" s="359">
        <f t="shared" ca="1" si="414"/>
        <v>-0.92193369824394955</v>
      </c>
      <c r="E926" s="360">
        <f t="shared" ca="1" si="415"/>
        <v>-2.418859298842472</v>
      </c>
      <c r="F926" s="357">
        <f t="shared" ca="1" si="416"/>
        <v>2.5885984724469071</v>
      </c>
      <c r="G926" s="359">
        <f t="shared" ca="1" si="417"/>
        <v>20.261832254190026</v>
      </c>
      <c r="H926" s="360">
        <f t="shared" ca="1" si="418"/>
        <v>-163.42007055271046</v>
      </c>
      <c r="I926" s="357">
        <f t="shared" ca="1" si="419"/>
        <v>164.67137366813273</v>
      </c>
      <c r="J926" s="359">
        <f t="shared" ca="1" si="420"/>
        <v>1744.3220536152967</v>
      </c>
      <c r="K926" s="360">
        <f t="shared" ca="1" si="421"/>
        <v>315.46979744856486</v>
      </c>
      <c r="L926" s="357">
        <f t="shared" ca="1" si="406"/>
        <v>1772.619705360099</v>
      </c>
      <c r="M926" s="359">
        <f t="shared" ca="1" si="422"/>
        <v>-1.4474396673787977</v>
      </c>
      <c r="N926" s="357">
        <f t="shared" ca="1" si="423"/>
        <v>-82.932184040624804</v>
      </c>
      <c r="O926" s="343"/>
      <c r="P926" s="363">
        <f t="shared" ca="1" si="424"/>
        <v>23</v>
      </c>
      <c r="Q926" s="357">
        <f t="shared" ca="1" si="425"/>
        <v>0</v>
      </c>
      <c r="R926" s="359">
        <f t="shared" ca="1" si="426"/>
        <v>0</v>
      </c>
      <c r="S926" s="360">
        <f t="shared" ca="1" si="427"/>
        <v>9.7379999999999765</v>
      </c>
      <c r="T926" s="357">
        <f t="shared" ca="1" si="407"/>
        <v>95.529779999999775</v>
      </c>
      <c r="U926" s="364">
        <f t="shared" ca="1" si="408"/>
        <v>0</v>
      </c>
      <c r="V926" s="359">
        <f t="shared" ca="1" si="409"/>
        <v>1.1869550514236176</v>
      </c>
      <c r="W926" s="357">
        <f t="shared" ca="1" si="410"/>
        <v>72.853447458994594</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2.2861457174272282</v>
      </c>
      <c r="AH926" s="357">
        <f t="shared" ca="1" si="434"/>
        <v>-7.4484174566323258</v>
      </c>
    </row>
    <row r="927" spans="1:34" x14ac:dyDescent="0.25">
      <c r="A927" s="402">
        <f t="shared" ca="1" si="412"/>
        <v>0.1</v>
      </c>
      <c r="B927" s="357">
        <f t="shared" ca="1" si="413"/>
        <v>47.300000000000338</v>
      </c>
      <c r="C927" s="342"/>
      <c r="D927" s="359">
        <f t="shared" ca="1" si="414"/>
        <v>-0.92053635438633052</v>
      </c>
      <c r="E927" s="360">
        <f t="shared" ca="1" si="415"/>
        <v>-2.3854929715677571</v>
      </c>
      <c r="F927" s="357">
        <f t="shared" ca="1" si="416"/>
        <v>2.5569442499096544</v>
      </c>
      <c r="G927" s="359">
        <f t="shared" ca="1" si="417"/>
        <v>20.169778618751394</v>
      </c>
      <c r="H927" s="360">
        <f t="shared" ca="1" si="418"/>
        <v>-163.65861984986722</v>
      </c>
      <c r="I927" s="357">
        <f t="shared" ca="1" si="419"/>
        <v>164.89682780664035</v>
      </c>
      <c r="J927" s="359">
        <f t="shared" ca="1" si="420"/>
        <v>1746.3436341589438</v>
      </c>
      <c r="K927" s="360">
        <f t="shared" ca="1" si="421"/>
        <v>299.115862928436</v>
      </c>
      <c r="L927" s="357">
        <f t="shared" ca="1" si="406"/>
        <v>1771.7749258929277</v>
      </c>
      <c r="M927" s="359">
        <f t="shared" ca="1" si="422"/>
        <v>-1.4481716779491036</v>
      </c>
      <c r="N927" s="357">
        <f t="shared" ca="1" si="423"/>
        <v>-82.9741251568623</v>
      </c>
      <c r="O927" s="343"/>
      <c r="P927" s="363">
        <f t="shared" ca="1" si="424"/>
        <v>23</v>
      </c>
      <c r="Q927" s="357">
        <f t="shared" ca="1" si="425"/>
        <v>0</v>
      </c>
      <c r="R927" s="359">
        <f t="shared" ca="1" si="426"/>
        <v>0</v>
      </c>
      <c r="S927" s="360">
        <f t="shared" ca="1" si="427"/>
        <v>9.7379999999999765</v>
      </c>
      <c r="T927" s="357">
        <f t="shared" ca="1" si="407"/>
        <v>95.529779999999775</v>
      </c>
      <c r="U927" s="364">
        <f t="shared" ca="1" si="408"/>
        <v>0</v>
      </c>
      <c r="V927" s="359">
        <f t="shared" ca="1" si="409"/>
        <v>1.188898237286629</v>
      </c>
      <c r="W927" s="357">
        <f t="shared" ca="1" si="410"/>
        <v>73.172670122188777</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2.2540995939476405</v>
      </c>
      <c r="AH927" s="357">
        <f t="shared" ca="1" si="434"/>
        <v>-7.4813562804471934</v>
      </c>
    </row>
    <row r="928" spans="1:34" x14ac:dyDescent="0.25">
      <c r="A928" s="402">
        <f t="shared" ca="1" si="412"/>
        <v>0.1</v>
      </c>
      <c r="B928" s="357">
        <f t="shared" ca="1" si="413"/>
        <v>47.40000000000034</v>
      </c>
      <c r="C928" s="342"/>
      <c r="D928" s="359">
        <f t="shared" ca="1" si="414"/>
        <v>-0.91911099889196757</v>
      </c>
      <c r="E928" s="360">
        <f t="shared" ca="1" si="415"/>
        <v>-2.352286139539002</v>
      </c>
      <c r="F928" s="357">
        <f t="shared" ca="1" si="416"/>
        <v>2.5254732448694623</v>
      </c>
      <c r="G928" s="359">
        <f t="shared" ca="1" si="417"/>
        <v>20.077867518862199</v>
      </c>
      <c r="H928" s="360">
        <f t="shared" ca="1" si="418"/>
        <v>-163.89384846382112</v>
      </c>
      <c r="I928" s="357">
        <f t="shared" ca="1" si="419"/>
        <v>165.11909135041574</v>
      </c>
      <c r="J928" s="359">
        <f t="shared" ca="1" si="420"/>
        <v>1748.3560164658245</v>
      </c>
      <c r="K928" s="360">
        <f t="shared" ca="1" si="421"/>
        <v>282.73823951275159</v>
      </c>
      <c r="L928" s="357">
        <f t="shared" ca="1" si="406"/>
        <v>1771.0702053828968</v>
      </c>
      <c r="M928" s="359">
        <f t="shared" ca="1" si="422"/>
        <v>-1.4488983870281575</v>
      </c>
      <c r="N928" s="357">
        <f t="shared" ca="1" si="423"/>
        <v>-83.01576252002593</v>
      </c>
      <c r="O928" s="343"/>
      <c r="P928" s="363">
        <f t="shared" ca="1" si="424"/>
        <v>23</v>
      </c>
      <c r="Q928" s="357">
        <f t="shared" ca="1" si="425"/>
        <v>0</v>
      </c>
      <c r="R928" s="359">
        <f t="shared" ca="1" si="426"/>
        <v>0</v>
      </c>
      <c r="S928" s="360">
        <f t="shared" ca="1" si="427"/>
        <v>9.7379999999999765</v>
      </c>
      <c r="T928" s="357">
        <f t="shared" ca="1" si="407"/>
        <v>95.529779999999775</v>
      </c>
      <c r="U928" s="364">
        <f t="shared" ca="1" si="408"/>
        <v>0</v>
      </c>
      <c r="V928" s="359">
        <f t="shared" ca="1" si="409"/>
        <v>1.1908473782668665</v>
      </c>
      <c r="W928" s="357">
        <f t="shared" ca="1" si="410"/>
        <v>73.490347813309782</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2.2221994357884087</v>
      </c>
      <c r="AH928" s="357">
        <f t="shared" ca="1" si="434"/>
        <v>-7.5141374124244154</v>
      </c>
    </row>
    <row r="929" spans="1:34" x14ac:dyDescent="0.25">
      <c r="A929" s="402">
        <f t="shared" ca="1" si="412"/>
        <v>0.1</v>
      </c>
      <c r="B929" s="357">
        <f t="shared" ca="1" si="413"/>
        <v>47.500000000000341</v>
      </c>
      <c r="C929" s="342"/>
      <c r="D929" s="359">
        <f t="shared" ca="1" si="414"/>
        <v>-0.91765794032731607</v>
      </c>
      <c r="E929" s="360">
        <f t="shared" ca="1" si="415"/>
        <v>-2.3192397749743527</v>
      </c>
      <c r="F929" s="357">
        <f t="shared" ca="1" si="416"/>
        <v>2.494187087864272</v>
      </c>
      <c r="G929" s="359">
        <f t="shared" ca="1" si="417"/>
        <v>19.986101724829467</v>
      </c>
      <c r="H929" s="360">
        <f t="shared" ca="1" si="418"/>
        <v>-164.12577244131856</v>
      </c>
      <c r="I929" s="357">
        <f t="shared" ca="1" si="419"/>
        <v>165.3381790198946</v>
      </c>
      <c r="J929" s="359">
        <f t="shared" ca="1" si="420"/>
        <v>1750.3592149280091</v>
      </c>
      <c r="K929" s="360">
        <f t="shared" ca="1" si="421"/>
        <v>266.33725846749462</v>
      </c>
      <c r="L929" s="357">
        <f t="shared" ca="1" si="406"/>
        <v>1770.5064011551547</v>
      </c>
      <c r="M929" s="359">
        <f t="shared" ca="1" si="422"/>
        <v>-1.4496198535596179</v>
      </c>
      <c r="N929" s="357">
        <f t="shared" ca="1" si="423"/>
        <v>-83.057099507338549</v>
      </c>
      <c r="O929" s="343"/>
      <c r="P929" s="363">
        <f t="shared" ca="1" si="424"/>
        <v>23</v>
      </c>
      <c r="Q929" s="357">
        <f t="shared" ca="1" si="425"/>
        <v>0</v>
      </c>
      <c r="R929" s="359">
        <f t="shared" ca="1" si="426"/>
        <v>0</v>
      </c>
      <c r="S929" s="360">
        <f t="shared" ca="1" si="427"/>
        <v>9.7379999999999765</v>
      </c>
      <c r="T929" s="357">
        <f t="shared" ca="1" si="407"/>
        <v>95.529779999999775</v>
      </c>
      <c r="U929" s="364">
        <f t="shared" ca="1" si="408"/>
        <v>0</v>
      </c>
      <c r="V929" s="359">
        <f t="shared" ca="1" si="409"/>
        <v>1.1928024561161032</v>
      </c>
      <c r="W929" s="357">
        <f t="shared" ca="1" si="410"/>
        <v>73.80647142343075</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2.1904463906588623</v>
      </c>
      <c r="AH929" s="357">
        <f t="shared" ca="1" si="434"/>
        <v>-7.5467598904610762</v>
      </c>
    </row>
    <row r="930" spans="1:34" x14ac:dyDescent="0.25">
      <c r="A930" s="402">
        <f t="shared" ca="1" si="412"/>
        <v>0.1</v>
      </c>
      <c r="B930" s="357">
        <f t="shared" ca="1" si="413"/>
        <v>47.600000000000342</v>
      </c>
      <c r="C930" s="342"/>
      <c r="D930" s="359">
        <f t="shared" ca="1" si="414"/>
        <v>-0.9161774876034503</v>
      </c>
      <c r="E930" s="360">
        <f t="shared" ca="1" si="415"/>
        <v>-2.2863548231391801</v>
      </c>
      <c r="F930" s="357">
        <f t="shared" ca="1" si="416"/>
        <v>2.4630874052869425</v>
      </c>
      <c r="G930" s="359">
        <f t="shared" ca="1" si="417"/>
        <v>19.894483976069122</v>
      </c>
      <c r="H930" s="360">
        <f t="shared" ca="1" si="418"/>
        <v>-164.35440792363246</v>
      </c>
      <c r="I930" s="357">
        <f t="shared" ca="1" si="419"/>
        <v>165.55410564707191</v>
      </c>
      <c r="J930" s="359">
        <f t="shared" ca="1" si="420"/>
        <v>1752.353244213054</v>
      </c>
      <c r="K930" s="360">
        <f t="shared" ca="1" si="421"/>
        <v>249.91324944924708</v>
      </c>
      <c r="L930" s="357">
        <f t="shared" ca="1" si="406"/>
        <v>1770.0843270178675</v>
      </c>
      <c r="M930" s="359">
        <f t="shared" ca="1" si="422"/>
        <v>-1.4503361355511484</v>
      </c>
      <c r="N930" s="357">
        <f t="shared" ca="1" si="423"/>
        <v>-83.098139442394469</v>
      </c>
      <c r="O930" s="343"/>
      <c r="P930" s="363">
        <f t="shared" ca="1" si="424"/>
        <v>23</v>
      </c>
      <c r="Q930" s="357">
        <f t="shared" ca="1" si="425"/>
        <v>0</v>
      </c>
      <c r="R930" s="359">
        <f t="shared" ca="1" si="426"/>
        <v>0</v>
      </c>
      <c r="S930" s="360">
        <f t="shared" ca="1" si="427"/>
        <v>9.7379999999999765</v>
      </c>
      <c r="T930" s="357">
        <f t="shared" ca="1" si="407"/>
        <v>95.529779999999775</v>
      </c>
      <c r="U930" s="364">
        <f t="shared" ca="1" si="408"/>
        <v>0</v>
      </c>
      <c r="V930" s="359">
        <f t="shared" ca="1" si="409"/>
        <v>1.1947634526327016</v>
      </c>
      <c r="W930" s="357">
        <f t="shared" ca="1" si="410"/>
        <v>74.121032102428586</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2.1588415759342672</v>
      </c>
      <c r="AH930" s="357">
        <f t="shared" ca="1" si="434"/>
        <v>-7.5792227791570062</v>
      </c>
    </row>
    <row r="931" spans="1:34" x14ac:dyDescent="0.25">
      <c r="A931" s="402">
        <f t="shared" ca="1" si="412"/>
        <v>0.1</v>
      </c>
      <c r="B931" s="357">
        <f t="shared" ca="1" si="413"/>
        <v>47.700000000000344</v>
      </c>
      <c r="C931" s="342"/>
      <c r="D931" s="359">
        <f t="shared" ca="1" si="414"/>
        <v>-0.91466994992339046</v>
      </c>
      <c r="E931" s="360">
        <f t="shared" ca="1" si="415"/>
        <v>-2.2536322024724047</v>
      </c>
      <c r="F931" s="357">
        <f t="shared" ca="1" si="416"/>
        <v>2.4321758203948742</v>
      </c>
      <c r="G931" s="359">
        <f t="shared" ca="1" si="417"/>
        <v>19.803016981076784</v>
      </c>
      <c r="H931" s="360">
        <f t="shared" ca="1" si="418"/>
        <v>-164.5797711438797</v>
      </c>
      <c r="I931" s="357">
        <f t="shared" ca="1" si="419"/>
        <v>165.76688617249414</v>
      </c>
      <c r="J931" s="359">
        <f t="shared" ca="1" si="420"/>
        <v>1754.3381192609113</v>
      </c>
      <c r="K931" s="360">
        <f t="shared" ca="1" si="421"/>
        <v>233.46654049587147</v>
      </c>
      <c r="L931" s="357">
        <f t="shared" ca="1" si="406"/>
        <v>1769.8047525710349</v>
      </c>
      <c r="M931" s="359">
        <f t="shared" ca="1" si="422"/>
        <v>-1.4510472900925884</v>
      </c>
      <c r="N931" s="357">
        <f t="shared" ca="1" si="423"/>
        <v>-83.138885596200552</v>
      </c>
      <c r="O931" s="343"/>
      <c r="P931" s="363">
        <f t="shared" ca="1" si="424"/>
        <v>23</v>
      </c>
      <c r="Q931" s="357">
        <f t="shared" ca="1" si="425"/>
        <v>0</v>
      </c>
      <c r="R931" s="359">
        <f t="shared" ca="1" si="426"/>
        <v>0</v>
      </c>
      <c r="S931" s="360">
        <f t="shared" ca="1" si="427"/>
        <v>9.7379999999999765</v>
      </c>
      <c r="T931" s="357">
        <f t="shared" ca="1" si="407"/>
        <v>95.529779999999775</v>
      </c>
      <c r="U931" s="364">
        <f t="shared" ca="1" si="408"/>
        <v>0</v>
      </c>
      <c r="V931" s="359">
        <f t="shared" ca="1" si="409"/>
        <v>1.1967303496625217</v>
      </c>
      <c r="W931" s="357">
        <f t="shared" ca="1" si="410"/>
        <v>74.434021257715386</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2.127386078866901</v>
      </c>
      <c r="AH931" s="357">
        <f t="shared" ca="1" si="434"/>
        <v>-7.6115251696887212</v>
      </c>
    </row>
    <row r="932" spans="1:34" x14ac:dyDescent="0.25">
      <c r="A932" s="402">
        <f t="shared" ca="1" si="412"/>
        <v>0.1</v>
      </c>
      <c r="B932" s="357">
        <f t="shared" ca="1" si="413"/>
        <v>47.800000000000345</v>
      </c>
      <c r="C932" s="342"/>
      <c r="D932" s="359">
        <f t="shared" ca="1" si="414"/>
        <v>-0.91313563672999165</v>
      </c>
      <c r="E932" s="360">
        <f t="shared" ca="1" si="415"/>
        <v>-2.221072804717088</v>
      </c>
      <c r="F932" s="357">
        <f t="shared" ca="1" si="416"/>
        <v>2.4014539543618403</v>
      </c>
      <c r="G932" s="359">
        <f t="shared" ca="1" si="417"/>
        <v>19.711703417403786</v>
      </c>
      <c r="H932" s="360">
        <f t="shared" ca="1" si="418"/>
        <v>-164.8018784243514</v>
      </c>
      <c r="I932" s="357">
        <f t="shared" ca="1" si="419"/>
        <v>165.97653564227198</v>
      </c>
      <c r="J932" s="359">
        <f t="shared" ca="1" si="420"/>
        <v>1756.3138552808352</v>
      </c>
      <c r="K932" s="360">
        <f t="shared" ca="1" si="421"/>
        <v>216.99745801745991</v>
      </c>
      <c r="L932" s="357">
        <f t="shared" ca="1" si="406"/>
        <v>1769.6684025651443</v>
      </c>
      <c r="M932" s="359">
        <f t="shared" ca="1" si="422"/>
        <v>-1.4517533733737094</v>
      </c>
      <c r="N932" s="357">
        <f t="shared" ca="1" si="423"/>
        <v>-83.179341188193533</v>
      </c>
      <c r="O932" s="343"/>
      <c r="P932" s="363">
        <f t="shared" ca="1" si="424"/>
        <v>23</v>
      </c>
      <c r="Q932" s="357">
        <f t="shared" ca="1" si="425"/>
        <v>0</v>
      </c>
      <c r="R932" s="359">
        <f t="shared" ca="1" si="426"/>
        <v>0</v>
      </c>
      <c r="S932" s="360">
        <f t="shared" ca="1" si="427"/>
        <v>9.7379999999999765</v>
      </c>
      <c r="T932" s="357">
        <f t="shared" ca="1" si="407"/>
        <v>95.529779999999775</v>
      </c>
      <c r="U932" s="364">
        <f t="shared" ca="1" si="408"/>
        <v>0</v>
      </c>
      <c r="V932" s="359">
        <f t="shared" ca="1" si="409"/>
        <v>1.1987031290998189</v>
      </c>
      <c r="W932" s="357">
        <f t="shared" ca="1" si="410"/>
        <v>74.74543055292888</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2.0960809567990646</v>
      </c>
      <c r="AH932" s="357">
        <f t="shared" ca="1" si="434"/>
        <v>-7.6436661796791503</v>
      </c>
    </row>
    <row r="933" spans="1:34" x14ac:dyDescent="0.25">
      <c r="A933" s="402">
        <f t="shared" ca="1" si="412"/>
        <v>0.1</v>
      </c>
      <c r="B933" s="357">
        <f t="shared" ca="1" si="413"/>
        <v>47.900000000000347</v>
      </c>
      <c r="C933" s="342"/>
      <c r="D933" s="359">
        <f t="shared" ca="1" si="414"/>
        <v>-0.91157485765439272</v>
      </c>
      <c r="E933" s="360">
        <f t="shared" ca="1" si="415"/>
        <v>-2.1886774950553143</v>
      </c>
      <c r="F933" s="357">
        <f t="shared" ca="1" si="416"/>
        <v>2.3709234273736532</v>
      </c>
      <c r="G933" s="359">
        <f t="shared" ca="1" si="417"/>
        <v>19.620545931638347</v>
      </c>
      <c r="H933" s="360">
        <f t="shared" ca="1" si="418"/>
        <v>-165.02074617385694</v>
      </c>
      <c r="I933" s="357">
        <f t="shared" ca="1" si="419"/>
        <v>166.183069205115</v>
      </c>
      <c r="J933" s="359">
        <f t="shared" ca="1" si="420"/>
        <v>1758.2804677482873</v>
      </c>
      <c r="K933" s="360">
        <f t="shared" ca="1" si="421"/>
        <v>200.50632678754948</v>
      </c>
      <c r="L933" s="357">
        <f t="shared" ca="1" si="406"/>
        <v>1769.6759563114856</v>
      </c>
      <c r="M933" s="359">
        <f t="shared" ca="1" si="422"/>
        <v>-1.4524544407015698</v>
      </c>
      <c r="N933" s="357">
        <f t="shared" ca="1" si="423"/>
        <v>-83.219509387234453</v>
      </c>
      <c r="O933" s="343"/>
      <c r="P933" s="363">
        <f t="shared" ca="1" si="424"/>
        <v>23</v>
      </c>
      <c r="Q933" s="357">
        <f t="shared" ca="1" si="425"/>
        <v>0</v>
      </c>
      <c r="R933" s="359">
        <f t="shared" ca="1" si="426"/>
        <v>0</v>
      </c>
      <c r="S933" s="360">
        <f t="shared" ca="1" si="427"/>
        <v>9.7379999999999765</v>
      </c>
      <c r="T933" s="357">
        <f t="shared" ca="1" si="407"/>
        <v>95.529779999999775</v>
      </c>
      <c r="U933" s="364">
        <f t="shared" ca="1" si="408"/>
        <v>0</v>
      </c>
      <c r="V933" s="359">
        <f t="shared" ca="1" si="409"/>
        <v>1.2006817728881347</v>
      </c>
      <c r="W933" s="357">
        <f t="shared" ca="1" si="410"/>
        <v>75.055251906583649</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2.0649272373780398</v>
      </c>
      <c r="AH933" s="357">
        <f t="shared" ca="1" si="434"/>
        <v>-7.675644953063161</v>
      </c>
    </row>
    <row r="934" spans="1:34" x14ac:dyDescent="0.25">
      <c r="A934" s="402">
        <f t="shared" ca="1" si="412"/>
        <v>0.1</v>
      </c>
      <c r="B934" s="357">
        <f t="shared" ca="1" si="413"/>
        <v>48.000000000000348</v>
      </c>
      <c r="C934" s="342"/>
      <c r="D934" s="359">
        <f t="shared" ca="1" si="414"/>
        <v>-0.90998792246503557</v>
      </c>
      <c r="E934" s="360">
        <f t="shared" ca="1" si="415"/>
        <v>-2.1564471122471502</v>
      </c>
      <c r="F934" s="357">
        <f t="shared" ca="1" si="416"/>
        <v>2.3405858597691531</v>
      </c>
      <c r="G934" s="359">
        <f t="shared" ca="1" si="417"/>
        <v>19.529547139391845</v>
      </c>
      <c r="H934" s="360">
        <f t="shared" ca="1" si="418"/>
        <v>-165.23639088508165</v>
      </c>
      <c r="I934" s="357">
        <f t="shared" ca="1" si="419"/>
        <v>166.38650210938752</v>
      </c>
      <c r="J934" s="359">
        <f t="shared" ca="1" si="420"/>
        <v>1760.2379724018388</v>
      </c>
      <c r="K934" s="360">
        <f t="shared" ca="1" si="421"/>
        <v>183.99346993460256</v>
      </c>
      <c r="L934" s="357">
        <f t="shared" ca="1" si="406"/>
        <v>1769.8280471457988</v>
      </c>
      <c r="M934" s="359">
        <f t="shared" ca="1" si="422"/>
        <v>-1.4531505465174765</v>
      </c>
      <c r="N934" s="357">
        <f t="shared" ca="1" si="423"/>
        <v>-83.259393312580414</v>
      </c>
      <c r="O934" s="343"/>
      <c r="P934" s="363">
        <f t="shared" ca="1" si="424"/>
        <v>23</v>
      </c>
      <c r="Q934" s="357">
        <f t="shared" ca="1" si="425"/>
        <v>0</v>
      </c>
      <c r="R934" s="359">
        <f t="shared" ca="1" si="426"/>
        <v>0</v>
      </c>
      <c r="S934" s="360">
        <f t="shared" ca="1" si="427"/>
        <v>9.7379999999999765</v>
      </c>
      <c r="T934" s="357">
        <f t="shared" ca="1" si="407"/>
        <v>95.529779999999775</v>
      </c>
      <c r="U934" s="364">
        <f t="shared" ca="1" si="408"/>
        <v>0</v>
      </c>
      <c r="V934" s="359">
        <f t="shared" ca="1" si="409"/>
        <v>1.2026662630211784</v>
      </c>
      <c r="W934" s="357">
        <f t="shared" ca="1" si="410"/>
        <v>75.363477490683209</v>
      </c>
      <c r="X934" s="343"/>
      <c r="Y934" s="367" t="str">
        <f t="shared" ca="1" si="428"/>
        <v/>
      </c>
      <c r="Z934" s="368" t="str">
        <f t="shared" ca="1" si="429"/>
        <v/>
      </c>
      <c r="AA934" s="369" t="str">
        <f t="shared" ca="1" si="430"/>
        <v/>
      </c>
      <c r="AB934" s="344"/>
      <c r="AC934" s="363">
        <f t="shared" ca="1" si="431"/>
        <v>48.000000000000348</v>
      </c>
      <c r="AD934" s="376">
        <f t="shared" ca="1" si="432"/>
        <v>1760.2379724018388</v>
      </c>
      <c r="AE934" s="377" t="e">
        <f t="shared" ca="1" si="411"/>
        <v>#N/A</v>
      </c>
      <c r="AF934" s="344"/>
      <c r="AG934" s="359">
        <f t="shared" ca="1" si="433"/>
        <v>2.0339259187729519</v>
      </c>
      <c r="AH934" s="357">
        <f t="shared" ca="1" si="434"/>
        <v>-7.7074606599490485</v>
      </c>
    </row>
    <row r="935" spans="1:34" x14ac:dyDescent="0.25">
      <c r="A935" s="402">
        <f t="shared" ca="1" si="412"/>
        <v>0.1</v>
      </c>
      <c r="B935" s="357">
        <f t="shared" ca="1" si="413"/>
        <v>48.10000000000035</v>
      </c>
      <c r="C935" s="342"/>
      <c r="D935" s="359">
        <f t="shared" ca="1" si="414"/>
        <v>-0.90837514101726768</v>
      </c>
      <c r="E935" s="360">
        <f t="shared" ca="1" si="415"/>
        <v>-2.1243824687737023</v>
      </c>
      <c r="F935" s="357">
        <f t="shared" ca="1" si="416"/>
        <v>2.3104428732282458</v>
      </c>
      <c r="G935" s="359">
        <f t="shared" ca="1" si="417"/>
        <v>19.438709625290119</v>
      </c>
      <c r="H935" s="360">
        <f t="shared" ca="1" si="418"/>
        <v>-165.44882913195903</v>
      </c>
      <c r="I935" s="357">
        <f t="shared" ca="1" si="419"/>
        <v>166.58684970018649</v>
      </c>
      <c r="J935" s="359">
        <f t="shared" ca="1" si="420"/>
        <v>1762.1863852400729</v>
      </c>
      <c r="K935" s="360">
        <f t="shared" ca="1" si="421"/>
        <v>167.45920893375052</v>
      </c>
      <c r="L935" s="357">
        <f t="shared" ca="1" si="406"/>
        <v>1770.12526194679</v>
      </c>
      <c r="M935" s="359">
        <f t="shared" ca="1" si="422"/>
        <v>-1.4538417444135672</v>
      </c>
      <c r="N935" s="357">
        <f t="shared" ca="1" si="423"/>
        <v>-83.29899603483473</v>
      </c>
      <c r="O935" s="343"/>
      <c r="P935" s="363">
        <f t="shared" ca="1" si="424"/>
        <v>23</v>
      </c>
      <c r="Q935" s="357">
        <f t="shared" ca="1" si="425"/>
        <v>0</v>
      </c>
      <c r="R935" s="359">
        <f t="shared" ca="1" si="426"/>
        <v>0</v>
      </c>
      <c r="S935" s="360">
        <f t="shared" ca="1" si="427"/>
        <v>9.7379999999999765</v>
      </c>
      <c r="T935" s="357">
        <f t="shared" ca="1" si="407"/>
        <v>95.529779999999775</v>
      </c>
      <c r="U935" s="364">
        <f t="shared" ca="1" si="408"/>
        <v>0</v>
      </c>
      <c r="V935" s="359">
        <f t="shared" ca="1" si="409"/>
        <v>1.2046565815437009</v>
      </c>
      <c r="W935" s="357">
        <f t="shared" ca="1" si="410"/>
        <v>75.670099729294236</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2.0030779698935319</v>
      </c>
      <c r="AH935" s="357">
        <f t="shared" ca="1" si="434"/>
        <v>-7.739112496476011</v>
      </c>
    </row>
    <row r="936" spans="1:34" x14ac:dyDescent="0.25">
      <c r="A936" s="402">
        <f t="shared" ca="1" si="412"/>
        <v>0.1</v>
      </c>
      <c r="B936" s="357">
        <f t="shared" ca="1" si="413"/>
        <v>48.200000000000351</v>
      </c>
      <c r="C936" s="342"/>
      <c r="D936" s="359">
        <f t="shared" ca="1" si="414"/>
        <v>-0.90673682320350701</v>
      </c>
      <c r="E936" s="360">
        <f t="shared" ca="1" si="415"/>
        <v>-2.0924843509841109</v>
      </c>
      <c r="F936" s="357">
        <f t="shared" ca="1" si="416"/>
        <v>2.2804960920086188</v>
      </c>
      <c r="G936" s="359">
        <f t="shared" ca="1" si="417"/>
        <v>19.348035942969769</v>
      </c>
      <c r="H936" s="360">
        <f t="shared" ca="1" si="418"/>
        <v>-165.65807756705743</v>
      </c>
      <c r="I936" s="357">
        <f t="shared" ca="1" si="419"/>
        <v>166.78412741644112</v>
      </c>
      <c r="J936" s="359">
        <f t="shared" ca="1" si="420"/>
        <v>1764.1257225184859</v>
      </c>
      <c r="K936" s="360">
        <f t="shared" ca="1" si="421"/>
        <v>150.90386359879969</v>
      </c>
      <c r="L936" s="357">
        <f t="shared" ca="1" si="406"/>
        <v>1770.5681407108891</v>
      </c>
      <c r="M936" s="359">
        <f t="shared" ca="1" si="422"/>
        <v>-1.454528087149018</v>
      </c>
      <c r="N936" s="357">
        <f t="shared" ca="1" si="423"/>
        <v>-83.338320576875532</v>
      </c>
      <c r="O936" s="343"/>
      <c r="P936" s="363">
        <f t="shared" ca="1" si="424"/>
        <v>23</v>
      </c>
      <c r="Q936" s="357">
        <f t="shared" ca="1" si="425"/>
        <v>0</v>
      </c>
      <c r="R936" s="359">
        <f t="shared" ca="1" si="426"/>
        <v>0</v>
      </c>
      <c r="S936" s="360">
        <f t="shared" ca="1" si="427"/>
        <v>9.7379999999999765</v>
      </c>
      <c r="T936" s="357">
        <f t="shared" ca="1" si="407"/>
        <v>95.529779999999775</v>
      </c>
      <c r="U936" s="364">
        <f t="shared" ca="1" si="408"/>
        <v>0</v>
      </c>
      <c r="V936" s="359">
        <f t="shared" ca="1" si="409"/>
        <v>1.2066527105523577</v>
      </c>
      <c r="W936" s="357">
        <f t="shared" ca="1" si="410"/>
        <v>75.975111297083373</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1.97238433061076</v>
      </c>
      <c r="AH936" s="357">
        <f t="shared" ca="1" si="434"/>
        <v>-7.7705996846677365</v>
      </c>
    </row>
    <row r="937" spans="1:34" x14ac:dyDescent="0.25">
      <c r="A937" s="402">
        <f t="shared" ca="1" si="412"/>
        <v>0.1</v>
      </c>
      <c r="B937" s="357">
        <f t="shared" ca="1" si="413"/>
        <v>48.300000000000352</v>
      </c>
      <c r="C937" s="342"/>
      <c r="D937" s="359">
        <f t="shared" ca="1" si="414"/>
        <v>-0.90507327890401001</v>
      </c>
      <c r="E937" s="360">
        <f t="shared" ca="1" si="415"/>
        <v>-2.0607535192464566</v>
      </c>
      <c r="F937" s="357">
        <f t="shared" ca="1" si="416"/>
        <v>2.250747144232935</v>
      </c>
      <c r="G937" s="359">
        <f t="shared" ca="1" si="417"/>
        <v>19.257528615079369</v>
      </c>
      <c r="H937" s="360">
        <f t="shared" ca="1" si="418"/>
        <v>-165.86415291898209</v>
      </c>
      <c r="I937" s="357">
        <f t="shared" ca="1" si="419"/>
        <v>166.97835078803502</v>
      </c>
      <c r="J937" s="359">
        <f t="shared" ca="1" si="420"/>
        <v>1766.0560007463882</v>
      </c>
      <c r="K937" s="360">
        <f t="shared" ca="1" si="421"/>
        <v>134.32775207449771</v>
      </c>
      <c r="L937" s="357">
        <f t="shared" ca="1" si="406"/>
        <v>1771.1571761844612</v>
      </c>
      <c r="M937" s="359">
        <f t="shared" ca="1" si="422"/>
        <v>-1.4552096266658914</v>
      </c>
      <c r="N937" s="357">
        <f t="shared" ca="1" si="423"/>
        <v>-83.377369914763761</v>
      </c>
      <c r="O937" s="343"/>
      <c r="P937" s="363">
        <f t="shared" ca="1" si="424"/>
        <v>23</v>
      </c>
      <c r="Q937" s="357">
        <f t="shared" ca="1" si="425"/>
        <v>0</v>
      </c>
      <c r="R937" s="359">
        <f t="shared" ca="1" si="426"/>
        <v>0</v>
      </c>
      <c r="S937" s="360">
        <f t="shared" ca="1" si="427"/>
        <v>9.7379999999999765</v>
      </c>
      <c r="T937" s="357">
        <f t="shared" ca="1" si="407"/>
        <v>95.529779999999775</v>
      </c>
      <c r="U937" s="364">
        <f t="shared" ca="1" si="408"/>
        <v>0</v>
      </c>
      <c r="V937" s="359">
        <f t="shared" ca="1" si="409"/>
        <v>1.2086546321965677</v>
      </c>
      <c r="W937" s="357">
        <f t="shared" ca="1" si="410"/>
        <v>76.278505117818185</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1.9418459119793532</v>
      </c>
      <c r="AH937" s="357">
        <f t="shared" ca="1" si="434"/>
        <v>-7.8019214722821477</v>
      </c>
    </row>
    <row r="938" spans="1:34" x14ac:dyDescent="0.25">
      <c r="A938" s="402">
        <f t="shared" ca="1" si="412"/>
        <v>0.1</v>
      </c>
      <c r="B938" s="357">
        <f t="shared" ca="1" si="413"/>
        <v>48.400000000000354</v>
      </c>
      <c r="C938" s="342"/>
      <c r="D938" s="359">
        <f t="shared" ca="1" si="414"/>
        <v>-0.90338481793822922</v>
      </c>
      <c r="E938" s="360">
        <f t="shared" ca="1" si="415"/>
        <v>-2.029190708102405</v>
      </c>
      <c r="F938" s="357">
        <f t="shared" ca="1" si="416"/>
        <v>2.2211976632282022</v>
      </c>
      <c r="G938" s="359">
        <f t="shared" ca="1" si="417"/>
        <v>19.167190133285548</v>
      </c>
      <c r="H938" s="360">
        <f t="shared" ca="1" si="418"/>
        <v>-166.06707198979234</v>
      </c>
      <c r="I938" s="357">
        <f t="shared" ca="1" si="419"/>
        <v>167.1695354329502</v>
      </c>
      <c r="J938" s="359">
        <f t="shared" ca="1" si="420"/>
        <v>1767.9772366838065</v>
      </c>
      <c r="K938" s="360">
        <f t="shared" ca="1" si="421"/>
        <v>117.73119082905899</v>
      </c>
      <c r="L938" s="357">
        <f t="shared" ca="1" si="406"/>
        <v>1771.8928135545152</v>
      </c>
      <c r="M938" s="359">
        <f t="shared" ca="1" si="422"/>
        <v>-1.4558864141046295</v>
      </c>
      <c r="N938" s="357">
        <f t="shared" ca="1" si="423"/>
        <v>-83.41614697863092</v>
      </c>
      <c r="O938" s="343"/>
      <c r="P938" s="363">
        <f t="shared" ca="1" si="424"/>
        <v>23</v>
      </c>
      <c r="Q938" s="357">
        <f t="shared" ca="1" si="425"/>
        <v>0</v>
      </c>
      <c r="R938" s="359">
        <f t="shared" ca="1" si="426"/>
        <v>0</v>
      </c>
      <c r="S938" s="360">
        <f t="shared" ca="1" si="427"/>
        <v>9.7379999999999765</v>
      </c>
      <c r="T938" s="357">
        <f t="shared" ca="1" si="407"/>
        <v>95.529779999999775</v>
      </c>
      <c r="U938" s="364">
        <f t="shared" ca="1" si="408"/>
        <v>0</v>
      </c>
      <c r="V938" s="359">
        <f t="shared" ca="1" si="409"/>
        <v>1.2106623286793552</v>
      </c>
      <c r="W938" s="357">
        <f t="shared" ca="1" si="410"/>
        <v>76.580274362831787</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1.9114635964620605</v>
      </c>
      <c r="AH938" s="357">
        <f t="shared" ca="1" si="434"/>
        <v>-7.8330771326574622</v>
      </c>
    </row>
    <row r="939" spans="1:34" x14ac:dyDescent="0.25">
      <c r="A939" s="402">
        <f t="shared" ca="1" si="412"/>
        <v>0.1</v>
      </c>
      <c r="B939" s="357">
        <f t="shared" ca="1" si="413"/>
        <v>48.500000000000355</v>
      </c>
      <c r="C939" s="342"/>
      <c r="D939" s="359">
        <f t="shared" ca="1" si="414"/>
        <v>-0.90167175001675526</v>
      </c>
      <c r="E939" s="360">
        <f t="shared" ca="1" si="415"/>
        <v>-1.9977966264256395</v>
      </c>
      <c r="F939" s="357">
        <f t="shared" ca="1" si="416"/>
        <v>2.1918492889192778</v>
      </c>
      <c r="G939" s="359">
        <f t="shared" ca="1" si="417"/>
        <v>19.077022958283873</v>
      </c>
      <c r="H939" s="360">
        <f t="shared" ca="1" si="418"/>
        <v>-166.26685165243489</v>
      </c>
      <c r="I939" s="357">
        <f t="shared" ca="1" si="419"/>
        <v>167.35769705443394</v>
      </c>
      <c r="J939" s="359">
        <f t="shared" ca="1" si="420"/>
        <v>1769.889447338385</v>
      </c>
      <c r="K939" s="360">
        <f t="shared" ca="1" si="421"/>
        <v>101.11449464694763</v>
      </c>
      <c r="L939" s="357">
        <f t="shared" ca="1" si="406"/>
        <v>1772.7754501987783</v>
      </c>
      <c r="M939" s="359">
        <f t="shared" ca="1" si="422"/>
        <v>-1.4565584998192058</v>
      </c>
      <c r="N939" s="357">
        <f t="shared" ca="1" si="423"/>
        <v>-83.45465465354718</v>
      </c>
      <c r="O939" s="343"/>
      <c r="P939" s="363">
        <f t="shared" ca="1" si="424"/>
        <v>23</v>
      </c>
      <c r="Q939" s="357">
        <f t="shared" ca="1" si="425"/>
        <v>0</v>
      </c>
      <c r="R939" s="359">
        <f t="shared" ca="1" si="426"/>
        <v>0</v>
      </c>
      <c r="S939" s="360">
        <f t="shared" ca="1" si="427"/>
        <v>9.7379999999999765</v>
      </c>
      <c r="T939" s="357">
        <f t="shared" ca="1" si="407"/>
        <v>95.529779999999775</v>
      </c>
      <c r="U939" s="364">
        <f t="shared" ca="1" si="408"/>
        <v>0</v>
      </c>
      <c r="V939" s="359">
        <f t="shared" ca="1" si="409"/>
        <v>1.2126757822581933</v>
      </c>
      <c r="W939" s="357">
        <f t="shared" ca="1" si="410"/>
        <v>76.880412449453601</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1.881238238155805</v>
      </c>
      <c r="AH939" s="357">
        <f t="shared" ca="1" si="434"/>
        <v>-7.8640659645545261</v>
      </c>
    </row>
    <row r="940" spans="1:34" x14ac:dyDescent="0.25">
      <c r="A940" s="402">
        <f t="shared" ca="1" si="412"/>
        <v>0.1</v>
      </c>
      <c r="B940" s="357">
        <f t="shared" ca="1" si="413"/>
        <v>48.600000000000357</v>
      </c>
      <c r="C940" s="342"/>
      <c r="D940" s="359">
        <f t="shared" ca="1" si="414"/>
        <v>-0.89993438469386811</v>
      </c>
      <c r="E940" s="360">
        <f t="shared" ca="1" si="415"/>
        <v>-1.9665719575838336</v>
      </c>
      <c r="F940" s="357">
        <f t="shared" ca="1" si="416"/>
        <v>2.162703669278212</v>
      </c>
      <c r="G940" s="359">
        <f t="shared" ca="1" si="417"/>
        <v>18.987029519814485</v>
      </c>
      <c r="H940" s="360">
        <f t="shared" ca="1" si="418"/>
        <v>-166.46350884819327</v>
      </c>
      <c r="I940" s="357">
        <f t="shared" ca="1" si="419"/>
        <v>167.54285143818828</v>
      </c>
      <c r="J940" s="359">
        <f t="shared" ca="1" si="420"/>
        <v>1771.7926499622899</v>
      </c>
      <c r="K940" s="360">
        <f t="shared" ca="1" si="421"/>
        <v>84.477976621916227</v>
      </c>
      <c r="L940" s="357">
        <f t="shared" ca="1" si="406"/>
        <v>1773.8054354958231</v>
      </c>
      <c r="M940" s="359">
        <f t="shared" ca="1" si="422"/>
        <v>-1.4572259333919393</v>
      </c>
      <c r="N940" s="357">
        <f t="shared" ca="1" si="423"/>
        <v>-83.492895780370134</v>
      </c>
      <c r="O940" s="343"/>
      <c r="P940" s="363">
        <f t="shared" ca="1" si="424"/>
        <v>23</v>
      </c>
      <c r="Q940" s="357">
        <f t="shared" ca="1" si="425"/>
        <v>0</v>
      </c>
      <c r="R940" s="359">
        <f t="shared" ca="1" si="426"/>
        <v>0</v>
      </c>
      <c r="S940" s="360">
        <f t="shared" ca="1" si="427"/>
        <v>9.7379999999999765</v>
      </c>
      <c r="T940" s="357">
        <f t="shared" ca="1" si="407"/>
        <v>95.529779999999775</v>
      </c>
      <c r="U940" s="364">
        <f t="shared" ca="1" si="408"/>
        <v>0</v>
      </c>
      <c r="V940" s="359">
        <f t="shared" ca="1" si="409"/>
        <v>1.2146949752458291</v>
      </c>
      <c r="W940" s="357">
        <f t="shared" ca="1" si="410"/>
        <v>77.178913039405842</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1.8511706630195155</v>
      </c>
      <c r="AH940" s="357">
        <f t="shared" ca="1" si="434"/>
        <v>-7.8948872919956647</v>
      </c>
    </row>
    <row r="941" spans="1:34" x14ac:dyDescent="0.25">
      <c r="A941" s="402">
        <f t="shared" ca="1" si="412"/>
        <v>0.1</v>
      </c>
      <c r="B941" s="357">
        <f t="shared" ca="1" si="413"/>
        <v>48.700000000000358</v>
      </c>
      <c r="C941" s="342"/>
      <c r="D941" s="359">
        <f t="shared" ca="1" si="414"/>
        <v>-0.89817303132070103</v>
      </c>
      <c r="E941" s="360">
        <f t="shared" ca="1" si="415"/>
        <v>-1.935517359604189</v>
      </c>
      <c r="F941" s="357">
        <f t="shared" ca="1" si="416"/>
        <v>2.133762461831445</v>
      </c>
      <c r="G941" s="359">
        <f t="shared" ca="1" si="417"/>
        <v>18.897212216682416</v>
      </c>
      <c r="H941" s="360">
        <f t="shared" ca="1" si="418"/>
        <v>-166.6570605841537</v>
      </c>
      <c r="I941" s="357">
        <f t="shared" ca="1" si="419"/>
        <v>167.72501444958235</v>
      </c>
      <c r="J941" s="359">
        <f t="shared" ca="1" si="420"/>
        <v>1773.6868620491148</v>
      </c>
      <c r="K941" s="360">
        <f t="shared" ca="1" si="421"/>
        <v>67.82194815029888</v>
      </c>
      <c r="L941" s="357">
        <f t="shared" ca="1" si="406"/>
        <v>1774.9830706957566</v>
      </c>
      <c r="M941" s="359">
        <f t="shared" ca="1" si="422"/>
        <v>-1.4578887636479851</v>
      </c>
      <c r="N941" s="357">
        <f t="shared" ca="1" si="423"/>
        <v>-83.53087315657514</v>
      </c>
      <c r="O941" s="343"/>
      <c r="P941" s="363">
        <f t="shared" ca="1" si="424"/>
        <v>23</v>
      </c>
      <c r="Q941" s="357">
        <f t="shared" ca="1" si="425"/>
        <v>0</v>
      </c>
      <c r="R941" s="359">
        <f t="shared" ca="1" si="426"/>
        <v>0</v>
      </c>
      <c r="S941" s="360">
        <f t="shared" ca="1" si="427"/>
        <v>9.7379999999999765</v>
      </c>
      <c r="T941" s="357">
        <f t="shared" ca="1" si="407"/>
        <v>95.529779999999775</v>
      </c>
      <c r="U941" s="364">
        <f t="shared" ca="1" si="408"/>
        <v>0</v>
      </c>
      <c r="V941" s="359">
        <f t="shared" ca="1" si="409"/>
        <v>1.2167198900111056</v>
      </c>
      <c r="W941" s="357">
        <f t="shared" ca="1" si="410"/>
        <v>77.475770037167067</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1.8212616691037473</v>
      </c>
      <c r="AH941" s="357">
        <f t="shared" ca="1" si="434"/>
        <v>-7.9255404641000231</v>
      </c>
    </row>
    <row r="942" spans="1:34" x14ac:dyDescent="0.25">
      <c r="A942" s="402">
        <f t="shared" ca="1" si="412"/>
        <v>0.1</v>
      </c>
      <c r="B942" s="357">
        <f t="shared" ca="1" si="413"/>
        <v>48.80000000000036</v>
      </c>
      <c r="C942" s="342"/>
      <c r="D942" s="359">
        <f t="shared" ca="1" si="414"/>
        <v>-0.8963879989989928</v>
      </c>
      <c r="E942" s="360">
        <f t="shared" ca="1" si="415"/>
        <v>-1.9046334653424219</v>
      </c>
      <c r="F942" s="357">
        <f t="shared" ca="1" si="416"/>
        <v>2.105027335226719</v>
      </c>
      <c r="G942" s="359">
        <f t="shared" ca="1" si="417"/>
        <v>18.807573416782517</v>
      </c>
      <c r="H942" s="360">
        <f t="shared" ca="1" si="418"/>
        <v>-166.84752393068794</v>
      </c>
      <c r="I942" s="357">
        <f t="shared" ca="1" si="419"/>
        <v>167.90420203088769</v>
      </c>
      <c r="J942" s="359">
        <f t="shared" ca="1" si="420"/>
        <v>1775.572101330788</v>
      </c>
      <c r="K942" s="360">
        <f t="shared" ca="1" si="421"/>
        <v>51.146718924556794</v>
      </c>
      <c r="L942" s="357">
        <f t="shared" ca="1" si="406"/>
        <v>1776.3086088517887</v>
      </c>
      <c r="M942" s="359">
        <f t="shared" ca="1" si="422"/>
        <v>-1.4585470386695043</v>
      </c>
      <c r="N942" s="357">
        <f t="shared" ca="1" si="423"/>
        <v>-83.568589537067069</v>
      </c>
      <c r="O942" s="343"/>
      <c r="P942" s="363">
        <f t="shared" ca="1" si="424"/>
        <v>23</v>
      </c>
      <c r="Q942" s="357">
        <f t="shared" ca="1" si="425"/>
        <v>0</v>
      </c>
      <c r="R942" s="359">
        <f t="shared" ca="1" si="426"/>
        <v>0</v>
      </c>
      <c r="S942" s="360">
        <f t="shared" ca="1" si="427"/>
        <v>9.7379999999999765</v>
      </c>
      <c r="T942" s="357">
        <f t="shared" ca="1" si="407"/>
        <v>95.529779999999775</v>
      </c>
      <c r="U942" s="364">
        <f t="shared" ca="1" si="408"/>
        <v>0</v>
      </c>
      <c r="V942" s="359">
        <f t="shared" ca="1" si="409"/>
        <v>1.2187505089797737</v>
      </c>
      <c r="W942" s="357">
        <f t="shared" ca="1" si="410"/>
        <v>77.770977588303765</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1.7915120267819749</v>
      </c>
      <c r="AH942" s="357">
        <f t="shared" ca="1" si="434"/>
        <v>-7.9560248549155119</v>
      </c>
    </row>
    <row r="943" spans="1:34" x14ac:dyDescent="0.25">
      <c r="A943" s="402">
        <f t="shared" ca="1" si="412"/>
        <v>0.1</v>
      </c>
      <c r="B943" s="357">
        <f t="shared" ca="1" si="413"/>
        <v>48.900000000000361</v>
      </c>
      <c r="C943" s="342"/>
      <c r="D943" s="359">
        <f t="shared" ca="1" si="414"/>
        <v>-0.89457959653548269</v>
      </c>
      <c r="E943" s="360">
        <f t="shared" ca="1" si="415"/>
        <v>-1.8739208826550779</v>
      </c>
      <c r="F943" s="357">
        <f t="shared" ca="1" si="416"/>
        <v>2.0764999708616356</v>
      </c>
      <c r="G943" s="359">
        <f t="shared" ca="1" si="417"/>
        <v>18.71811545712897</v>
      </c>
      <c r="H943" s="360">
        <f t="shared" ca="1" si="418"/>
        <v>-167.03491601895345</v>
      </c>
      <c r="I943" s="357">
        <f t="shared" ca="1" si="419"/>
        <v>168.08043019853693</v>
      </c>
      <c r="J943" s="359">
        <f t="shared" ca="1" si="420"/>
        <v>1777.4483857744835</v>
      </c>
      <c r="K943" s="360">
        <f t="shared" ca="1" si="421"/>
        <v>34.452596927074723</v>
      </c>
      <c r="L943" s="357">
        <f t="shared" ca="1" si="406"/>
        <v>1777.7822548128152</v>
      </c>
      <c r="M943" s="359">
        <f t="shared" ca="1" si="422"/>
        <v>-1.4592008058095258</v>
      </c>
      <c r="N943" s="357">
        <f t="shared" ca="1" si="423"/>
        <v>-83.606047634974644</v>
      </c>
      <c r="O943" s="343"/>
      <c r="P943" s="363">
        <f t="shared" ca="1" si="424"/>
        <v>23</v>
      </c>
      <c r="Q943" s="357">
        <f t="shared" ca="1" si="425"/>
        <v>0</v>
      </c>
      <c r="R943" s="359">
        <f t="shared" ca="1" si="426"/>
        <v>0</v>
      </c>
      <c r="S943" s="360">
        <f t="shared" ca="1" si="427"/>
        <v>9.7379999999999765</v>
      </c>
      <c r="T943" s="357">
        <f t="shared" ca="1" si="407"/>
        <v>95.529779999999775</v>
      </c>
      <c r="U943" s="364">
        <f t="shared" ca="1" si="408"/>
        <v>0</v>
      </c>
      <c r="V943" s="359">
        <f t="shared" ca="1" si="409"/>
        <v>1.2207868146352907</v>
      </c>
      <c r="W943" s="357">
        <f t="shared" ca="1" si="410"/>
        <v>78.0645300777703</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1.7619224789835242</v>
      </c>
      <c r="AH943" s="357">
        <f t="shared" ca="1" si="434"/>
        <v>-7.9863398632474789</v>
      </c>
    </row>
    <row r="944" spans="1:34" x14ac:dyDescent="0.25">
      <c r="A944" s="402">
        <f t="shared" ca="1" si="412"/>
        <v>0.1</v>
      </c>
      <c r="B944" s="357">
        <f t="shared" ca="1" si="413"/>
        <v>49.000000000000362</v>
      </c>
      <c r="C944" s="342"/>
      <c r="D944" s="359">
        <f t="shared" ca="1" si="414"/>
        <v>-0.89274813239689521</v>
      </c>
      <c r="E944" s="360">
        <f t="shared" ca="1" si="415"/>
        <v>-1.8433801945751433</v>
      </c>
      <c r="F944" s="357">
        <f t="shared" ca="1" si="416"/>
        <v>2.0481820645758124</v>
      </c>
      <c r="G944" s="359">
        <f t="shared" ca="1" si="417"/>
        <v>18.62884064388928</v>
      </c>
      <c r="H944" s="360">
        <f t="shared" ca="1" si="418"/>
        <v>-167.21925403841098</v>
      </c>
      <c r="I944" s="357">
        <f t="shared" ca="1" si="419"/>
        <v>168.25371504040572</v>
      </c>
      <c r="J944" s="359">
        <f t="shared" ca="1" si="420"/>
        <v>1779.3157335795345</v>
      </c>
      <c r="K944" s="360">
        <f t="shared" ca="1" si="421"/>
        <v>17.739888424206502</v>
      </c>
      <c r="L944" s="357">
        <f t="shared" ca="1" si="406"/>
        <v>1779.4041652769558</v>
      </c>
      <c r="M944" s="359">
        <f t="shared" ca="1" si="422"/>
        <v>-1.4598501117055063</v>
      </c>
      <c r="N944" s="357">
        <f t="shared" ca="1" si="423"/>
        <v>-83.64325012242729</v>
      </c>
      <c r="O944" s="343"/>
      <c r="P944" s="363">
        <f t="shared" ca="1" si="424"/>
        <v>23</v>
      </c>
      <c r="Q944" s="357">
        <f t="shared" ca="1" si="425"/>
        <v>0</v>
      </c>
      <c r="R944" s="359">
        <f t="shared" ca="1" si="426"/>
        <v>0</v>
      </c>
      <c r="S944" s="360">
        <f t="shared" ca="1" si="427"/>
        <v>9.7379999999999765</v>
      </c>
      <c r="T944" s="357">
        <f t="shared" ca="1" si="407"/>
        <v>95.529779999999775</v>
      </c>
      <c r="U944" s="364">
        <f t="shared" ca="1" si="408"/>
        <v>0</v>
      </c>
      <c r="V944" s="359">
        <f t="shared" ca="1" si="409"/>
        <v>1.2228287895196182</v>
      </c>
      <c r="W944" s="357">
        <f t="shared" ca="1" si="410"/>
        <v>78.356422128178863</v>
      </c>
      <c r="X944" s="343"/>
      <c r="Y944" s="367" t="str">
        <f t="shared" ca="1" si="428"/>
        <v/>
      </c>
      <c r="Z944" s="368" t="str">
        <f t="shared" ca="1" si="429"/>
        <v/>
      </c>
      <c r="AA944" s="369" t="str">
        <f t="shared" ca="1" si="430"/>
        <v/>
      </c>
      <c r="AB944" s="344"/>
      <c r="AC944" s="363">
        <f t="shared" ca="1" si="431"/>
        <v>49.000000000000362</v>
      </c>
      <c r="AD944" s="376">
        <f t="shared" ca="1" si="432"/>
        <v>1779.3157335795345</v>
      </c>
      <c r="AE944" s="377" t="e">
        <f t="shared" ca="1" si="411"/>
        <v>#N/A</v>
      </c>
      <c r="AF944" s="344"/>
      <c r="AG944" s="359">
        <f t="shared" ca="1" si="433"/>
        <v>1.7324937414281703</v>
      </c>
      <c r="AH944" s="357">
        <f t="shared" ca="1" si="434"/>
        <v>-8.0164849124841329</v>
      </c>
    </row>
    <row r="945" spans="1:34" x14ac:dyDescent="0.25">
      <c r="A945" s="402">
        <f t="shared" ca="1" si="412"/>
        <v>0.1</v>
      </c>
      <c r="B945" s="357">
        <f t="shared" ca="1" si="413"/>
        <v>49.100000000000364</v>
      </c>
      <c r="C945" s="342"/>
      <c r="D945" s="359">
        <f t="shared" ca="1" si="414"/>
        <v>-0.89089391466555823</v>
      </c>
      <c r="E945" s="360">
        <f t="shared" ca="1" si="415"/>
        <v>-1.813011959490801</v>
      </c>
      <c r="F945" s="357">
        <f t="shared" ca="1" si="416"/>
        <v>2.0200753284085216</v>
      </c>
      <c r="G945" s="359">
        <f t="shared" ca="1" si="417"/>
        <v>18.539751252422725</v>
      </c>
      <c r="H945" s="360">
        <f t="shared" ca="1" si="418"/>
        <v>-167.40055523436007</v>
      </c>
      <c r="I945" s="357">
        <f t="shared" ca="1" si="419"/>
        <v>168.42407271311828</v>
      </c>
      <c r="J945" s="359">
        <f t="shared" ca="1" si="420"/>
        <v>1781.17416317435</v>
      </c>
      <c r="K945" s="360">
        <f t="shared" ca="1" si="421"/>
        <v>1.0088979605679498</v>
      </c>
      <c r="L945" s="357">
        <f t="shared" ca="1" si="406"/>
        <v>1781.1744489058171</v>
      </c>
      <c r="M945" s="359">
        <f t="shared" ca="1" si="422"/>
        <v>-1.4604950022925933</v>
      </c>
      <c r="N945" s="357">
        <f t="shared" ca="1" si="423"/>
        <v>-83.680199631315091</v>
      </c>
      <c r="O945" s="343"/>
      <c r="P945" s="363">
        <f t="shared" ca="1" si="424"/>
        <v>23</v>
      </c>
      <c r="Q945" s="357">
        <f t="shared" ca="1" si="425"/>
        <v>0</v>
      </c>
      <c r="R945" s="359">
        <f t="shared" ca="1" si="426"/>
        <v>0</v>
      </c>
      <c r="S945" s="360">
        <f t="shared" ca="1" si="427"/>
        <v>9.7379999999999765</v>
      </c>
      <c r="T945" s="357">
        <f t="shared" ca="1" si="407"/>
        <v>95.529779999999775</v>
      </c>
      <c r="U945" s="364">
        <f t="shared" ca="1" si="408"/>
        <v>0</v>
      </c>
      <c r="V945" s="359">
        <f t="shared" ca="1" si="409"/>
        <v>1.2248764162340009</v>
      </c>
      <c r="W945" s="357">
        <f t="shared" ca="1" si="410"/>
        <v>78.646648598039334</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1.7032265028622646</v>
      </c>
      <c r="AH945" s="357">
        <f t="shared" ca="1" si="434"/>
        <v>-8.0464594504188796</v>
      </c>
    </row>
    <row r="946" spans="1:34" x14ac:dyDescent="0.25">
      <c r="A946" s="402">
        <f t="shared" ca="1" si="412"/>
        <v>0.1</v>
      </c>
      <c r="B946" s="357">
        <f t="shared" ca="1" si="413"/>
        <v>49.200000000000365</v>
      </c>
      <c r="C946" s="342"/>
      <c r="D946" s="359">
        <f t="shared" ca="1" si="414"/>
        <v>-0.88901725099564954</v>
      </c>
      <c r="E946" s="360">
        <f t="shared" ca="1" si="415"/>
        <v>-1.7828167113273103</v>
      </c>
      <c r="F946" s="357">
        <f t="shared" ca="1" si="416"/>
        <v>1.9921814924237671</v>
      </c>
      <c r="G946" s="359">
        <f t="shared" ca="1" si="417"/>
        <v>18.450849527323161</v>
      </c>
      <c r="H946" s="360">
        <f t="shared" ca="1" si="418"/>
        <v>-167.57883690549281</v>
      </c>
      <c r="I946" s="357">
        <f t="shared" ca="1" si="419"/>
        <v>168.59151943937653</v>
      </c>
      <c r="J946" s="359">
        <f t="shared" ca="1" si="420"/>
        <v>1783.0236932133373</v>
      </c>
      <c r="K946" s="360">
        <f t="shared" ca="1" si="421"/>
        <v>-15.740071646424692</v>
      </c>
      <c r="L946" s="357">
        <f t="shared" ca="1" si="406"/>
        <v>1783.0931664990374</v>
      </c>
      <c r="M946" s="359">
        <f t="shared" ca="1" si="422"/>
        <v>-1.4611355228166032</v>
      </c>
      <c r="N946" s="357">
        <f t="shared" ca="1" si="423"/>
        <v>-83.716898754032357</v>
      </c>
      <c r="O946" s="343"/>
      <c r="P946" s="363">
        <f t="shared" ca="1" si="424"/>
        <v>23</v>
      </c>
      <c r="Q946" s="357">
        <f t="shared" ca="1" si="425"/>
        <v>0</v>
      </c>
      <c r="R946" s="359">
        <f t="shared" ca="1" si="426"/>
        <v>0</v>
      </c>
      <c r="S946" s="360">
        <f t="shared" ca="1" si="427"/>
        <v>9.7379999999999765</v>
      </c>
      <c r="T946" s="357">
        <f t="shared" ca="1" si="407"/>
        <v>95.529779999999775</v>
      </c>
      <c r="U946" s="364">
        <f t="shared" ca="1" si="408"/>
        <v>0</v>
      </c>
      <c r="V946" s="359">
        <f t="shared" ca="1" si="409"/>
        <v>1.2269296774397449</v>
      </c>
      <c r="W946" s="357">
        <f t="shared" ca="1" si="410"/>
        <v>78.935204579970801</v>
      </c>
      <c r="X946" s="343"/>
      <c r="Y946" s="367" t="str">
        <f t="shared" ca="1" si="428"/>
        <v>Impact balistique</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1.6741214252964323</v>
      </c>
      <c r="AH946" s="357">
        <f t="shared" ca="1" si="434"/>
        <v>-8.0762629490695748</v>
      </c>
    </row>
    <row r="947" spans="1:34" x14ac:dyDescent="0.25">
      <c r="A947" s="402">
        <f t="shared" ca="1" si="412"/>
        <v>1E-4</v>
      </c>
      <c r="B947" s="357">
        <f t="shared" ca="1" si="413"/>
        <v>49.200100000000369</v>
      </c>
      <c r="C947" s="342"/>
      <c r="D947" s="359">
        <f t="shared" ca="1" si="414"/>
        <v>-0.88711844857006938</v>
      </c>
      <c r="E947" s="360">
        <f t="shared" ca="1" si="415"/>
        <v>-1.7527949597318528</v>
      </c>
      <c r="F947" s="357">
        <f t="shared" ca="1" si="416"/>
        <v>1.9645023066045899</v>
      </c>
      <c r="G947" s="359">
        <f t="shared" ca="1" si="417"/>
        <v>18.450760815478304</v>
      </c>
      <c r="H947" s="360">
        <f t="shared" ca="1" si="418"/>
        <v>-167.57901218498878</v>
      </c>
      <c r="I947" s="357">
        <f t="shared" ca="1" si="419"/>
        <v>168.59168395732516</v>
      </c>
      <c r="J947" s="359">
        <f t="shared" ca="1" si="420"/>
        <v>1783.0236932133373</v>
      </c>
      <c r="K947" s="360">
        <f t="shared" ca="1" si="421"/>
        <v>-15.756829538879217</v>
      </c>
      <c r="L947" s="357">
        <f t="shared" ca="1" si="406"/>
        <v>1783.0933145063516</v>
      </c>
      <c r="M947" s="359">
        <f t="shared" ca="1" si="422"/>
        <v>-1.4611361596319208</v>
      </c>
      <c r="N947" s="357">
        <f t="shared" ca="1" si="423"/>
        <v>-83.716935240862384</v>
      </c>
      <c r="O947" s="343"/>
      <c r="P947" s="363">
        <f t="shared" ca="1" si="424"/>
        <v>23</v>
      </c>
      <c r="Q947" s="357">
        <f t="shared" ca="1" si="425"/>
        <v>0</v>
      </c>
      <c r="R947" s="359">
        <f t="shared" ca="1" si="426"/>
        <v>0</v>
      </c>
      <c r="S947" s="360">
        <f t="shared" ca="1" si="427"/>
        <v>9.7379999999999765</v>
      </c>
      <c r="T947" s="357">
        <f t="shared" ca="1" si="407"/>
        <v>95.529779999999775</v>
      </c>
      <c r="U947" s="364">
        <f t="shared" ca="1" si="408"/>
        <v>0</v>
      </c>
      <c r="V947" s="359">
        <f t="shared" ca="1" si="409"/>
        <v>1.2269317335183012</v>
      </c>
      <c r="W947" s="357">
        <f t="shared" ca="1" si="410"/>
        <v>78.935490915149714</v>
      </c>
      <c r="X947" s="343"/>
      <c r="Y947" s="367" t="str">
        <f t="shared" ca="1" si="428"/>
        <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1.6451791442447483</v>
      </c>
      <c r="AH947" s="357">
        <f t="shared" ca="1" si="434"/>
        <v>-8.1058949044948641</v>
      </c>
    </row>
    <row r="948" spans="1:34" x14ac:dyDescent="0.25">
      <c r="A948" s="402">
        <f t="shared" ca="1" si="412"/>
        <v>1E-4</v>
      </c>
      <c r="B948" s="357">
        <f t="shared" ca="1" si="413"/>
        <v>49.200200000000372</v>
      </c>
      <c r="C948" s="342"/>
      <c r="D948" s="359">
        <f t="shared" ca="1" si="414"/>
        <v>-0.88711653559628723</v>
      </c>
      <c r="E948" s="360">
        <f t="shared" ca="1" si="415"/>
        <v>-1.7527651675218259</v>
      </c>
      <c r="F948" s="357">
        <f t="shared" ca="1" si="416"/>
        <v>1.9644748611794891</v>
      </c>
      <c r="G948" s="359">
        <f t="shared" ca="1" si="417"/>
        <v>18.450672103824743</v>
      </c>
      <c r="H948" s="360">
        <f t="shared" ca="1" si="418"/>
        <v>-167.57918746150554</v>
      </c>
      <c r="I948" s="357">
        <f t="shared" ca="1" si="419"/>
        <v>168.59184847240175</v>
      </c>
      <c r="J948" s="359">
        <f t="shared" ca="1" si="420"/>
        <v>1783.0236932133373</v>
      </c>
      <c r="K948" s="360">
        <f t="shared" ca="1" si="421"/>
        <v>-15.773587448861541</v>
      </c>
      <c r="L948" s="357">
        <f t="shared" ca="1" si="406"/>
        <v>1783.0934626713026</v>
      </c>
      <c r="M948" s="359">
        <f t="shared" ca="1" si="422"/>
        <v>-1.4611367964429338</v>
      </c>
      <c r="N948" s="357">
        <f t="shared" ca="1" si="423"/>
        <v>-83.716971727445781</v>
      </c>
      <c r="O948" s="343"/>
      <c r="P948" s="363">
        <f t="shared" ca="1" si="424"/>
        <v>23</v>
      </c>
      <c r="Q948" s="357">
        <f t="shared" ca="1" si="425"/>
        <v>0</v>
      </c>
      <c r="R948" s="359">
        <f t="shared" ca="1" si="426"/>
        <v>0</v>
      </c>
      <c r="S948" s="360">
        <f t="shared" ca="1" si="427"/>
        <v>9.7379999999999765</v>
      </c>
      <c r="T948" s="357">
        <f t="shared" ca="1" si="407"/>
        <v>95.529779999999775</v>
      </c>
      <c r="U948" s="364">
        <f t="shared" ca="1" si="408"/>
        <v>0</v>
      </c>
      <c r="V948" s="359">
        <f t="shared" ca="1" si="409"/>
        <v>1.2269337896024557</v>
      </c>
      <c r="W948" s="357">
        <f t="shared" ca="1" si="410"/>
        <v>78.935777248666056</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1.6451504240388726</v>
      </c>
      <c r="AH948" s="357">
        <f t="shared" ca="1" si="434"/>
        <v>-8.1059243083949379</v>
      </c>
    </row>
    <row r="949" spans="1:34" x14ac:dyDescent="0.25">
      <c r="A949" s="402">
        <f t="shared" ca="1" si="412"/>
        <v>1E-4</v>
      </c>
      <c r="B949" s="357">
        <f t="shared" ca="1" si="413"/>
        <v>49.200300000000375</v>
      </c>
      <c r="C949" s="342"/>
      <c r="D949" s="359">
        <f t="shared" ca="1" si="414"/>
        <v>-0.88711462260091856</v>
      </c>
      <c r="E949" s="360">
        <f t="shared" ca="1" si="415"/>
        <v>-1.7527353754844928</v>
      </c>
      <c r="F949" s="357">
        <f t="shared" ca="1" si="416"/>
        <v>1.9644474159689631</v>
      </c>
      <c r="G949" s="359">
        <f t="shared" ca="1" si="417"/>
        <v>18.450583392362482</v>
      </c>
      <c r="H949" s="360">
        <f t="shared" ca="1" si="418"/>
        <v>-167.57936273504308</v>
      </c>
      <c r="I949" s="357">
        <f t="shared" ca="1" si="419"/>
        <v>168.59201298460633</v>
      </c>
      <c r="J949" s="359">
        <f t="shared" ca="1" si="420"/>
        <v>1783.0236932133373</v>
      </c>
      <c r="K949" s="360">
        <f t="shared" ca="1" si="421"/>
        <v>-15.790345376371368</v>
      </c>
      <c r="L949" s="357">
        <f t="shared" ca="1" si="406"/>
        <v>1783.0936109938912</v>
      </c>
      <c r="M949" s="359">
        <f t="shared" ca="1" si="422"/>
        <v>-1.4611374332496421</v>
      </c>
      <c r="N949" s="357">
        <f t="shared" ca="1" si="423"/>
        <v>-83.717008213782535</v>
      </c>
      <c r="O949" s="343"/>
      <c r="P949" s="363">
        <f t="shared" ca="1" si="424"/>
        <v>23</v>
      </c>
      <c r="Q949" s="357">
        <f t="shared" ca="1" si="425"/>
        <v>0</v>
      </c>
      <c r="R949" s="359">
        <f t="shared" ca="1" si="426"/>
        <v>0</v>
      </c>
      <c r="S949" s="360">
        <f t="shared" ca="1" si="427"/>
        <v>9.7379999999999765</v>
      </c>
      <c r="T949" s="357">
        <f t="shared" ca="1" si="407"/>
        <v>95.529779999999775</v>
      </c>
      <c r="U949" s="364">
        <f t="shared" ca="1" si="408"/>
        <v>0</v>
      </c>
      <c r="V949" s="359">
        <f t="shared" ca="1" si="409"/>
        <v>1.2269358456922095</v>
      </c>
      <c r="W949" s="357">
        <f t="shared" ca="1" si="410"/>
        <v>78.936063580519885</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1.6451217039951533</v>
      </c>
      <c r="AH949" s="357">
        <f t="shared" ca="1" si="434"/>
        <v>-8.1059537121242808</v>
      </c>
    </row>
    <row r="950" spans="1:34" x14ac:dyDescent="0.25">
      <c r="A950" s="402">
        <f t="shared" ca="1" si="412"/>
        <v>1E-4</v>
      </c>
      <c r="B950" s="357">
        <f t="shared" ca="1" si="413"/>
        <v>49.200400000000378</v>
      </c>
      <c r="C950" s="342"/>
      <c r="D950" s="359">
        <f t="shared" ca="1" si="414"/>
        <v>-0.88711270958396704</v>
      </c>
      <c r="E950" s="360">
        <f t="shared" ca="1" si="415"/>
        <v>-1.7527055836198446</v>
      </c>
      <c r="F950" s="357">
        <f t="shared" ca="1" si="416"/>
        <v>1.9644199709730066</v>
      </c>
      <c r="G950" s="359">
        <f t="shared" ca="1" si="417"/>
        <v>18.450494681091524</v>
      </c>
      <c r="H950" s="360">
        <f t="shared" ca="1" si="418"/>
        <v>-167.57953800560145</v>
      </c>
      <c r="I950" s="357">
        <f t="shared" ca="1" si="419"/>
        <v>168.59217749393892</v>
      </c>
      <c r="J950" s="359">
        <f t="shared" ca="1" si="420"/>
        <v>1783.0236932133373</v>
      </c>
      <c r="K950" s="360">
        <f t="shared" ca="1" si="421"/>
        <v>-15.8071033214084</v>
      </c>
      <c r="L950" s="357">
        <f t="shared" ca="1" si="406"/>
        <v>1783.0937594741176</v>
      </c>
      <c r="M950" s="359">
        <f t="shared" ca="1" si="422"/>
        <v>-1.4611380700520458</v>
      </c>
      <c r="N950" s="357">
        <f t="shared" ca="1" si="423"/>
        <v>-83.717044699872645</v>
      </c>
      <c r="O950" s="343"/>
      <c r="P950" s="363">
        <f t="shared" ca="1" si="424"/>
        <v>23</v>
      </c>
      <c r="Q950" s="357">
        <f t="shared" ca="1" si="425"/>
        <v>0</v>
      </c>
      <c r="R950" s="359">
        <f t="shared" ca="1" si="426"/>
        <v>0</v>
      </c>
      <c r="S950" s="360">
        <f t="shared" ca="1" si="427"/>
        <v>9.7379999999999765</v>
      </c>
      <c r="T950" s="357">
        <f t="shared" ca="1" si="407"/>
        <v>95.529779999999775</v>
      </c>
      <c r="U950" s="364">
        <f t="shared" ca="1" si="408"/>
        <v>0</v>
      </c>
      <c r="V950" s="359">
        <f t="shared" ca="1" si="409"/>
        <v>1.2269379017875617</v>
      </c>
      <c r="W950" s="357">
        <f t="shared" ca="1" si="410"/>
        <v>78.936349910711144</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1.64509298411358</v>
      </c>
      <c r="AH950" s="357">
        <f t="shared" ca="1" si="434"/>
        <v>-8.1059831156828999</v>
      </c>
    </row>
    <row r="951" spans="1:34" x14ac:dyDescent="0.25">
      <c r="A951" s="402">
        <f t="shared" ca="1" si="412"/>
        <v>1E-4</v>
      </c>
      <c r="B951" s="357">
        <f t="shared" ca="1" si="413"/>
        <v>49.200500000000382</v>
      </c>
      <c r="C951" s="342"/>
      <c r="D951" s="359">
        <f t="shared" ca="1" si="414"/>
        <v>-0.88711079654543046</v>
      </c>
      <c r="E951" s="360">
        <f t="shared" ca="1" si="415"/>
        <v>-1.7526757919278886</v>
      </c>
      <c r="F951" s="357">
        <f t="shared" ca="1" si="416"/>
        <v>1.9643925261916264</v>
      </c>
      <c r="G951" s="359">
        <f t="shared" ca="1" si="417"/>
        <v>18.450405970011868</v>
      </c>
      <c r="H951" s="360">
        <f t="shared" ca="1" si="418"/>
        <v>-167.57971327318063</v>
      </c>
      <c r="I951" s="357">
        <f t="shared" ca="1" si="419"/>
        <v>168.59234200039953</v>
      </c>
      <c r="J951" s="359">
        <f t="shared" ca="1" si="420"/>
        <v>1783.0236932133373</v>
      </c>
      <c r="K951" s="360">
        <f t="shared" ca="1" si="421"/>
        <v>-15.82386128397234</v>
      </c>
      <c r="L951" s="357">
        <f t="shared" ca="1" si="406"/>
        <v>1783.0939081119827</v>
      </c>
      <c r="M951" s="359">
        <f t="shared" ca="1" si="422"/>
        <v>-1.4611387068501449</v>
      </c>
      <c r="N951" s="357">
        <f t="shared" ca="1" si="423"/>
        <v>-83.717081185716125</v>
      </c>
      <c r="O951" s="343"/>
      <c r="P951" s="363">
        <f t="shared" ca="1" si="424"/>
        <v>23</v>
      </c>
      <c r="Q951" s="357">
        <f t="shared" ca="1" si="425"/>
        <v>0</v>
      </c>
      <c r="R951" s="359">
        <f t="shared" ca="1" si="426"/>
        <v>0</v>
      </c>
      <c r="S951" s="360">
        <f t="shared" ca="1" si="427"/>
        <v>9.7379999999999765</v>
      </c>
      <c r="T951" s="357">
        <f t="shared" ca="1" si="407"/>
        <v>95.529779999999775</v>
      </c>
      <c r="U951" s="364">
        <f t="shared" ca="1" si="408"/>
        <v>0</v>
      </c>
      <c r="V951" s="359">
        <f t="shared" ca="1" si="409"/>
        <v>1.226939957888513</v>
      </c>
      <c r="W951" s="357">
        <f t="shared" ca="1" si="410"/>
        <v>78.936636239239903</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1.6450642643941649</v>
      </c>
      <c r="AH951" s="357">
        <f t="shared" ca="1" si="434"/>
        <v>-8.1060125190707879</v>
      </c>
    </row>
    <row r="952" spans="1:34" x14ac:dyDescent="0.25">
      <c r="A952" s="402">
        <f t="shared" ca="1" si="412"/>
        <v>1E-4</v>
      </c>
      <c r="B952" s="357">
        <f t="shared" ca="1" si="413"/>
        <v>49.200600000000385</v>
      </c>
      <c r="C952" s="342"/>
      <c r="D952" s="359">
        <f t="shared" ca="1" si="414"/>
        <v>-0.8871088834853107</v>
      </c>
      <c r="E952" s="360">
        <f t="shared" ca="1" si="415"/>
        <v>-1.7526460004086193</v>
      </c>
      <c r="F952" s="357">
        <f t="shared" ca="1" si="416"/>
        <v>1.9643650816248197</v>
      </c>
      <c r="G952" s="359">
        <f t="shared" ca="1" si="417"/>
        <v>18.450317259123519</v>
      </c>
      <c r="H952" s="360">
        <f t="shared" ca="1" si="418"/>
        <v>-167.57988853778068</v>
      </c>
      <c r="I952" s="357">
        <f t="shared" ca="1" si="419"/>
        <v>168.5925065039882</v>
      </c>
      <c r="J952" s="359">
        <f t="shared" ca="1" si="420"/>
        <v>1783.0236932133373</v>
      </c>
      <c r="K952" s="360">
        <f t="shared" ca="1" si="421"/>
        <v>-15.840619264062887</v>
      </c>
      <c r="L952" s="357">
        <f t="shared" ca="1" si="406"/>
        <v>1783.0940569074864</v>
      </c>
      <c r="M952" s="359">
        <f t="shared" ca="1" si="422"/>
        <v>-1.4611393436439395</v>
      </c>
      <c r="N952" s="357">
        <f t="shared" ca="1" si="423"/>
        <v>-83.717117671312977</v>
      </c>
      <c r="O952" s="343"/>
      <c r="P952" s="363">
        <f t="shared" ca="1" si="424"/>
        <v>23</v>
      </c>
      <c r="Q952" s="357">
        <f t="shared" ca="1" si="425"/>
        <v>0</v>
      </c>
      <c r="R952" s="359">
        <f t="shared" ca="1" si="426"/>
        <v>0</v>
      </c>
      <c r="S952" s="360">
        <f t="shared" ca="1" si="427"/>
        <v>9.7379999999999765</v>
      </c>
      <c r="T952" s="357">
        <f t="shared" ca="1" si="407"/>
        <v>95.529779999999775</v>
      </c>
      <c r="U952" s="364">
        <f t="shared" ca="1" si="408"/>
        <v>0</v>
      </c>
      <c r="V952" s="359">
        <f t="shared" ca="1" si="409"/>
        <v>1.2269420139950626</v>
      </c>
      <c r="W952" s="357">
        <f t="shared" ca="1" si="410"/>
        <v>78.936922566106091</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1.6450355448368938</v>
      </c>
      <c r="AH952" s="357">
        <f t="shared" ca="1" si="434"/>
        <v>-8.1060419222879538</v>
      </c>
    </row>
    <row r="953" spans="1:34" x14ac:dyDescent="0.25">
      <c r="A953" s="402">
        <f t="shared" ca="1" si="412"/>
        <v>1E-4</v>
      </c>
      <c r="B953" s="357">
        <f t="shared" ca="1" si="413"/>
        <v>49.200700000000388</v>
      </c>
      <c r="C953" s="342"/>
      <c r="D953" s="359">
        <f t="shared" ca="1" si="414"/>
        <v>-0.88710697040360731</v>
      </c>
      <c r="E953" s="360">
        <f t="shared" ca="1" si="415"/>
        <v>-1.7526162090620421</v>
      </c>
      <c r="F953" s="357">
        <f t="shared" ca="1" si="416"/>
        <v>1.9643376372725923</v>
      </c>
      <c r="G953" s="359">
        <f t="shared" ca="1" si="417"/>
        <v>18.45022854842648</v>
      </c>
      <c r="H953" s="360">
        <f t="shared" ca="1" si="418"/>
        <v>-167.58006379940159</v>
      </c>
      <c r="I953" s="357">
        <f t="shared" ca="1" si="419"/>
        <v>168.59267100470495</v>
      </c>
      <c r="J953" s="359">
        <f t="shared" ca="1" si="420"/>
        <v>1783.0236932133373</v>
      </c>
      <c r="K953" s="360">
        <f t="shared" ca="1" si="421"/>
        <v>-15.857377261679746</v>
      </c>
      <c r="L953" s="357">
        <f t="shared" ca="1" si="406"/>
        <v>1783.0942058606295</v>
      </c>
      <c r="M953" s="359">
        <f t="shared" ca="1" si="422"/>
        <v>-1.4611399804334297</v>
      </c>
      <c r="N953" s="357">
        <f t="shared" ca="1" si="423"/>
        <v>-83.717154156663213</v>
      </c>
      <c r="O953" s="343"/>
      <c r="P953" s="363">
        <f t="shared" ca="1" si="424"/>
        <v>23</v>
      </c>
      <c r="Q953" s="357">
        <f t="shared" ca="1" si="425"/>
        <v>0</v>
      </c>
      <c r="R953" s="359">
        <f t="shared" ca="1" si="426"/>
        <v>0</v>
      </c>
      <c r="S953" s="360">
        <f t="shared" ca="1" si="427"/>
        <v>9.7379999999999765</v>
      </c>
      <c r="T953" s="357">
        <f t="shared" ca="1" si="407"/>
        <v>95.529779999999775</v>
      </c>
      <c r="U953" s="364">
        <f t="shared" ca="1" si="408"/>
        <v>0</v>
      </c>
      <c r="V953" s="359">
        <f t="shared" ca="1" si="409"/>
        <v>1.2269440701072116</v>
      </c>
      <c r="W953" s="357">
        <f t="shared" ca="1" si="410"/>
        <v>78.937208891309794</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1.6450068254417811</v>
      </c>
      <c r="AH953" s="357">
        <f t="shared" ca="1" si="434"/>
        <v>-8.1060713253343888</v>
      </c>
    </row>
    <row r="954" spans="1:34" x14ac:dyDescent="0.25">
      <c r="A954" s="402">
        <f t="shared" ca="1" si="412"/>
        <v>1E-4</v>
      </c>
      <c r="B954" s="357">
        <f t="shared" ca="1" si="413"/>
        <v>49.200800000000392</v>
      </c>
      <c r="C954" s="342"/>
      <c r="D954" s="359">
        <f t="shared" ca="1" si="414"/>
        <v>-0.88710505730032063</v>
      </c>
      <c r="E954" s="360">
        <f t="shared" ca="1" si="415"/>
        <v>-1.7525864178881481</v>
      </c>
      <c r="F954" s="357">
        <f t="shared" ca="1" si="416"/>
        <v>1.9643101931349376</v>
      </c>
      <c r="G954" s="359">
        <f t="shared" ca="1" si="417"/>
        <v>18.450139837920752</v>
      </c>
      <c r="H954" s="360">
        <f t="shared" ca="1" si="418"/>
        <v>-167.58023905804336</v>
      </c>
      <c r="I954" s="357">
        <f t="shared" ca="1" si="419"/>
        <v>168.59283550254972</v>
      </c>
      <c r="J954" s="359">
        <f t="shared" ca="1" si="420"/>
        <v>1783.0236932133373</v>
      </c>
      <c r="K954" s="360">
        <f t="shared" ca="1" si="421"/>
        <v>-15.874135276822619</v>
      </c>
      <c r="L954" s="357">
        <f t="shared" ca="1" si="406"/>
        <v>1783.094354971412</v>
      </c>
      <c r="M954" s="359">
        <f t="shared" ca="1" si="422"/>
        <v>-1.4611406172186157</v>
      </c>
      <c r="N954" s="357">
        <f t="shared" ca="1" si="423"/>
        <v>-83.71719064176682</v>
      </c>
      <c r="O954" s="343"/>
      <c r="P954" s="363">
        <f t="shared" ca="1" si="424"/>
        <v>23</v>
      </c>
      <c r="Q954" s="357">
        <f t="shared" ca="1" si="425"/>
        <v>0</v>
      </c>
      <c r="R954" s="359">
        <f t="shared" ca="1" si="426"/>
        <v>0</v>
      </c>
      <c r="S954" s="360">
        <f t="shared" ca="1" si="427"/>
        <v>9.7379999999999765</v>
      </c>
      <c r="T954" s="357">
        <f t="shared" ca="1" si="407"/>
        <v>95.529779999999775</v>
      </c>
      <c r="U954" s="364">
        <f t="shared" ca="1" si="408"/>
        <v>0</v>
      </c>
      <c r="V954" s="359">
        <f t="shared" ca="1" si="409"/>
        <v>1.2269461262249588</v>
      </c>
      <c r="W954" s="357">
        <f t="shared" ca="1" si="410"/>
        <v>78.937495214850841</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1.6449781062088107</v>
      </c>
      <c r="AH954" s="357">
        <f t="shared" ca="1" si="434"/>
        <v>-8.1061007282101034</v>
      </c>
    </row>
    <row r="955" spans="1:34" x14ac:dyDescent="0.25">
      <c r="A955" s="402">
        <f t="shared" ca="1" si="412"/>
        <v>1E-4</v>
      </c>
      <c r="B955" s="357">
        <f t="shared" ca="1" si="413"/>
        <v>49.200900000000395</v>
      </c>
      <c r="C955" s="342"/>
      <c r="D955" s="359">
        <f t="shared" ca="1" si="414"/>
        <v>-0.887103144175449</v>
      </c>
      <c r="E955" s="360">
        <f t="shared" ca="1" si="415"/>
        <v>-1.752556626886955</v>
      </c>
      <c r="F955" s="357">
        <f t="shared" ca="1" si="416"/>
        <v>1.9642827492118717</v>
      </c>
      <c r="G955" s="359">
        <f t="shared" ca="1" si="417"/>
        <v>18.450051127606333</v>
      </c>
      <c r="H955" s="360">
        <f t="shared" ca="1" si="418"/>
        <v>-167.58041431370606</v>
      </c>
      <c r="I955" s="357">
        <f t="shared" ca="1" si="419"/>
        <v>168.59299999752264</v>
      </c>
      <c r="J955" s="359">
        <f t="shared" ca="1" si="420"/>
        <v>1783.0236932133373</v>
      </c>
      <c r="K955" s="360">
        <f t="shared" ca="1" si="421"/>
        <v>-15.890893309491206</v>
      </c>
      <c r="L955" s="357">
        <f t="shared" ca="1" si="406"/>
        <v>1783.094504239835</v>
      </c>
      <c r="M955" s="359">
        <f t="shared" ca="1" si="422"/>
        <v>-1.4611412539994972</v>
      </c>
      <c r="N955" s="357">
        <f t="shared" ca="1" si="423"/>
        <v>-83.717227126623811</v>
      </c>
      <c r="O955" s="343"/>
      <c r="P955" s="363">
        <f t="shared" ca="1" si="424"/>
        <v>23</v>
      </c>
      <c r="Q955" s="357">
        <f t="shared" ca="1" si="425"/>
        <v>0</v>
      </c>
      <c r="R955" s="359">
        <f t="shared" ca="1" si="426"/>
        <v>0</v>
      </c>
      <c r="S955" s="360">
        <f t="shared" ca="1" si="427"/>
        <v>9.7379999999999765</v>
      </c>
      <c r="T955" s="357">
        <f t="shared" ca="1" si="407"/>
        <v>95.529779999999775</v>
      </c>
      <c r="U955" s="364">
        <f t="shared" ca="1" si="408"/>
        <v>0</v>
      </c>
      <c r="V955" s="359">
        <f t="shared" ca="1" si="409"/>
        <v>1.2269481823483048</v>
      </c>
      <c r="W955" s="357">
        <f t="shared" ca="1" si="410"/>
        <v>78.937781536729403</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1.6449493871380056</v>
      </c>
      <c r="AH955" s="357">
        <f t="shared" ca="1" si="434"/>
        <v>-8.1061301309150782</v>
      </c>
    </row>
    <row r="956" spans="1:34" x14ac:dyDescent="0.25">
      <c r="A956" s="402">
        <f t="shared" ca="1" si="412"/>
        <v>1E-4</v>
      </c>
      <c r="B956" s="357">
        <f t="shared" ca="1" si="413"/>
        <v>49.201000000000398</v>
      </c>
      <c r="C956" s="342"/>
      <c r="D956" s="359">
        <f t="shared" ca="1" si="414"/>
        <v>-0.8871012310289953</v>
      </c>
      <c r="E956" s="360">
        <f t="shared" ca="1" si="415"/>
        <v>-1.7525268360584452</v>
      </c>
      <c r="F956" s="357">
        <f t="shared" ca="1" si="416"/>
        <v>1.9642553055033816</v>
      </c>
      <c r="G956" s="359">
        <f t="shared" ca="1" si="417"/>
        <v>18.449962417483231</v>
      </c>
      <c r="H956" s="360">
        <f t="shared" ca="1" si="418"/>
        <v>-167.58058956638968</v>
      </c>
      <c r="I956" s="357">
        <f t="shared" ca="1" si="419"/>
        <v>168.59316448962366</v>
      </c>
      <c r="J956" s="359">
        <f t="shared" ca="1" si="420"/>
        <v>1783.0236932133373</v>
      </c>
      <c r="K956" s="360">
        <f t="shared" ca="1" si="421"/>
        <v>-15.907651359685211</v>
      </c>
      <c r="L956" s="357">
        <f t="shared" ca="1" si="406"/>
        <v>1783.0946536658985</v>
      </c>
      <c r="M956" s="359">
        <f t="shared" ca="1" si="422"/>
        <v>-1.4611418907760745</v>
      </c>
      <c r="N956" s="357">
        <f t="shared" ca="1" si="423"/>
        <v>-83.717263611234173</v>
      </c>
      <c r="O956" s="343"/>
      <c r="P956" s="363">
        <f t="shared" ca="1" si="424"/>
        <v>23</v>
      </c>
      <c r="Q956" s="357">
        <f t="shared" ca="1" si="425"/>
        <v>0</v>
      </c>
      <c r="R956" s="359">
        <f t="shared" ca="1" si="426"/>
        <v>0</v>
      </c>
      <c r="S956" s="360">
        <f t="shared" ca="1" si="427"/>
        <v>9.7379999999999765</v>
      </c>
      <c r="T956" s="357">
        <f t="shared" ca="1" si="407"/>
        <v>95.529779999999775</v>
      </c>
      <c r="U956" s="364">
        <f t="shared" ca="1" si="408"/>
        <v>0</v>
      </c>
      <c r="V956" s="359">
        <f t="shared" ca="1" si="409"/>
        <v>1.2269502384772497</v>
      </c>
      <c r="W956" s="357">
        <f t="shared" ca="1" si="410"/>
        <v>78.938067856945395</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1.6449206682293465</v>
      </c>
      <c r="AH956" s="357">
        <f t="shared" ca="1" si="434"/>
        <v>-8.1061595334493326</v>
      </c>
    </row>
    <row r="957" spans="1:34" x14ac:dyDescent="0.25">
      <c r="A957" s="402">
        <f t="shared" ca="1" si="412"/>
        <v>1E-4</v>
      </c>
      <c r="B957" s="357">
        <f t="shared" ca="1" si="413"/>
        <v>49.201100000000402</v>
      </c>
      <c r="C957" s="342"/>
      <c r="D957" s="359">
        <f t="shared" ca="1" si="414"/>
        <v>-0.88709931786095919</v>
      </c>
      <c r="E957" s="360">
        <f t="shared" ca="1" si="415"/>
        <v>-1.7524970454026292</v>
      </c>
      <c r="F957" s="357">
        <f t="shared" ca="1" si="416"/>
        <v>1.9642278620094777</v>
      </c>
      <c r="G957" s="359">
        <f t="shared" ca="1" si="417"/>
        <v>18.449873707551447</v>
      </c>
      <c r="H957" s="360">
        <f t="shared" ca="1" si="418"/>
        <v>-167.58076481609422</v>
      </c>
      <c r="I957" s="357">
        <f t="shared" ca="1" si="419"/>
        <v>168.59332897885278</v>
      </c>
      <c r="J957" s="359">
        <f t="shared" ca="1" si="420"/>
        <v>1783.0236932133373</v>
      </c>
      <c r="K957" s="360">
        <f t="shared" ca="1" si="421"/>
        <v>-15.924409427404335</v>
      </c>
      <c r="L957" s="357">
        <f t="shared" ca="1" si="406"/>
        <v>1783.094803249603</v>
      </c>
      <c r="M957" s="359">
        <f t="shared" ca="1" si="422"/>
        <v>-1.4611425275483474</v>
      </c>
      <c r="N957" s="357">
        <f t="shared" ca="1" si="423"/>
        <v>-83.717300095597921</v>
      </c>
      <c r="O957" s="343"/>
      <c r="P957" s="363">
        <f t="shared" ca="1" si="424"/>
        <v>23</v>
      </c>
      <c r="Q957" s="357">
        <f t="shared" ca="1" si="425"/>
        <v>0</v>
      </c>
      <c r="R957" s="359">
        <f t="shared" ca="1" si="426"/>
        <v>0</v>
      </c>
      <c r="S957" s="360">
        <f t="shared" ca="1" si="427"/>
        <v>9.7379999999999765</v>
      </c>
      <c r="T957" s="357">
        <f t="shared" ca="1" si="407"/>
        <v>95.529779999999775</v>
      </c>
      <c r="U957" s="364">
        <f t="shared" ca="1" si="408"/>
        <v>0</v>
      </c>
      <c r="V957" s="359">
        <f t="shared" ca="1" si="409"/>
        <v>1.226952294611793</v>
      </c>
      <c r="W957" s="357">
        <f t="shared" ca="1" si="410"/>
        <v>78.938354175498802</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1.6448919494828438</v>
      </c>
      <c r="AH957" s="357">
        <f t="shared" ca="1" si="434"/>
        <v>-8.106188935812856</v>
      </c>
    </row>
    <row r="958" spans="1:34" x14ac:dyDescent="0.25">
      <c r="A958" s="402">
        <f t="shared" ca="1" si="412"/>
        <v>1E-4</v>
      </c>
      <c r="B958" s="357">
        <f t="shared" ca="1" si="413"/>
        <v>49.201200000000405</v>
      </c>
      <c r="C958" s="342"/>
      <c r="D958" s="359">
        <f t="shared" ca="1" si="414"/>
        <v>-0.88709740467134113</v>
      </c>
      <c r="E958" s="360">
        <f t="shared" ca="1" si="415"/>
        <v>-1.7524672549195053</v>
      </c>
      <c r="F958" s="357">
        <f t="shared" ca="1" si="416"/>
        <v>1.9642004187301598</v>
      </c>
      <c r="G958" s="359">
        <f t="shared" ca="1" si="417"/>
        <v>18.44978499781098</v>
      </c>
      <c r="H958" s="360">
        <f t="shared" ca="1" si="418"/>
        <v>-167.58094006281971</v>
      </c>
      <c r="I958" s="357">
        <f t="shared" ca="1" si="419"/>
        <v>168.59349346521003</v>
      </c>
      <c r="J958" s="359">
        <f t="shared" ca="1" si="420"/>
        <v>1783.0236932133373</v>
      </c>
      <c r="K958" s="360">
        <f t="shared" ca="1" si="421"/>
        <v>-15.941167512648281</v>
      </c>
      <c r="L958" s="357">
        <f t="shared" ca="1" si="406"/>
        <v>1783.0949529909492</v>
      </c>
      <c r="M958" s="359">
        <f t="shared" ca="1" si="422"/>
        <v>-1.4611431643163162</v>
      </c>
      <c r="N958" s="357">
        <f t="shared" ca="1" si="423"/>
        <v>-83.717336579715067</v>
      </c>
      <c r="O958" s="343"/>
      <c r="P958" s="363">
        <f t="shared" ca="1" si="424"/>
        <v>23</v>
      </c>
      <c r="Q958" s="357">
        <f t="shared" ca="1" si="425"/>
        <v>0</v>
      </c>
      <c r="R958" s="359">
        <f t="shared" ca="1" si="426"/>
        <v>0</v>
      </c>
      <c r="S958" s="360">
        <f t="shared" ca="1" si="427"/>
        <v>9.7379999999999765</v>
      </c>
      <c r="T958" s="357">
        <f t="shared" ca="1" si="407"/>
        <v>95.529779999999775</v>
      </c>
      <c r="U958" s="364">
        <f t="shared" ca="1" si="408"/>
        <v>0</v>
      </c>
      <c r="V958" s="359">
        <f t="shared" ca="1" si="409"/>
        <v>1.2269543507519349</v>
      </c>
      <c r="W958" s="357">
        <f t="shared" ca="1" si="410"/>
        <v>78.938640492389609</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1.6448632308984976</v>
      </c>
      <c r="AH958" s="357">
        <f t="shared" ca="1" si="434"/>
        <v>-8.1062183380056467</v>
      </c>
    </row>
    <row r="959" spans="1:34" x14ac:dyDescent="0.25">
      <c r="A959" s="402">
        <f t="shared" ca="1" si="412"/>
        <v>1E-4</v>
      </c>
      <c r="B959" s="357">
        <f t="shared" ca="1" si="413"/>
        <v>49.201300000000408</v>
      </c>
      <c r="C959" s="342"/>
      <c r="D959" s="359">
        <f t="shared" ca="1" si="414"/>
        <v>-0.88709549146014022</v>
      </c>
      <c r="E959" s="360">
        <f t="shared" ca="1" si="415"/>
        <v>-1.7524374646090788</v>
      </c>
      <c r="F959" s="357">
        <f t="shared" ca="1" si="416"/>
        <v>1.9641729756654336</v>
      </c>
      <c r="G959" s="359">
        <f t="shared" ca="1" si="417"/>
        <v>18.449696288261833</v>
      </c>
      <c r="H959" s="360">
        <f t="shared" ca="1" si="418"/>
        <v>-167.58111530656618</v>
      </c>
      <c r="I959" s="357">
        <f t="shared" ca="1" si="419"/>
        <v>168.59365794869547</v>
      </c>
      <c r="J959" s="359">
        <f t="shared" ca="1" si="420"/>
        <v>1783.0236932133373</v>
      </c>
      <c r="K959" s="360">
        <f t="shared" ca="1" si="421"/>
        <v>-15.95792561541675</v>
      </c>
      <c r="L959" s="357">
        <f t="shared" ca="1" si="406"/>
        <v>1783.0951028899374</v>
      </c>
      <c r="M959" s="359">
        <f t="shared" ca="1" si="422"/>
        <v>-1.4611438010799809</v>
      </c>
      <c r="N959" s="357">
        <f t="shared" ca="1" si="423"/>
        <v>-83.717373063585597</v>
      </c>
      <c r="O959" s="343"/>
      <c r="P959" s="363">
        <f t="shared" ca="1" si="424"/>
        <v>23</v>
      </c>
      <c r="Q959" s="357">
        <f t="shared" ca="1" si="425"/>
        <v>0</v>
      </c>
      <c r="R959" s="359">
        <f t="shared" ca="1" si="426"/>
        <v>0</v>
      </c>
      <c r="S959" s="360">
        <f t="shared" ca="1" si="427"/>
        <v>9.7379999999999765</v>
      </c>
      <c r="T959" s="357">
        <f t="shared" ca="1" si="407"/>
        <v>95.529779999999775</v>
      </c>
      <c r="U959" s="364">
        <f t="shared" ca="1" si="408"/>
        <v>0</v>
      </c>
      <c r="V959" s="359">
        <f t="shared" ca="1" si="409"/>
        <v>1.2269564068976762</v>
      </c>
      <c r="W959" s="357">
        <f t="shared" ca="1" si="410"/>
        <v>78.938926807617904</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1.644834512476308</v>
      </c>
      <c r="AH959" s="357">
        <f t="shared" ca="1" si="434"/>
        <v>-8.1062477400277064</v>
      </c>
    </row>
    <row r="960" spans="1:34" x14ac:dyDescent="0.25">
      <c r="A960" s="402">
        <f t="shared" ca="1" si="412"/>
        <v>1E-4</v>
      </c>
      <c r="B960" s="357">
        <f t="shared" ca="1" si="413"/>
        <v>49.201400000000412</v>
      </c>
      <c r="C960" s="342"/>
      <c r="D960" s="359">
        <f t="shared" ca="1" si="414"/>
        <v>-0.88709357822735779</v>
      </c>
      <c r="E960" s="360">
        <f t="shared" ca="1" si="415"/>
        <v>-1.7524076744713373</v>
      </c>
      <c r="F960" s="357">
        <f t="shared" ca="1" si="416"/>
        <v>1.9641455328152895</v>
      </c>
      <c r="G960" s="359">
        <f t="shared" ca="1" si="417"/>
        <v>18.449607578904011</v>
      </c>
      <c r="H960" s="360">
        <f t="shared" ca="1" si="418"/>
        <v>-167.58129054733362</v>
      </c>
      <c r="I960" s="357">
        <f t="shared" ca="1" si="419"/>
        <v>168.59382242930909</v>
      </c>
      <c r="J960" s="359">
        <f t="shared" ca="1" si="420"/>
        <v>1783.0236932133373</v>
      </c>
      <c r="K960" s="360">
        <f t="shared" ca="1" si="421"/>
        <v>-15.974683735709444</v>
      </c>
      <c r="L960" s="357">
        <f t="shared" ca="1" si="406"/>
        <v>1783.0952529465681</v>
      </c>
      <c r="M960" s="359">
        <f t="shared" ca="1" si="422"/>
        <v>-1.4611444378393414</v>
      </c>
      <c r="N960" s="357">
        <f t="shared" ca="1" si="423"/>
        <v>-83.717409547209527</v>
      </c>
      <c r="O960" s="343"/>
      <c r="P960" s="363">
        <f t="shared" ca="1" si="424"/>
        <v>23</v>
      </c>
      <c r="Q960" s="357">
        <f t="shared" ca="1" si="425"/>
        <v>0</v>
      </c>
      <c r="R960" s="359">
        <f t="shared" ca="1" si="426"/>
        <v>0</v>
      </c>
      <c r="S960" s="360">
        <f t="shared" ca="1" si="427"/>
        <v>9.7379999999999765</v>
      </c>
      <c r="T960" s="357">
        <f t="shared" ca="1" si="407"/>
        <v>95.529779999999775</v>
      </c>
      <c r="U960" s="364">
        <f t="shared" ca="1" si="408"/>
        <v>0</v>
      </c>
      <c r="V960" s="359">
        <f t="shared" ca="1" si="409"/>
        <v>1.2269584630490151</v>
      </c>
      <c r="W960" s="357">
        <f t="shared" ca="1" si="410"/>
        <v>78.939213121183599</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1.6448057942162713</v>
      </c>
      <c r="AH960" s="357">
        <f t="shared" ca="1" si="434"/>
        <v>-8.1062771418790405</v>
      </c>
    </row>
    <row r="961" spans="1:34" x14ac:dyDescent="0.25">
      <c r="A961" s="402">
        <f t="shared" ca="1" si="412"/>
        <v>1E-4</v>
      </c>
      <c r="B961" s="357">
        <f t="shared" ca="1" si="413"/>
        <v>49.201500000000415</v>
      </c>
      <c r="C961" s="342"/>
      <c r="D961" s="359">
        <f t="shared" ca="1" si="414"/>
        <v>-0.88709166497299363</v>
      </c>
      <c r="E961" s="360">
        <f t="shared" ca="1" si="415"/>
        <v>-1.7523778845062914</v>
      </c>
      <c r="F961" s="357">
        <f t="shared" ca="1" si="416"/>
        <v>1.9641180901797386</v>
      </c>
      <c r="G961" s="359">
        <f t="shared" ca="1" si="417"/>
        <v>18.449518869737513</v>
      </c>
      <c r="H961" s="360">
        <f t="shared" ca="1" si="418"/>
        <v>-167.58146578512208</v>
      </c>
      <c r="I961" s="357">
        <f t="shared" ca="1" si="419"/>
        <v>168.59398690705086</v>
      </c>
      <c r="J961" s="359">
        <f t="shared" ca="1" si="420"/>
        <v>1783.0236932133373</v>
      </c>
      <c r="K961" s="360">
        <f t="shared" ca="1" si="421"/>
        <v>-15.991441873526067</v>
      </c>
      <c r="L961" s="357">
        <f t="shared" ca="1" si="406"/>
        <v>1783.0954031608414</v>
      </c>
      <c r="M961" s="359">
        <f t="shared" ca="1" si="422"/>
        <v>-1.4611450745943977</v>
      </c>
      <c r="N961" s="357">
        <f t="shared" ca="1" si="423"/>
        <v>-83.717446030586828</v>
      </c>
      <c r="O961" s="343"/>
      <c r="P961" s="363">
        <f t="shared" ca="1" si="424"/>
        <v>23</v>
      </c>
      <c r="Q961" s="357">
        <f t="shared" ca="1" si="425"/>
        <v>0</v>
      </c>
      <c r="R961" s="359">
        <f t="shared" ca="1" si="426"/>
        <v>0</v>
      </c>
      <c r="S961" s="360">
        <f t="shared" ca="1" si="427"/>
        <v>9.7379999999999765</v>
      </c>
      <c r="T961" s="357">
        <f t="shared" ca="1" si="407"/>
        <v>95.529779999999775</v>
      </c>
      <c r="U961" s="364">
        <f t="shared" ca="1" si="408"/>
        <v>0</v>
      </c>
      <c r="V961" s="359">
        <f t="shared" ca="1" si="409"/>
        <v>1.2269605192059529</v>
      </c>
      <c r="W961" s="357">
        <f t="shared" ca="1" si="410"/>
        <v>78.939499433086681</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1.6447770761183911</v>
      </c>
      <c r="AH961" s="357">
        <f t="shared" ca="1" si="434"/>
        <v>-8.1063065435596418</v>
      </c>
    </row>
    <row r="962" spans="1:34" x14ac:dyDescent="0.25">
      <c r="A962" s="402">
        <f t="shared" ca="1" si="412"/>
        <v>1E-4</v>
      </c>
      <c r="B962" s="357">
        <f t="shared" ca="1" si="413"/>
        <v>49.201600000000418</v>
      </c>
      <c r="C962" s="342"/>
      <c r="D962" s="359">
        <f t="shared" ca="1" si="414"/>
        <v>-0.88708975169705029</v>
      </c>
      <c r="E962" s="360">
        <f t="shared" ca="1" si="415"/>
        <v>-1.7523480947139429</v>
      </c>
      <c r="F962" s="357">
        <f t="shared" ca="1" si="416"/>
        <v>1.9640906477587841</v>
      </c>
      <c r="G962" s="359">
        <f t="shared" ca="1" si="417"/>
        <v>18.449430160762343</v>
      </c>
      <c r="H962" s="360">
        <f t="shared" ca="1" si="418"/>
        <v>-167.58164101993154</v>
      </c>
      <c r="I962" s="357">
        <f t="shared" ca="1" si="419"/>
        <v>168.59415138192085</v>
      </c>
      <c r="J962" s="359">
        <f t="shared" ca="1" si="420"/>
        <v>1783.0236932133373</v>
      </c>
      <c r="K962" s="360">
        <f t="shared" ca="1" si="421"/>
        <v>-16.00820002886632</v>
      </c>
      <c r="L962" s="357">
        <f t="shared" ca="1" si="406"/>
        <v>1783.0955535327582</v>
      </c>
      <c r="M962" s="359">
        <f t="shared" ca="1" si="422"/>
        <v>-1.46114571134515</v>
      </c>
      <c r="N962" s="357">
        <f t="shared" ca="1" si="423"/>
        <v>-83.717482513717542</v>
      </c>
      <c r="O962" s="343"/>
      <c r="P962" s="363">
        <f t="shared" ca="1" si="424"/>
        <v>23</v>
      </c>
      <c r="Q962" s="357">
        <f t="shared" ca="1" si="425"/>
        <v>0</v>
      </c>
      <c r="R962" s="359">
        <f t="shared" ca="1" si="426"/>
        <v>0</v>
      </c>
      <c r="S962" s="360">
        <f t="shared" ca="1" si="427"/>
        <v>9.7379999999999765</v>
      </c>
      <c r="T962" s="357">
        <f t="shared" ca="1" si="407"/>
        <v>95.529779999999775</v>
      </c>
      <c r="U962" s="364">
        <f t="shared" ca="1" si="408"/>
        <v>0</v>
      </c>
      <c r="V962" s="359">
        <f t="shared" ca="1" si="409"/>
        <v>1.2269625753684901</v>
      </c>
      <c r="W962" s="357">
        <f t="shared" ca="1" si="410"/>
        <v>78.939785743327221</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1.6447483581826727</v>
      </c>
      <c r="AH962" s="357">
        <f t="shared" ca="1" si="434"/>
        <v>-8.1063359450695085</v>
      </c>
    </row>
    <row r="963" spans="1:34" x14ac:dyDescent="0.25">
      <c r="A963" s="402">
        <f t="shared" ca="1" si="412"/>
        <v>1E-4</v>
      </c>
      <c r="B963" s="357">
        <f t="shared" ca="1" si="413"/>
        <v>49.201700000000422</v>
      </c>
      <c r="C963" s="342"/>
      <c r="D963" s="359">
        <f t="shared" ca="1" si="414"/>
        <v>-0.88708783839952532</v>
      </c>
      <c r="E963" s="360">
        <f t="shared" ca="1" si="415"/>
        <v>-1.7523183050942848</v>
      </c>
      <c r="F963" s="357">
        <f t="shared" ca="1" si="416"/>
        <v>1.9640632055524203</v>
      </c>
      <c r="G963" s="359">
        <f t="shared" ca="1" si="417"/>
        <v>18.449341451978505</v>
      </c>
      <c r="H963" s="360">
        <f t="shared" ca="1" si="418"/>
        <v>-167.58181625176204</v>
      </c>
      <c r="I963" s="357">
        <f t="shared" ca="1" si="419"/>
        <v>168.59431585391908</v>
      </c>
      <c r="J963" s="359">
        <f t="shared" ca="1" si="420"/>
        <v>1783.0236932133373</v>
      </c>
      <c r="K963" s="360">
        <f t="shared" ca="1" si="421"/>
        <v>-16.024958201729905</v>
      </c>
      <c r="L963" s="357">
        <f t="shared" ca="1" si="406"/>
        <v>1783.0957040623189</v>
      </c>
      <c r="M963" s="359">
        <f t="shared" ca="1" si="422"/>
        <v>-1.4611463480915985</v>
      </c>
      <c r="N963" s="357">
        <f t="shared" ca="1" si="423"/>
        <v>-83.717518996601655</v>
      </c>
      <c r="O963" s="343"/>
      <c r="P963" s="363">
        <f t="shared" ca="1" si="424"/>
        <v>23</v>
      </c>
      <c r="Q963" s="357">
        <f t="shared" ca="1" si="425"/>
        <v>0</v>
      </c>
      <c r="R963" s="359">
        <f t="shared" ca="1" si="426"/>
        <v>0</v>
      </c>
      <c r="S963" s="360">
        <f t="shared" ca="1" si="427"/>
        <v>9.7379999999999765</v>
      </c>
      <c r="T963" s="357">
        <f t="shared" ca="1" si="407"/>
        <v>95.529779999999775</v>
      </c>
      <c r="U963" s="364">
        <f t="shared" ca="1" si="408"/>
        <v>0</v>
      </c>
      <c r="V963" s="359">
        <f t="shared" ca="1" si="409"/>
        <v>1.2269646315366249</v>
      </c>
      <c r="W963" s="357">
        <f t="shared" ca="1" si="410"/>
        <v>78.940072051905133</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1.6447196404091091</v>
      </c>
      <c r="AH963" s="357">
        <f t="shared" ca="1" si="434"/>
        <v>-8.1063653464086478</v>
      </c>
    </row>
    <row r="964" spans="1:34" x14ac:dyDescent="0.25">
      <c r="A964" s="402">
        <f t="shared" ca="1" si="412"/>
        <v>1E-4</v>
      </c>
      <c r="B964" s="357">
        <f t="shared" ca="1" si="413"/>
        <v>49.201800000000425</v>
      </c>
      <c r="C964" s="342"/>
      <c r="D964" s="359">
        <f t="shared" ca="1" si="414"/>
        <v>-0.88708592508041884</v>
      </c>
      <c r="E964" s="360">
        <f t="shared" ca="1" si="415"/>
        <v>-1.752288515647324</v>
      </c>
      <c r="F964" s="357">
        <f t="shared" ca="1" si="416"/>
        <v>1.9640357635606549</v>
      </c>
      <c r="G964" s="359">
        <f t="shared" ca="1" si="417"/>
        <v>18.449252743385998</v>
      </c>
      <c r="H964" s="360">
        <f t="shared" ca="1" si="418"/>
        <v>-167.5819914806136</v>
      </c>
      <c r="I964" s="357">
        <f t="shared" ca="1" si="419"/>
        <v>168.59448032304553</v>
      </c>
      <c r="J964" s="359">
        <f t="shared" ca="1" si="420"/>
        <v>1783.0236932133373</v>
      </c>
      <c r="K964" s="360">
        <f t="shared" ca="1" si="421"/>
        <v>-16.041716392116523</v>
      </c>
      <c r="L964" s="357">
        <f t="shared" ref="L964:L1004" ca="1" si="435">SQRT(pos_x^2+pos_z^2)</f>
        <v>1783.0958547495236</v>
      </c>
      <c r="M964" s="359">
        <f t="shared" ca="1" si="422"/>
        <v>-1.4611469848337428</v>
      </c>
      <c r="N964" s="357">
        <f t="shared" ca="1" si="423"/>
        <v>-83.717555479239167</v>
      </c>
      <c r="O964" s="343"/>
      <c r="P964" s="363">
        <f t="shared" ca="1" si="424"/>
        <v>23</v>
      </c>
      <c r="Q964" s="357">
        <f t="shared" ca="1" si="425"/>
        <v>0</v>
      </c>
      <c r="R964" s="359">
        <f t="shared" ca="1" si="426"/>
        <v>0</v>
      </c>
      <c r="S964" s="360">
        <f t="shared" ca="1" si="427"/>
        <v>9.7379999999999765</v>
      </c>
      <c r="T964" s="357">
        <f t="shared" ref="T964:T1004" ca="1" si="436">m*g</f>
        <v>95.529779999999775</v>
      </c>
      <c r="U964" s="364">
        <f t="shared" ref="U964:U1004" ca="1" si="437">IF(pos_xz&lt;L_rampe,Poids*COS(Beta),0)</f>
        <v>0</v>
      </c>
      <c r="V964" s="359">
        <f t="shared" ref="V964:V1004" ca="1" si="438">Rho_moyen*(20000-Alt_rampe-pos_z)/(20000+Alt_rampe+pos_z)</f>
        <v>1.2269666877103584</v>
      </c>
      <c r="W964" s="357">
        <f t="shared" ref="W964:W1003" ca="1" si="439">1/2*Rho*Sref*Cx*vit_xz^2</f>
        <v>78.940358358820433</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1.6446909227977056</v>
      </c>
      <c r="AH964" s="357">
        <f t="shared" ca="1" si="434"/>
        <v>-8.1063947475770508</v>
      </c>
    </row>
    <row r="965" spans="1:34" x14ac:dyDescent="0.25">
      <c r="A965" s="402">
        <f t="shared" ref="A965:A1004" ca="1" si="441">IF(B964+0.01&lt;=T_ini+ROUNDUP(Temps_fin_propu,0), 0.01, IF(K964&gt;0, 0.1, 0.0001))</f>
        <v>1E-4</v>
      </c>
      <c r="B965" s="357">
        <f t="shared" ref="B965:B1004" ca="1" si="442">B964+pas</f>
        <v>49.201900000000428</v>
      </c>
      <c r="C965" s="342"/>
      <c r="D965" s="359">
        <f t="shared" ref="D965:D1004" ca="1" si="443">IF(AND(L964&lt;L_rampe,Poussee&lt;Poids*SIN(M964)),0,(-W964+Poussee)/m*COS(M964)-U964/m*SIN(M964))</f>
        <v>-0.88708401173973339</v>
      </c>
      <c r="E965" s="360">
        <f t="shared" ref="E965:E1004" ca="1" si="444">IF(AND(L964&lt;L_rampe,Poussee&lt;Poids*SIN(M964)),0,(-W964+Poussee)/m*SIN(M964)+U964/m*COS(M964)-Poids/m)</f>
        <v>-1.7522587263730607</v>
      </c>
      <c r="F965" s="357">
        <f t="shared" ref="F965:F1004" ca="1" si="445">SQRT(acc_x^2+acc_z^2)</f>
        <v>1.9640083217834898</v>
      </c>
      <c r="G965" s="359">
        <f t="shared" ref="G965:G1004" ca="1" si="446">G964+acc_x*pas</f>
        <v>18.449164034984825</v>
      </c>
      <c r="H965" s="360">
        <f t="shared" ref="H965:H1004" ca="1" si="447">H964+acc_z*pas</f>
        <v>-167.58216670648622</v>
      </c>
      <c r="I965" s="357">
        <f t="shared" ref="I965:I1004" ca="1" si="448">SQRT(vit_x^2+vit_z^2)</f>
        <v>168.59464478930022</v>
      </c>
      <c r="J965" s="359">
        <f t="shared" ref="J965:J1004" ca="1" si="449">J964+0.5*(vit_x+G964)*pas*(K964&gt;=0)</f>
        <v>1783.0236932133373</v>
      </c>
      <c r="K965" s="360">
        <f t="shared" ref="K965:K1004" ca="1" si="450">K964+0.5*(vit_z+H964)*pas</f>
        <v>-16.058474600025878</v>
      </c>
      <c r="L965" s="357">
        <f t="shared" ca="1" si="435"/>
        <v>1783.0960055943733</v>
      </c>
      <c r="M965" s="359">
        <f t="shared" ref="M965:M1004" ca="1" si="451">IF(AND(L964&gt;L_rampe,G965&gt;0),ATAN2(G965,H965),$M$4)</f>
        <v>-1.4611476215715835</v>
      </c>
      <c r="N965" s="357">
        <f t="shared" ref="N965:N1004" ca="1" si="452">DEGREES(Beta)</f>
        <v>-83.717591961630092</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9.7379999999999765</v>
      </c>
      <c r="T965" s="357">
        <f t="shared" ca="1" si="436"/>
        <v>95.529779999999775</v>
      </c>
      <c r="U965" s="364">
        <f t="shared" ca="1" si="437"/>
        <v>0</v>
      </c>
      <c r="V965" s="359">
        <f t="shared" ca="1" si="438"/>
        <v>1.2269687438896908</v>
      </c>
      <c r="W965" s="357">
        <f t="shared" ca="1" si="439"/>
        <v>78.940644664073147</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1.6446622053484621</v>
      </c>
      <c r="AH965" s="357">
        <f t="shared" ref="AH965:AH1004" ca="1" si="463">IF(AND(L964&lt;L_rampe,Poussee&lt;Poids*SIN(M964)), g*SIN(M964), (-W964+Poussee)/m)</f>
        <v>-8.1064241485747193</v>
      </c>
    </row>
    <row r="966" spans="1:34" x14ac:dyDescent="0.25">
      <c r="A966" s="402">
        <f t="shared" ca="1" si="441"/>
        <v>1E-4</v>
      </c>
      <c r="B966" s="357">
        <f t="shared" ca="1" si="442"/>
        <v>49.202000000000432</v>
      </c>
      <c r="C966" s="342"/>
      <c r="D966" s="359">
        <f t="shared" ca="1" si="443"/>
        <v>-0.88708209837746632</v>
      </c>
      <c r="E966" s="360">
        <f t="shared" ca="1" si="444"/>
        <v>-1.7522289372714894</v>
      </c>
      <c r="F966" s="357">
        <f t="shared" ca="1" si="445"/>
        <v>1.9639808802209204</v>
      </c>
      <c r="G966" s="359">
        <f t="shared" ca="1" si="446"/>
        <v>18.449075326774988</v>
      </c>
      <c r="H966" s="360">
        <f t="shared" ca="1" si="447"/>
        <v>-167.58234192937994</v>
      </c>
      <c r="I966" s="357">
        <f t="shared" ca="1" si="448"/>
        <v>168.59480925268321</v>
      </c>
      <c r="J966" s="359">
        <f t="shared" ca="1" si="449"/>
        <v>1783.0236932133373</v>
      </c>
      <c r="K966" s="360">
        <f t="shared" ca="1" si="450"/>
        <v>-16.075232825457672</v>
      </c>
      <c r="L966" s="357">
        <f t="shared" ca="1" si="435"/>
        <v>1783.0961565968678</v>
      </c>
      <c r="M966" s="359">
        <f t="shared" ca="1" si="451"/>
        <v>-1.4611482583051201</v>
      </c>
      <c r="N966" s="357">
        <f t="shared" ca="1" si="452"/>
        <v>-83.717628443774416</v>
      </c>
      <c r="O966" s="343"/>
      <c r="P966" s="363">
        <f t="shared" ca="1" si="453"/>
        <v>23</v>
      </c>
      <c r="Q966" s="357">
        <f t="shared" ca="1" si="454"/>
        <v>0</v>
      </c>
      <c r="R966" s="359">
        <f t="shared" ca="1" si="455"/>
        <v>0</v>
      </c>
      <c r="S966" s="360">
        <f t="shared" ca="1" si="456"/>
        <v>9.7379999999999765</v>
      </c>
      <c r="T966" s="357">
        <f t="shared" ca="1" si="436"/>
        <v>95.529779999999775</v>
      </c>
      <c r="U966" s="364">
        <f t="shared" ca="1" si="437"/>
        <v>0</v>
      </c>
      <c r="V966" s="359">
        <f t="shared" ca="1" si="438"/>
        <v>1.2269708000746211</v>
      </c>
      <c r="W966" s="357">
        <f t="shared" ca="1" si="439"/>
        <v>78.94093096766322</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1.6446334880613769</v>
      </c>
      <c r="AH966" s="357">
        <f t="shared" ca="1" si="463"/>
        <v>-8.1064535494016567</v>
      </c>
    </row>
    <row r="967" spans="1:34" x14ac:dyDescent="0.25">
      <c r="A967" s="402">
        <f t="shared" ca="1" si="441"/>
        <v>1E-4</v>
      </c>
      <c r="B967" s="357">
        <f t="shared" ca="1" si="442"/>
        <v>49.202100000000435</v>
      </c>
      <c r="C967" s="342"/>
      <c r="D967" s="359">
        <f t="shared" ca="1" si="443"/>
        <v>-0.8870801849936214</v>
      </c>
      <c r="E967" s="360">
        <f t="shared" ca="1" si="444"/>
        <v>-1.7521991483426209</v>
      </c>
      <c r="F967" s="357">
        <f t="shared" ca="1" si="445"/>
        <v>1.9639534388729596</v>
      </c>
      <c r="G967" s="359">
        <f t="shared" ca="1" si="446"/>
        <v>18.448986618756489</v>
      </c>
      <c r="H967" s="360">
        <f t="shared" ca="1" si="447"/>
        <v>-167.58251714929477</v>
      </c>
      <c r="I967" s="357">
        <f t="shared" ca="1" si="448"/>
        <v>168.59497371319446</v>
      </c>
      <c r="J967" s="359">
        <f t="shared" ca="1" si="449"/>
        <v>1783.0236932133373</v>
      </c>
      <c r="K967" s="360">
        <f t="shared" ca="1" si="450"/>
        <v>-16.091991068411605</v>
      </c>
      <c r="L967" s="357">
        <f t="shared" ca="1" si="435"/>
        <v>1783.0963077570082</v>
      </c>
      <c r="M967" s="359">
        <f t="shared" ca="1" si="451"/>
        <v>-1.461148895034353</v>
      </c>
      <c r="N967" s="357">
        <f t="shared" ca="1" si="452"/>
        <v>-83.717664925672153</v>
      </c>
      <c r="O967" s="343"/>
      <c r="P967" s="363">
        <f t="shared" ca="1" si="453"/>
        <v>23</v>
      </c>
      <c r="Q967" s="357">
        <f t="shared" ca="1" si="454"/>
        <v>0</v>
      </c>
      <c r="R967" s="359">
        <f t="shared" ca="1" si="455"/>
        <v>0</v>
      </c>
      <c r="S967" s="360">
        <f t="shared" ca="1" si="456"/>
        <v>9.7379999999999765</v>
      </c>
      <c r="T967" s="357">
        <f t="shared" ca="1" si="436"/>
        <v>95.529779999999775</v>
      </c>
      <c r="U967" s="364">
        <f t="shared" ca="1" si="437"/>
        <v>0</v>
      </c>
      <c r="V967" s="359">
        <f t="shared" ca="1" si="438"/>
        <v>1.2269728562651505</v>
      </c>
      <c r="W967" s="357">
        <f t="shared" ca="1" si="439"/>
        <v>78.941217269590723</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1.6446047709364553</v>
      </c>
      <c r="AH967" s="357">
        <f t="shared" ca="1" si="463"/>
        <v>-8.1064829500578561</v>
      </c>
    </row>
    <row r="968" spans="1:34" x14ac:dyDescent="0.25">
      <c r="A968" s="402">
        <f t="shared" ca="1" si="441"/>
        <v>1E-4</v>
      </c>
      <c r="B968" s="357">
        <f t="shared" ca="1" si="442"/>
        <v>49.202200000000438</v>
      </c>
      <c r="C968" s="342"/>
      <c r="D968" s="359">
        <f t="shared" ca="1" si="443"/>
        <v>-0.88707827158819641</v>
      </c>
      <c r="E968" s="360">
        <f t="shared" ca="1" si="444"/>
        <v>-1.7521693595864409</v>
      </c>
      <c r="F968" s="357">
        <f t="shared" ca="1" si="445"/>
        <v>1.9639259977395942</v>
      </c>
      <c r="G968" s="359">
        <f t="shared" ca="1" si="446"/>
        <v>18.448897910929329</v>
      </c>
      <c r="H968" s="360">
        <f t="shared" ca="1" si="447"/>
        <v>-167.58269236623073</v>
      </c>
      <c r="I968" s="357">
        <f t="shared" ca="1" si="448"/>
        <v>168.59513817083405</v>
      </c>
      <c r="J968" s="359">
        <f t="shared" ca="1" si="449"/>
        <v>1783.0236932133373</v>
      </c>
      <c r="K968" s="360">
        <f t="shared" ca="1" si="450"/>
        <v>-16.108749328887381</v>
      </c>
      <c r="L968" s="357">
        <f t="shared" ca="1" si="435"/>
        <v>1783.0964590747944</v>
      </c>
      <c r="M968" s="359">
        <f t="shared" ca="1" si="451"/>
        <v>-1.461149531759282</v>
      </c>
      <c r="N968" s="357">
        <f t="shared" ca="1" si="452"/>
        <v>-83.717701407323304</v>
      </c>
      <c r="O968" s="343"/>
      <c r="P968" s="363">
        <f t="shared" ca="1" si="453"/>
        <v>23</v>
      </c>
      <c r="Q968" s="357">
        <f t="shared" ca="1" si="454"/>
        <v>0</v>
      </c>
      <c r="R968" s="359">
        <f t="shared" ca="1" si="455"/>
        <v>0</v>
      </c>
      <c r="S968" s="360">
        <f t="shared" ca="1" si="456"/>
        <v>9.7379999999999765</v>
      </c>
      <c r="T968" s="357">
        <f t="shared" ca="1" si="436"/>
        <v>95.529779999999775</v>
      </c>
      <c r="U968" s="364">
        <f t="shared" ca="1" si="437"/>
        <v>0</v>
      </c>
      <c r="V968" s="359">
        <f t="shared" ca="1" si="438"/>
        <v>1.2269749124612781</v>
      </c>
      <c r="W968" s="357">
        <f t="shared" ca="1" si="439"/>
        <v>78.941503569855627</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1.6445760539736902</v>
      </c>
      <c r="AH968" s="357">
        <f t="shared" ca="1" si="463"/>
        <v>-8.1065123505433263</v>
      </c>
    </row>
    <row r="969" spans="1:34" x14ac:dyDescent="0.25">
      <c r="A969" s="402">
        <f t="shared" ca="1" si="441"/>
        <v>1E-4</v>
      </c>
      <c r="B969" s="357">
        <f t="shared" ca="1" si="442"/>
        <v>49.202300000000442</v>
      </c>
      <c r="C969" s="342"/>
      <c r="D969" s="359">
        <f t="shared" ca="1" si="443"/>
        <v>-0.88707635816119379</v>
      </c>
      <c r="E969" s="360">
        <f t="shared" ca="1" si="444"/>
        <v>-1.7521395710029584</v>
      </c>
      <c r="F969" s="357">
        <f t="shared" ca="1" si="445"/>
        <v>1.9638985568208347</v>
      </c>
      <c r="G969" s="359">
        <f t="shared" ca="1" si="446"/>
        <v>18.448809203293514</v>
      </c>
      <c r="H969" s="360">
        <f t="shared" ca="1" si="447"/>
        <v>-167.58286758018784</v>
      </c>
      <c r="I969" s="357">
        <f t="shared" ca="1" si="448"/>
        <v>168.59530262560193</v>
      </c>
      <c r="J969" s="359">
        <f t="shared" ca="1" si="449"/>
        <v>1783.0236932133373</v>
      </c>
      <c r="K969" s="360">
        <f t="shared" ca="1" si="450"/>
        <v>-16.125507606884703</v>
      </c>
      <c r="L969" s="357">
        <f t="shared" ca="1" si="435"/>
        <v>1783.0966105502273</v>
      </c>
      <c r="M969" s="359">
        <f t="shared" ca="1" si="451"/>
        <v>-1.4611501684799073</v>
      </c>
      <c r="N969" s="357">
        <f t="shared" ca="1" si="452"/>
        <v>-83.717737888727854</v>
      </c>
      <c r="O969" s="343"/>
      <c r="P969" s="363">
        <f t="shared" ca="1" si="453"/>
        <v>23</v>
      </c>
      <c r="Q969" s="357">
        <f t="shared" ca="1" si="454"/>
        <v>0</v>
      </c>
      <c r="R969" s="359">
        <f t="shared" ca="1" si="455"/>
        <v>0</v>
      </c>
      <c r="S969" s="360">
        <f t="shared" ca="1" si="456"/>
        <v>9.7379999999999765</v>
      </c>
      <c r="T969" s="357">
        <f t="shared" ca="1" si="436"/>
        <v>95.529779999999775</v>
      </c>
      <c r="U969" s="364">
        <f t="shared" ca="1" si="437"/>
        <v>0</v>
      </c>
      <c r="V969" s="359">
        <f t="shared" ca="1" si="438"/>
        <v>1.2269769686630041</v>
      </c>
      <c r="W969" s="357">
        <f t="shared" ca="1" si="439"/>
        <v>78.94178986845786</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1.6445473371730852</v>
      </c>
      <c r="AH969" s="357">
        <f t="shared" ca="1" si="463"/>
        <v>-8.1065417508580637</v>
      </c>
    </row>
    <row r="970" spans="1:34" x14ac:dyDescent="0.25">
      <c r="A970" s="402">
        <f t="shared" ca="1" si="441"/>
        <v>1E-4</v>
      </c>
      <c r="B970" s="357">
        <f t="shared" ca="1" si="442"/>
        <v>49.202400000000445</v>
      </c>
      <c r="C970" s="342"/>
      <c r="D970" s="359">
        <f t="shared" ca="1" si="443"/>
        <v>-0.88707444471261143</v>
      </c>
      <c r="E970" s="360">
        <f t="shared" ca="1" si="444"/>
        <v>-1.7521097825921785</v>
      </c>
      <c r="F970" s="357">
        <f t="shared" ca="1" si="445"/>
        <v>1.9638711161166862</v>
      </c>
      <c r="G970" s="359">
        <f t="shared" ca="1" si="446"/>
        <v>18.448720495849042</v>
      </c>
      <c r="H970" s="360">
        <f t="shared" ca="1" si="447"/>
        <v>-167.58304279116609</v>
      </c>
      <c r="I970" s="357">
        <f t="shared" ca="1" si="448"/>
        <v>168.59546707749817</v>
      </c>
      <c r="J970" s="359">
        <f t="shared" ca="1" si="449"/>
        <v>1783.0236932133373</v>
      </c>
      <c r="K970" s="360">
        <f t="shared" ca="1" si="450"/>
        <v>-16.14226590240327</v>
      </c>
      <c r="L970" s="357">
        <f t="shared" ca="1" si="435"/>
        <v>1783.0967621833072</v>
      </c>
      <c r="M970" s="359">
        <f t="shared" ca="1" si="451"/>
        <v>-1.461150805196229</v>
      </c>
      <c r="N970" s="357">
        <f t="shared" ca="1" si="452"/>
        <v>-83.717774369885831</v>
      </c>
      <c r="O970" s="343"/>
      <c r="P970" s="363">
        <f t="shared" ca="1" si="453"/>
        <v>23</v>
      </c>
      <c r="Q970" s="357">
        <f t="shared" ca="1" si="454"/>
        <v>0</v>
      </c>
      <c r="R970" s="359">
        <f t="shared" ca="1" si="455"/>
        <v>0</v>
      </c>
      <c r="S970" s="360">
        <f t="shared" ca="1" si="456"/>
        <v>9.7379999999999765</v>
      </c>
      <c r="T970" s="357">
        <f t="shared" ca="1" si="436"/>
        <v>95.529779999999775</v>
      </c>
      <c r="U970" s="364">
        <f t="shared" ca="1" si="437"/>
        <v>0</v>
      </c>
      <c r="V970" s="359">
        <f t="shared" ca="1" si="438"/>
        <v>1.2269790248703285</v>
      </c>
      <c r="W970" s="357">
        <f t="shared" ca="1" si="439"/>
        <v>78.942076165397509</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1.6445186205346474</v>
      </c>
      <c r="AH970" s="357">
        <f t="shared" ca="1" si="463"/>
        <v>-8.1065711510020595</v>
      </c>
    </row>
    <row r="971" spans="1:34" x14ac:dyDescent="0.25">
      <c r="A971" s="402">
        <f t="shared" ca="1" si="441"/>
        <v>1E-4</v>
      </c>
      <c r="B971" s="357">
        <f t="shared" ca="1" si="442"/>
        <v>49.202500000000448</v>
      </c>
      <c r="C971" s="342"/>
      <c r="D971" s="359">
        <f t="shared" ca="1" si="443"/>
        <v>-0.88707253124245111</v>
      </c>
      <c r="E971" s="360">
        <f t="shared" ca="1" si="444"/>
        <v>-1.7520799943540926</v>
      </c>
      <c r="F971" s="357">
        <f t="shared" ca="1" si="445"/>
        <v>1.9638436756271429</v>
      </c>
      <c r="G971" s="359">
        <f t="shared" ca="1" si="446"/>
        <v>18.448631788595918</v>
      </c>
      <c r="H971" s="360">
        <f t="shared" ca="1" si="447"/>
        <v>-167.58321799916553</v>
      </c>
      <c r="I971" s="357">
        <f t="shared" ca="1" si="448"/>
        <v>168.59563152652274</v>
      </c>
      <c r="J971" s="359">
        <f t="shared" ca="1" si="449"/>
        <v>1783.0236932133373</v>
      </c>
      <c r="K971" s="360">
        <f t="shared" ca="1" si="450"/>
        <v>-16.159024215442788</v>
      </c>
      <c r="L971" s="357">
        <f t="shared" ca="1" si="435"/>
        <v>1783.0969139740344</v>
      </c>
      <c r="M971" s="359">
        <f t="shared" ca="1" si="451"/>
        <v>-1.461151441908247</v>
      </c>
      <c r="N971" s="357">
        <f t="shared" ca="1" si="452"/>
        <v>-83.717810850797235</v>
      </c>
      <c r="O971" s="343"/>
      <c r="P971" s="363">
        <f t="shared" ca="1" si="453"/>
        <v>23</v>
      </c>
      <c r="Q971" s="357">
        <f t="shared" ca="1" si="454"/>
        <v>0</v>
      </c>
      <c r="R971" s="359">
        <f t="shared" ca="1" si="455"/>
        <v>0</v>
      </c>
      <c r="S971" s="360">
        <f t="shared" ca="1" si="456"/>
        <v>9.7379999999999765</v>
      </c>
      <c r="T971" s="357">
        <f t="shared" ca="1" si="436"/>
        <v>95.529779999999775</v>
      </c>
      <c r="U971" s="364">
        <f t="shared" ca="1" si="437"/>
        <v>0</v>
      </c>
      <c r="V971" s="359">
        <f t="shared" ca="1" si="438"/>
        <v>1.2269810810832515</v>
      </c>
      <c r="W971" s="357">
        <f t="shared" ca="1" si="439"/>
        <v>78.942362460674502</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1.6444899040583696</v>
      </c>
      <c r="AH971" s="357">
        <f t="shared" ca="1" si="463"/>
        <v>-8.1066005509753243</v>
      </c>
    </row>
    <row r="972" spans="1:34" x14ac:dyDescent="0.25">
      <c r="A972" s="402">
        <f t="shared" ca="1" si="441"/>
        <v>1E-4</v>
      </c>
      <c r="B972" s="357">
        <f t="shared" ca="1" si="442"/>
        <v>49.202600000000452</v>
      </c>
      <c r="C972" s="342"/>
      <c r="D972" s="359">
        <f t="shared" ca="1" si="443"/>
        <v>-0.8870706177507125</v>
      </c>
      <c r="E972" s="360">
        <f t="shared" ca="1" si="444"/>
        <v>-1.7520502062887093</v>
      </c>
      <c r="F972" s="357">
        <f t="shared" ca="1" si="445"/>
        <v>1.9638162353522133</v>
      </c>
      <c r="G972" s="359">
        <f t="shared" ca="1" si="446"/>
        <v>18.448543081534144</v>
      </c>
      <c r="H972" s="360">
        <f t="shared" ca="1" si="447"/>
        <v>-167.58339320418617</v>
      </c>
      <c r="I972" s="357">
        <f t="shared" ca="1" si="448"/>
        <v>168.59579597267569</v>
      </c>
      <c r="J972" s="359">
        <f t="shared" ca="1" si="449"/>
        <v>1783.0236932133373</v>
      </c>
      <c r="K972" s="360">
        <f t="shared" ca="1" si="450"/>
        <v>-16.175782546002957</v>
      </c>
      <c r="L972" s="357">
        <f t="shared" ca="1" si="435"/>
        <v>1783.0970659224092</v>
      </c>
      <c r="M972" s="359">
        <f t="shared" ca="1" si="451"/>
        <v>-1.4611520786159615</v>
      </c>
      <c r="N972" s="357">
        <f t="shared" ca="1" si="452"/>
        <v>-83.717847331462053</v>
      </c>
      <c r="O972" s="343"/>
      <c r="P972" s="363">
        <f t="shared" ca="1" si="453"/>
        <v>23</v>
      </c>
      <c r="Q972" s="357">
        <f t="shared" ca="1" si="454"/>
        <v>0</v>
      </c>
      <c r="R972" s="359">
        <f t="shared" ca="1" si="455"/>
        <v>0</v>
      </c>
      <c r="S972" s="360">
        <f t="shared" ca="1" si="456"/>
        <v>9.7379999999999765</v>
      </c>
      <c r="T972" s="357">
        <f t="shared" ca="1" si="436"/>
        <v>95.529779999999775</v>
      </c>
      <c r="U972" s="364">
        <f t="shared" ca="1" si="437"/>
        <v>0</v>
      </c>
      <c r="V972" s="359">
        <f t="shared" ca="1" si="438"/>
        <v>1.2269831373017734</v>
      </c>
      <c r="W972" s="357">
        <f t="shared" ca="1" si="439"/>
        <v>78.942648754288925</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1.6444611877442554</v>
      </c>
      <c r="AH972" s="357">
        <f t="shared" ca="1" si="463"/>
        <v>-8.1066299507778492</v>
      </c>
    </row>
    <row r="973" spans="1:34" x14ac:dyDescent="0.25">
      <c r="A973" s="402">
        <f t="shared" ca="1" si="441"/>
        <v>1E-4</v>
      </c>
      <c r="B973" s="357">
        <f t="shared" ca="1" si="442"/>
        <v>49.202700000000455</v>
      </c>
      <c r="C973" s="342"/>
      <c r="D973" s="359">
        <f t="shared" ca="1" si="443"/>
        <v>-0.8870687042373957</v>
      </c>
      <c r="E973" s="360">
        <f t="shared" ca="1" si="444"/>
        <v>-1.7520204183960164</v>
      </c>
      <c r="F973" s="357">
        <f t="shared" ca="1" si="445"/>
        <v>1.963788795291888</v>
      </c>
      <c r="G973" s="359">
        <f t="shared" ca="1" si="446"/>
        <v>18.448454374663719</v>
      </c>
      <c r="H973" s="360">
        <f t="shared" ca="1" si="447"/>
        <v>-167.58356840622801</v>
      </c>
      <c r="I973" s="357">
        <f t="shared" ca="1" si="448"/>
        <v>168.59596041595705</v>
      </c>
      <c r="J973" s="359">
        <f t="shared" ca="1" si="449"/>
        <v>1783.0236932133373</v>
      </c>
      <c r="K973" s="360">
        <f t="shared" ca="1" si="450"/>
        <v>-16.192540894083479</v>
      </c>
      <c r="L973" s="357">
        <f t="shared" ca="1" si="435"/>
        <v>1783.0972180284327</v>
      </c>
      <c r="M973" s="359">
        <f t="shared" ca="1" si="451"/>
        <v>-1.4611527153193722</v>
      </c>
      <c r="N973" s="357">
        <f t="shared" ca="1" si="452"/>
        <v>-83.717883811880299</v>
      </c>
      <c r="O973" s="343"/>
      <c r="P973" s="363">
        <f t="shared" ca="1" si="453"/>
        <v>23</v>
      </c>
      <c r="Q973" s="357">
        <f t="shared" ca="1" si="454"/>
        <v>0</v>
      </c>
      <c r="R973" s="359">
        <f t="shared" ca="1" si="455"/>
        <v>0</v>
      </c>
      <c r="S973" s="360">
        <f t="shared" ca="1" si="456"/>
        <v>9.7379999999999765</v>
      </c>
      <c r="T973" s="357">
        <f t="shared" ca="1" si="436"/>
        <v>95.529779999999775</v>
      </c>
      <c r="U973" s="364">
        <f t="shared" ca="1" si="437"/>
        <v>0</v>
      </c>
      <c r="V973" s="359">
        <f t="shared" ca="1" si="438"/>
        <v>1.2269851935258929</v>
      </c>
      <c r="W973" s="357">
        <f t="shared" ca="1" si="439"/>
        <v>78.942935046240649</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1.6444324715922995</v>
      </c>
      <c r="AH973" s="357">
        <f t="shared" ca="1" si="463"/>
        <v>-8.1066593504096449</v>
      </c>
    </row>
    <row r="974" spans="1:34" x14ac:dyDescent="0.25">
      <c r="A974" s="402">
        <f t="shared" ca="1" si="441"/>
        <v>1E-4</v>
      </c>
      <c r="B974" s="357">
        <f t="shared" ca="1" si="442"/>
        <v>49.202800000000458</v>
      </c>
      <c r="C974" s="342"/>
      <c r="D974" s="359">
        <f t="shared" ca="1" si="443"/>
        <v>-0.88706679070250338</v>
      </c>
      <c r="E974" s="360">
        <f t="shared" ca="1" si="444"/>
        <v>-1.7519906306760316</v>
      </c>
      <c r="F974" s="357">
        <f t="shared" ca="1" si="445"/>
        <v>1.963761355446185</v>
      </c>
      <c r="G974" s="359">
        <f t="shared" ca="1" si="446"/>
        <v>18.44836566798465</v>
      </c>
      <c r="H974" s="360">
        <f t="shared" ca="1" si="447"/>
        <v>-167.58374360529109</v>
      </c>
      <c r="I974" s="357">
        <f t="shared" ca="1" si="448"/>
        <v>168.59612485636677</v>
      </c>
      <c r="J974" s="359">
        <f t="shared" ca="1" si="449"/>
        <v>1783.0236932133373</v>
      </c>
      <c r="K974" s="360">
        <f t="shared" ca="1" si="450"/>
        <v>-16.209299259684055</v>
      </c>
      <c r="L974" s="357">
        <f t="shared" ca="1" si="435"/>
        <v>1783.0973702921046</v>
      </c>
      <c r="M974" s="359">
        <f t="shared" ca="1" si="451"/>
        <v>-1.4611533520184796</v>
      </c>
      <c r="N974" s="357">
        <f t="shared" ca="1" si="452"/>
        <v>-83.717920292051971</v>
      </c>
      <c r="O974" s="343"/>
      <c r="P974" s="363">
        <f t="shared" ca="1" si="453"/>
        <v>23</v>
      </c>
      <c r="Q974" s="357">
        <f t="shared" ca="1" si="454"/>
        <v>0</v>
      </c>
      <c r="R974" s="359">
        <f t="shared" ca="1" si="455"/>
        <v>0</v>
      </c>
      <c r="S974" s="360">
        <f t="shared" ca="1" si="456"/>
        <v>9.7379999999999765</v>
      </c>
      <c r="T974" s="357">
        <f t="shared" ca="1" si="436"/>
        <v>95.529779999999775</v>
      </c>
      <c r="U974" s="364">
        <f t="shared" ca="1" si="437"/>
        <v>0</v>
      </c>
      <c r="V974" s="359">
        <f t="shared" ca="1" si="438"/>
        <v>1.2269872497556111</v>
      </c>
      <c r="W974" s="357">
        <f t="shared" ca="1" si="439"/>
        <v>78.943221336529746</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1.6444037556025162</v>
      </c>
      <c r="AH974" s="357">
        <f t="shared" ca="1" si="463"/>
        <v>-8.1066887498706954</v>
      </c>
    </row>
    <row r="975" spans="1:34" x14ac:dyDescent="0.25">
      <c r="A975" s="402">
        <f t="shared" ca="1" si="441"/>
        <v>1E-4</v>
      </c>
      <c r="B975" s="357">
        <f t="shared" ca="1" si="442"/>
        <v>49.202900000000461</v>
      </c>
      <c r="C975" s="342"/>
      <c r="D975" s="359">
        <f t="shared" ca="1" si="443"/>
        <v>-0.8870648771460321</v>
      </c>
      <c r="E975" s="360">
        <f t="shared" ca="1" si="444"/>
        <v>-1.7519608431287441</v>
      </c>
      <c r="F975" s="357">
        <f t="shared" ca="1" si="445"/>
        <v>1.9637339158150946</v>
      </c>
      <c r="G975" s="359">
        <f t="shared" ca="1" si="446"/>
        <v>18.448276961496934</v>
      </c>
      <c r="H975" s="360">
        <f t="shared" ca="1" si="447"/>
        <v>-167.5839188013754</v>
      </c>
      <c r="I975" s="357">
        <f t="shared" ca="1" si="448"/>
        <v>168.59628929390493</v>
      </c>
      <c r="J975" s="359">
        <f t="shared" ca="1" si="449"/>
        <v>1783.0236932133373</v>
      </c>
      <c r="K975" s="360">
        <f t="shared" ca="1" si="450"/>
        <v>-16.226057642804388</v>
      </c>
      <c r="L975" s="357">
        <f t="shared" ca="1" si="435"/>
        <v>1783.0975227134261</v>
      </c>
      <c r="M975" s="359">
        <f t="shared" ca="1" si="451"/>
        <v>-1.4611539887132836</v>
      </c>
      <c r="N975" s="357">
        <f t="shared" ca="1" si="452"/>
        <v>-83.717956771977072</v>
      </c>
      <c r="O975" s="343"/>
      <c r="P975" s="363">
        <f t="shared" ca="1" si="453"/>
        <v>23</v>
      </c>
      <c r="Q975" s="357">
        <f t="shared" ca="1" si="454"/>
        <v>0</v>
      </c>
      <c r="R975" s="359">
        <f t="shared" ca="1" si="455"/>
        <v>0</v>
      </c>
      <c r="S975" s="360">
        <f t="shared" ca="1" si="456"/>
        <v>9.7379999999999765</v>
      </c>
      <c r="T975" s="357">
        <f t="shared" ca="1" si="436"/>
        <v>95.529779999999775</v>
      </c>
      <c r="U975" s="364">
        <f t="shared" ca="1" si="437"/>
        <v>0</v>
      </c>
      <c r="V975" s="359">
        <f t="shared" ca="1" si="438"/>
        <v>1.2269893059909276</v>
      </c>
      <c r="W975" s="357">
        <f t="shared" ca="1" si="439"/>
        <v>78.943507625156201</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1.6443750397748946</v>
      </c>
      <c r="AH975" s="357">
        <f t="shared" ca="1" si="463"/>
        <v>-8.1067181491610114</v>
      </c>
    </row>
    <row r="976" spans="1:34" x14ac:dyDescent="0.25">
      <c r="A976" s="402">
        <f t="shared" ca="1" si="441"/>
        <v>1E-4</v>
      </c>
      <c r="B976" s="357">
        <f t="shared" ca="1" si="442"/>
        <v>49.203000000000465</v>
      </c>
      <c r="C976" s="342"/>
      <c r="D976" s="359">
        <f t="shared" ca="1" si="443"/>
        <v>-0.88706296356798386</v>
      </c>
      <c r="E976" s="360">
        <f t="shared" ca="1" si="444"/>
        <v>-1.7519310557541541</v>
      </c>
      <c r="F976" s="357">
        <f t="shared" ca="1" si="445"/>
        <v>1.9637064763986187</v>
      </c>
      <c r="G976" s="359">
        <f t="shared" ca="1" si="446"/>
        <v>18.448188255200577</v>
      </c>
      <c r="H976" s="360">
        <f t="shared" ca="1" si="447"/>
        <v>-167.58409399448098</v>
      </c>
      <c r="I976" s="357">
        <f t="shared" ca="1" si="448"/>
        <v>168.5964537285715</v>
      </c>
      <c r="J976" s="359">
        <f t="shared" ca="1" si="449"/>
        <v>1783.0236932133373</v>
      </c>
      <c r="K976" s="360">
        <f t="shared" ca="1" si="450"/>
        <v>-16.242816043444183</v>
      </c>
      <c r="L976" s="357">
        <f t="shared" ca="1" si="435"/>
        <v>1783.0976752923971</v>
      </c>
      <c r="M976" s="359">
        <f t="shared" ca="1" si="451"/>
        <v>-1.4611546254037839</v>
      </c>
      <c r="N976" s="357">
        <f t="shared" ca="1" si="452"/>
        <v>-83.717993251655599</v>
      </c>
      <c r="O976" s="343"/>
      <c r="P976" s="363">
        <f t="shared" ca="1" si="453"/>
        <v>23</v>
      </c>
      <c r="Q976" s="357">
        <f t="shared" ca="1" si="454"/>
        <v>0</v>
      </c>
      <c r="R976" s="359">
        <f t="shared" ca="1" si="455"/>
        <v>0</v>
      </c>
      <c r="S976" s="360">
        <f t="shared" ca="1" si="456"/>
        <v>9.7379999999999765</v>
      </c>
      <c r="T976" s="357">
        <f t="shared" ca="1" si="436"/>
        <v>95.529779999999775</v>
      </c>
      <c r="U976" s="364">
        <f t="shared" ca="1" si="437"/>
        <v>0</v>
      </c>
      <c r="V976" s="359">
        <f t="shared" ca="1" si="438"/>
        <v>1.2269913622318422</v>
      </c>
      <c r="W976" s="357">
        <f t="shared" ca="1" si="439"/>
        <v>78.943793912119972</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1.6443463241094367</v>
      </c>
      <c r="AH976" s="357">
        <f t="shared" ca="1" si="463"/>
        <v>-8.1067475482805911</v>
      </c>
    </row>
    <row r="977" spans="1:34" x14ac:dyDescent="0.25">
      <c r="A977" s="402">
        <f t="shared" ca="1" si="441"/>
        <v>1E-4</v>
      </c>
      <c r="B977" s="357">
        <f t="shared" ca="1" si="442"/>
        <v>49.203100000000468</v>
      </c>
      <c r="C977" s="342"/>
      <c r="D977" s="359">
        <f t="shared" ca="1" si="443"/>
        <v>-0.88706104996836055</v>
      </c>
      <c r="E977" s="360">
        <f t="shared" ca="1" si="444"/>
        <v>-1.7519012685522704</v>
      </c>
      <c r="F977" s="357">
        <f t="shared" ca="1" si="445"/>
        <v>1.9636790371967676</v>
      </c>
      <c r="G977" s="359">
        <f t="shared" ca="1" si="446"/>
        <v>18.448099549095581</v>
      </c>
      <c r="H977" s="360">
        <f t="shared" ca="1" si="447"/>
        <v>-167.58426918460785</v>
      </c>
      <c r="I977" s="357">
        <f t="shared" ca="1" si="448"/>
        <v>168.59661816036655</v>
      </c>
      <c r="J977" s="359">
        <f t="shared" ca="1" si="449"/>
        <v>1783.0236932133373</v>
      </c>
      <c r="K977" s="360">
        <f t="shared" ca="1" si="450"/>
        <v>-16.259574461603137</v>
      </c>
      <c r="L977" s="357">
        <f t="shared" ca="1" si="435"/>
        <v>1783.097828029018</v>
      </c>
      <c r="M977" s="359">
        <f t="shared" ca="1" si="451"/>
        <v>-1.461155262089981</v>
      </c>
      <c r="N977" s="357">
        <f t="shared" ca="1" si="452"/>
        <v>-83.718029731087569</v>
      </c>
      <c r="O977" s="343"/>
      <c r="P977" s="363">
        <f t="shared" ca="1" si="453"/>
        <v>23</v>
      </c>
      <c r="Q977" s="357">
        <f t="shared" ca="1" si="454"/>
        <v>0</v>
      </c>
      <c r="R977" s="359">
        <f t="shared" ca="1" si="455"/>
        <v>0</v>
      </c>
      <c r="S977" s="360">
        <f t="shared" ca="1" si="456"/>
        <v>9.7379999999999765</v>
      </c>
      <c r="T977" s="357">
        <f t="shared" ca="1" si="436"/>
        <v>95.529779999999775</v>
      </c>
      <c r="U977" s="364">
        <f t="shared" ca="1" si="437"/>
        <v>0</v>
      </c>
      <c r="V977" s="359">
        <f t="shared" ca="1" si="438"/>
        <v>1.2269934184783557</v>
      </c>
      <c r="W977" s="357">
        <f t="shared" ca="1" si="439"/>
        <v>78.944080197421144</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1.6443176086061495</v>
      </c>
      <c r="AH977" s="357">
        <f t="shared" ca="1" si="463"/>
        <v>-8.1067769472294273</v>
      </c>
    </row>
    <row r="978" spans="1:34" x14ac:dyDescent="0.25">
      <c r="A978" s="402">
        <f t="shared" ca="1" si="441"/>
        <v>1E-4</v>
      </c>
      <c r="B978" s="357">
        <f t="shared" ca="1" si="442"/>
        <v>49.203200000000471</v>
      </c>
      <c r="C978" s="342"/>
      <c r="D978" s="359">
        <f t="shared" ca="1" si="443"/>
        <v>-0.8870591363471606</v>
      </c>
      <c r="E978" s="360">
        <f t="shared" ca="1" si="444"/>
        <v>-1.7518714815230823</v>
      </c>
      <c r="F978" s="357">
        <f t="shared" ca="1" si="445"/>
        <v>1.9636515982095319</v>
      </c>
      <c r="G978" s="359">
        <f t="shared" ca="1" si="446"/>
        <v>18.448010843181947</v>
      </c>
      <c r="H978" s="360">
        <f t="shared" ca="1" si="447"/>
        <v>-167.58444437175601</v>
      </c>
      <c r="I978" s="357">
        <f t="shared" ca="1" si="448"/>
        <v>168.59678258929006</v>
      </c>
      <c r="J978" s="359">
        <f t="shared" ca="1" si="449"/>
        <v>1783.0236932133373</v>
      </c>
      <c r="K978" s="360">
        <f t="shared" ca="1" si="450"/>
        <v>-16.276332897280955</v>
      </c>
      <c r="L978" s="357">
        <f t="shared" ca="1" si="435"/>
        <v>1783.0979809232897</v>
      </c>
      <c r="M978" s="359">
        <f t="shared" ca="1" si="451"/>
        <v>-1.4611558987718749</v>
      </c>
      <c r="N978" s="357">
        <f t="shared" ca="1" si="452"/>
        <v>-83.71806621027298</v>
      </c>
      <c r="O978" s="343"/>
      <c r="P978" s="363">
        <f t="shared" ca="1" si="453"/>
        <v>23</v>
      </c>
      <c r="Q978" s="357">
        <f t="shared" ca="1" si="454"/>
        <v>0</v>
      </c>
      <c r="R978" s="359">
        <f t="shared" ca="1" si="455"/>
        <v>0</v>
      </c>
      <c r="S978" s="360">
        <f t="shared" ca="1" si="456"/>
        <v>9.7379999999999765</v>
      </c>
      <c r="T978" s="357">
        <f t="shared" ca="1" si="436"/>
        <v>95.529779999999775</v>
      </c>
      <c r="U978" s="364">
        <f t="shared" ca="1" si="437"/>
        <v>0</v>
      </c>
      <c r="V978" s="359">
        <f t="shared" ca="1" si="438"/>
        <v>1.2269954747304668</v>
      </c>
      <c r="W978" s="357">
        <f t="shared" ca="1" si="439"/>
        <v>78.944366481059603</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1.6442888932650241</v>
      </c>
      <c r="AH978" s="357">
        <f t="shared" ca="1" si="463"/>
        <v>-8.1068063460075308</v>
      </c>
    </row>
    <row r="979" spans="1:34" x14ac:dyDescent="0.25">
      <c r="A979" s="402">
        <f t="shared" ca="1" si="441"/>
        <v>1E-4</v>
      </c>
      <c r="B979" s="357">
        <f t="shared" ca="1" si="442"/>
        <v>49.203300000000475</v>
      </c>
      <c r="C979" s="342"/>
      <c r="D979" s="359">
        <f t="shared" ca="1" si="443"/>
        <v>-0.88705722270438325</v>
      </c>
      <c r="E979" s="360">
        <f t="shared" ca="1" si="444"/>
        <v>-1.7518416946666022</v>
      </c>
      <c r="F979" s="357">
        <f t="shared" ca="1" si="445"/>
        <v>1.9636241594369241</v>
      </c>
      <c r="G979" s="359">
        <f t="shared" ca="1" si="446"/>
        <v>18.447922137459678</v>
      </c>
      <c r="H979" s="360">
        <f t="shared" ca="1" si="447"/>
        <v>-167.58461955592549</v>
      </c>
      <c r="I979" s="357">
        <f t="shared" ca="1" si="448"/>
        <v>168.59694701534207</v>
      </c>
      <c r="J979" s="359">
        <f t="shared" ca="1" si="449"/>
        <v>1783.0236932133373</v>
      </c>
      <c r="K979" s="360">
        <f t="shared" ca="1" si="450"/>
        <v>-16.29309135047734</v>
      </c>
      <c r="L979" s="357">
        <f t="shared" ca="1" si="435"/>
        <v>1783.0981339752122</v>
      </c>
      <c r="M979" s="359">
        <f t="shared" ca="1" si="451"/>
        <v>-1.4611565354494653</v>
      </c>
      <c r="N979" s="357">
        <f t="shared" ca="1" si="452"/>
        <v>-83.718102689211818</v>
      </c>
      <c r="O979" s="343"/>
      <c r="P979" s="363">
        <f t="shared" ca="1" si="453"/>
        <v>23</v>
      </c>
      <c r="Q979" s="357">
        <f t="shared" ca="1" si="454"/>
        <v>0</v>
      </c>
      <c r="R979" s="359">
        <f t="shared" ca="1" si="455"/>
        <v>0</v>
      </c>
      <c r="S979" s="360">
        <f t="shared" ca="1" si="456"/>
        <v>9.7379999999999765</v>
      </c>
      <c r="T979" s="357">
        <f t="shared" ca="1" si="436"/>
        <v>95.529779999999775</v>
      </c>
      <c r="U979" s="364">
        <f t="shared" ca="1" si="437"/>
        <v>0</v>
      </c>
      <c r="V979" s="359">
        <f t="shared" ca="1" si="438"/>
        <v>1.2269975309881771</v>
      </c>
      <c r="W979" s="357">
        <f t="shared" ca="1" si="439"/>
        <v>78.944652763035478</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1.6442601780860713</v>
      </c>
      <c r="AH979" s="357">
        <f t="shared" ca="1" si="463"/>
        <v>-8.1068357446148891</v>
      </c>
    </row>
    <row r="980" spans="1:34" x14ac:dyDescent="0.25">
      <c r="A980" s="402">
        <f t="shared" ca="1" si="441"/>
        <v>1E-4</v>
      </c>
      <c r="B980" s="357">
        <f t="shared" ca="1" si="442"/>
        <v>49.203400000000478</v>
      </c>
      <c r="C980" s="342"/>
      <c r="D980" s="359">
        <f t="shared" ca="1" si="443"/>
        <v>-0.88705530904003238</v>
      </c>
      <c r="E980" s="360">
        <f t="shared" ca="1" si="444"/>
        <v>-1.7518119079828143</v>
      </c>
      <c r="F980" s="357">
        <f t="shared" ca="1" si="445"/>
        <v>1.9635967208789322</v>
      </c>
      <c r="G980" s="359">
        <f t="shared" ca="1" si="446"/>
        <v>18.447833431928775</v>
      </c>
      <c r="H980" s="360">
        <f t="shared" ca="1" si="447"/>
        <v>-167.58479473711628</v>
      </c>
      <c r="I980" s="357">
        <f t="shared" ca="1" si="448"/>
        <v>168.59711143852255</v>
      </c>
      <c r="J980" s="359">
        <f t="shared" ca="1" si="449"/>
        <v>1783.0236932133373</v>
      </c>
      <c r="K980" s="360">
        <f t="shared" ca="1" si="450"/>
        <v>-16.309849821191992</v>
      </c>
      <c r="L980" s="357">
        <f t="shared" ca="1" si="435"/>
        <v>1783.0982871847864</v>
      </c>
      <c r="M980" s="359">
        <f t="shared" ca="1" si="451"/>
        <v>-1.4611571721227525</v>
      </c>
      <c r="N980" s="357">
        <f t="shared" ca="1" si="452"/>
        <v>-83.718139167904113</v>
      </c>
      <c r="O980" s="343"/>
      <c r="P980" s="363">
        <f t="shared" ca="1" si="453"/>
        <v>23</v>
      </c>
      <c r="Q980" s="357">
        <f t="shared" ca="1" si="454"/>
        <v>0</v>
      </c>
      <c r="R980" s="359">
        <f t="shared" ca="1" si="455"/>
        <v>0</v>
      </c>
      <c r="S980" s="360">
        <f t="shared" ca="1" si="456"/>
        <v>9.7379999999999765</v>
      </c>
      <c r="T980" s="357">
        <f t="shared" ca="1" si="436"/>
        <v>95.529779999999775</v>
      </c>
      <c r="U980" s="364">
        <f t="shared" ca="1" si="437"/>
        <v>0</v>
      </c>
      <c r="V980" s="359">
        <f t="shared" ca="1" si="438"/>
        <v>1.2269995872514847</v>
      </c>
      <c r="W980" s="357">
        <f t="shared" ca="1" si="439"/>
        <v>78.944939043348597</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1.6442314630692767</v>
      </c>
      <c r="AH980" s="357">
        <f t="shared" ca="1" si="463"/>
        <v>-8.1068651430515164</v>
      </c>
    </row>
    <row r="981" spans="1:34" x14ac:dyDescent="0.25">
      <c r="A981" s="402">
        <f t="shared" ca="1" si="441"/>
        <v>1E-4</v>
      </c>
      <c r="B981" s="357">
        <f t="shared" ca="1" si="442"/>
        <v>49.203500000000481</v>
      </c>
      <c r="C981" s="342"/>
      <c r="D981" s="359">
        <f t="shared" ca="1" si="443"/>
        <v>-0.88705339535410521</v>
      </c>
      <c r="E981" s="360">
        <f t="shared" ca="1" si="444"/>
        <v>-1.751782121471738</v>
      </c>
      <c r="F981" s="357">
        <f t="shared" ca="1" si="445"/>
        <v>1.9635692825355742</v>
      </c>
      <c r="G981" s="359">
        <f t="shared" ca="1" si="446"/>
        <v>18.447744726589239</v>
      </c>
      <c r="H981" s="360">
        <f t="shared" ca="1" si="447"/>
        <v>-167.58496991532843</v>
      </c>
      <c r="I981" s="357">
        <f t="shared" ca="1" si="448"/>
        <v>168.59727585883152</v>
      </c>
      <c r="J981" s="359">
        <f t="shared" ca="1" si="449"/>
        <v>1783.0236932133373</v>
      </c>
      <c r="K981" s="360">
        <f t="shared" ca="1" si="450"/>
        <v>-16.326608309424614</v>
      </c>
      <c r="L981" s="357">
        <f t="shared" ca="1" si="435"/>
        <v>1783.0984405520123</v>
      </c>
      <c r="M981" s="359">
        <f t="shared" ca="1" si="451"/>
        <v>-1.4611578087917365</v>
      </c>
      <c r="N981" s="357">
        <f t="shared" ca="1" si="452"/>
        <v>-83.718175646349835</v>
      </c>
      <c r="O981" s="343"/>
      <c r="P981" s="363">
        <f t="shared" ca="1" si="453"/>
        <v>23</v>
      </c>
      <c r="Q981" s="357">
        <f t="shared" ca="1" si="454"/>
        <v>0</v>
      </c>
      <c r="R981" s="359">
        <f t="shared" ca="1" si="455"/>
        <v>0</v>
      </c>
      <c r="S981" s="360">
        <f t="shared" ca="1" si="456"/>
        <v>9.7379999999999765</v>
      </c>
      <c r="T981" s="357">
        <f t="shared" ca="1" si="436"/>
        <v>95.529779999999775</v>
      </c>
      <c r="U981" s="364">
        <f t="shared" ca="1" si="437"/>
        <v>0</v>
      </c>
      <c r="V981" s="359">
        <f t="shared" ca="1" si="438"/>
        <v>1.2270016435203912</v>
      </c>
      <c r="W981" s="357">
        <f t="shared" ca="1" si="439"/>
        <v>78.945225321999075</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1.6442027482146599</v>
      </c>
      <c r="AH981" s="357">
        <f t="shared" ca="1" si="463"/>
        <v>-8.106894541317395</v>
      </c>
    </row>
    <row r="982" spans="1:34" x14ac:dyDescent="0.25">
      <c r="A982" s="402">
        <f t="shared" ca="1" si="441"/>
        <v>1E-4</v>
      </c>
      <c r="B982" s="357">
        <f t="shared" ca="1" si="442"/>
        <v>49.203600000000485</v>
      </c>
      <c r="C982" s="342"/>
      <c r="D982" s="359">
        <f t="shared" ca="1" si="443"/>
        <v>-0.88705148164660341</v>
      </c>
      <c r="E982" s="360">
        <f t="shared" ca="1" si="444"/>
        <v>-1.7517523351333626</v>
      </c>
      <c r="F982" s="357">
        <f t="shared" ca="1" si="445"/>
        <v>1.963541844406842</v>
      </c>
      <c r="G982" s="359">
        <f t="shared" ca="1" si="446"/>
        <v>18.447656021441073</v>
      </c>
      <c r="H982" s="360">
        <f t="shared" ca="1" si="447"/>
        <v>-167.58514509056195</v>
      </c>
      <c r="I982" s="357">
        <f t="shared" ca="1" si="448"/>
        <v>168.59744027626905</v>
      </c>
      <c r="J982" s="359">
        <f t="shared" ca="1" si="449"/>
        <v>1783.0236932133373</v>
      </c>
      <c r="K982" s="360">
        <f t="shared" ca="1" si="450"/>
        <v>-16.34336681517491</v>
      </c>
      <c r="L982" s="357">
        <f t="shared" ca="1" si="435"/>
        <v>1783.0985940768908</v>
      </c>
      <c r="M982" s="359">
        <f t="shared" ca="1" si="451"/>
        <v>-1.4611584454564173</v>
      </c>
      <c r="N982" s="357">
        <f t="shared" ca="1" si="452"/>
        <v>-83.718212124549012</v>
      </c>
      <c r="O982" s="343"/>
      <c r="P982" s="363">
        <f t="shared" ca="1" si="453"/>
        <v>23</v>
      </c>
      <c r="Q982" s="357">
        <f t="shared" ca="1" si="454"/>
        <v>0</v>
      </c>
      <c r="R982" s="359">
        <f t="shared" ca="1" si="455"/>
        <v>0</v>
      </c>
      <c r="S982" s="360">
        <f t="shared" ca="1" si="456"/>
        <v>9.7379999999999765</v>
      </c>
      <c r="T982" s="357">
        <f t="shared" ca="1" si="436"/>
        <v>95.529779999999775</v>
      </c>
      <c r="U982" s="364">
        <f t="shared" ca="1" si="437"/>
        <v>0</v>
      </c>
      <c r="V982" s="359">
        <f t="shared" ca="1" si="438"/>
        <v>1.2270036997948957</v>
      </c>
      <c r="W982" s="357">
        <f t="shared" ca="1" si="439"/>
        <v>78.945511598986869</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1.6441740335222086</v>
      </c>
      <c r="AH982" s="357">
        <f t="shared" ca="1" si="463"/>
        <v>-8.1069239394125354</v>
      </c>
    </row>
    <row r="983" spans="1:34" x14ac:dyDescent="0.25">
      <c r="A983" s="402">
        <f t="shared" ca="1" si="441"/>
        <v>1E-4</v>
      </c>
      <c r="B983" s="357">
        <f t="shared" ca="1" si="442"/>
        <v>49.203700000000488</v>
      </c>
      <c r="C983" s="342"/>
      <c r="D983" s="359">
        <f t="shared" ca="1" si="443"/>
        <v>-0.88704956791752743</v>
      </c>
      <c r="E983" s="360">
        <f t="shared" ca="1" si="444"/>
        <v>-1.75172254896769</v>
      </c>
      <c r="F983" s="357">
        <f t="shared" ca="1" si="445"/>
        <v>1.963514406492739</v>
      </c>
      <c r="G983" s="359">
        <f t="shared" ca="1" si="446"/>
        <v>18.447567316484282</v>
      </c>
      <c r="H983" s="360">
        <f t="shared" ca="1" si="447"/>
        <v>-167.58532026281685</v>
      </c>
      <c r="I983" s="357">
        <f t="shared" ca="1" si="448"/>
        <v>168.59760469083514</v>
      </c>
      <c r="J983" s="359">
        <f t="shared" ca="1" si="449"/>
        <v>1783.0236932133373</v>
      </c>
      <c r="K983" s="360">
        <f t="shared" ca="1" si="450"/>
        <v>-16.360125338442579</v>
      </c>
      <c r="L983" s="357">
        <f t="shared" ca="1" si="435"/>
        <v>1783.0987477594219</v>
      </c>
      <c r="M983" s="359">
        <f t="shared" ca="1" si="451"/>
        <v>-1.461159082116795</v>
      </c>
      <c r="N983" s="357">
        <f t="shared" ca="1" si="452"/>
        <v>-83.718248602501632</v>
      </c>
      <c r="O983" s="343"/>
      <c r="P983" s="363">
        <f t="shared" ca="1" si="453"/>
        <v>23</v>
      </c>
      <c r="Q983" s="357">
        <f t="shared" ca="1" si="454"/>
        <v>0</v>
      </c>
      <c r="R983" s="359">
        <f t="shared" ca="1" si="455"/>
        <v>0</v>
      </c>
      <c r="S983" s="360">
        <f t="shared" ca="1" si="456"/>
        <v>9.7379999999999765</v>
      </c>
      <c r="T983" s="357">
        <f t="shared" ca="1" si="436"/>
        <v>95.529779999999775</v>
      </c>
      <c r="U983" s="364">
        <f t="shared" ca="1" si="437"/>
        <v>0</v>
      </c>
      <c r="V983" s="359">
        <f t="shared" ca="1" si="438"/>
        <v>1.2270057560749987</v>
      </c>
      <c r="W983" s="357">
        <f t="shared" ca="1" si="439"/>
        <v>78.945797874312007</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1.644145318991928</v>
      </c>
      <c r="AH983" s="357">
        <f t="shared" ca="1" si="463"/>
        <v>-8.1069533373369342</v>
      </c>
    </row>
    <row r="984" spans="1:34" x14ac:dyDescent="0.25">
      <c r="A984" s="402">
        <f t="shared" ca="1" si="441"/>
        <v>1E-4</v>
      </c>
      <c r="B984" s="357">
        <f t="shared" ca="1" si="442"/>
        <v>49.203800000000491</v>
      </c>
      <c r="C984" s="342"/>
      <c r="D984" s="359">
        <f t="shared" ca="1" si="443"/>
        <v>-0.88704765416687648</v>
      </c>
      <c r="E984" s="360">
        <f t="shared" ca="1" si="444"/>
        <v>-1.7516927629747219</v>
      </c>
      <c r="F984" s="357">
        <f t="shared" ca="1" si="445"/>
        <v>1.9634869687932675</v>
      </c>
      <c r="G984" s="359">
        <f t="shared" ca="1" si="446"/>
        <v>18.447478611718864</v>
      </c>
      <c r="H984" s="360">
        <f t="shared" ca="1" si="447"/>
        <v>-167.58549543209315</v>
      </c>
      <c r="I984" s="357">
        <f t="shared" ca="1" si="448"/>
        <v>168.59776910252975</v>
      </c>
      <c r="J984" s="359">
        <f t="shared" ca="1" si="449"/>
        <v>1783.0236932133373</v>
      </c>
      <c r="K984" s="360">
        <f t="shared" ca="1" si="450"/>
        <v>-16.376883879227325</v>
      </c>
      <c r="L984" s="357">
        <f t="shared" ca="1" si="435"/>
        <v>1783.0989015996065</v>
      </c>
      <c r="M984" s="359">
        <f t="shared" ca="1" si="451"/>
        <v>-1.4611597187728698</v>
      </c>
      <c r="N984" s="357">
        <f t="shared" ca="1" si="452"/>
        <v>-83.718285080207721</v>
      </c>
      <c r="O984" s="343"/>
      <c r="P984" s="363">
        <f t="shared" ca="1" si="453"/>
        <v>23</v>
      </c>
      <c r="Q984" s="357">
        <f t="shared" ca="1" si="454"/>
        <v>0</v>
      </c>
      <c r="R984" s="359">
        <f t="shared" ca="1" si="455"/>
        <v>0</v>
      </c>
      <c r="S984" s="360">
        <f t="shared" ca="1" si="456"/>
        <v>9.7379999999999765</v>
      </c>
      <c r="T984" s="357">
        <f t="shared" ca="1" si="436"/>
        <v>95.529779999999775</v>
      </c>
      <c r="U984" s="364">
        <f t="shared" ca="1" si="437"/>
        <v>0</v>
      </c>
      <c r="V984" s="359">
        <f t="shared" ca="1" si="438"/>
        <v>1.2270078123606996</v>
      </c>
      <c r="W984" s="357">
        <f t="shared" ca="1" si="439"/>
        <v>78.946084147974418</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1.6441166046238145</v>
      </c>
      <c r="AH984" s="357">
        <f t="shared" ca="1" si="463"/>
        <v>-8.1069827350905932</v>
      </c>
    </row>
    <row r="985" spans="1:34" x14ac:dyDescent="0.25">
      <c r="A985" s="402">
        <f t="shared" ca="1" si="441"/>
        <v>1E-4</v>
      </c>
      <c r="B985" s="357">
        <f t="shared" ca="1" si="442"/>
        <v>49.203900000000495</v>
      </c>
      <c r="C985" s="342"/>
      <c r="D985" s="359">
        <f t="shared" ca="1" si="443"/>
        <v>-0.88704574039465045</v>
      </c>
      <c r="E985" s="360">
        <f t="shared" ca="1" si="444"/>
        <v>-1.7516629771544583</v>
      </c>
      <c r="F985" s="357">
        <f t="shared" ca="1" si="445"/>
        <v>1.9634595313084287</v>
      </c>
      <c r="G985" s="359">
        <f t="shared" ca="1" si="446"/>
        <v>18.447389907144824</v>
      </c>
      <c r="H985" s="360">
        <f t="shared" ca="1" si="447"/>
        <v>-167.58567059839086</v>
      </c>
      <c r="I985" s="357">
        <f t="shared" ca="1" si="448"/>
        <v>168.59793351135298</v>
      </c>
      <c r="J985" s="359">
        <f t="shared" ca="1" si="449"/>
        <v>1783.0236932133373</v>
      </c>
      <c r="K985" s="360">
        <f t="shared" ca="1" si="450"/>
        <v>-16.39364243752885</v>
      </c>
      <c r="L985" s="357">
        <f t="shared" ca="1" si="435"/>
        <v>1783.0990555974447</v>
      </c>
      <c r="M985" s="359">
        <f t="shared" ca="1" si="451"/>
        <v>-1.4611603554246413</v>
      </c>
      <c r="N985" s="357">
        <f t="shared" ca="1" si="452"/>
        <v>-83.718321557667252</v>
      </c>
      <c r="O985" s="343"/>
      <c r="P985" s="363">
        <f t="shared" ca="1" si="453"/>
        <v>23</v>
      </c>
      <c r="Q985" s="357">
        <f t="shared" ca="1" si="454"/>
        <v>0</v>
      </c>
      <c r="R985" s="359">
        <f t="shared" ca="1" si="455"/>
        <v>0</v>
      </c>
      <c r="S985" s="360">
        <f t="shared" ca="1" si="456"/>
        <v>9.7379999999999765</v>
      </c>
      <c r="T985" s="357">
        <f t="shared" ca="1" si="436"/>
        <v>95.529779999999775</v>
      </c>
      <c r="U985" s="364">
        <f t="shared" ca="1" si="437"/>
        <v>0</v>
      </c>
      <c r="V985" s="359">
        <f t="shared" ca="1" si="438"/>
        <v>1.2270098686519986</v>
      </c>
      <c r="W985" s="357">
        <f t="shared" ca="1" si="439"/>
        <v>78.946370419974144</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1.6440878904178771</v>
      </c>
      <c r="AH985" s="357">
        <f t="shared" ca="1" si="463"/>
        <v>-8.107012132673507</v>
      </c>
    </row>
    <row r="986" spans="1:34" x14ac:dyDescent="0.25">
      <c r="A986" s="402">
        <f t="shared" ca="1" si="441"/>
        <v>1E-4</v>
      </c>
      <c r="B986" s="357">
        <f t="shared" ca="1" si="442"/>
        <v>49.204000000000498</v>
      </c>
      <c r="C986" s="342"/>
      <c r="D986" s="359">
        <f t="shared" ca="1" si="443"/>
        <v>-0.88704382660085235</v>
      </c>
      <c r="E986" s="360">
        <f t="shared" ca="1" si="444"/>
        <v>-1.751633191506901</v>
      </c>
      <c r="F986" s="357">
        <f t="shared" ca="1" si="445"/>
        <v>1.9634320940382264</v>
      </c>
      <c r="G986" s="359">
        <f t="shared" ca="1" si="446"/>
        <v>18.447301202762166</v>
      </c>
      <c r="H986" s="360">
        <f t="shared" ca="1" si="447"/>
        <v>-167.58584576171</v>
      </c>
      <c r="I986" s="357">
        <f t="shared" ca="1" si="448"/>
        <v>168.59809791730478</v>
      </c>
      <c r="J986" s="359">
        <f t="shared" ca="1" si="449"/>
        <v>1783.0236932133373</v>
      </c>
      <c r="K986" s="360">
        <f t="shared" ca="1" si="450"/>
        <v>-16.410401013346856</v>
      </c>
      <c r="L986" s="357">
        <f t="shared" ca="1" si="435"/>
        <v>1783.099209752937</v>
      </c>
      <c r="M986" s="359">
        <f t="shared" ca="1" si="451"/>
        <v>-1.46116099207211</v>
      </c>
      <c r="N986" s="357">
        <f t="shared" ca="1" si="452"/>
        <v>-83.718358034880239</v>
      </c>
      <c r="O986" s="343"/>
      <c r="P986" s="363">
        <f t="shared" ca="1" si="453"/>
        <v>23</v>
      </c>
      <c r="Q986" s="357">
        <f t="shared" ca="1" si="454"/>
        <v>0</v>
      </c>
      <c r="R986" s="359">
        <f t="shared" ca="1" si="455"/>
        <v>0</v>
      </c>
      <c r="S986" s="360">
        <f t="shared" ca="1" si="456"/>
        <v>9.7379999999999765</v>
      </c>
      <c r="T986" s="357">
        <f t="shared" ca="1" si="436"/>
        <v>95.529779999999775</v>
      </c>
      <c r="U986" s="364">
        <f t="shared" ca="1" si="437"/>
        <v>0</v>
      </c>
      <c r="V986" s="359">
        <f t="shared" ca="1" si="438"/>
        <v>1.2270119249488958</v>
      </c>
      <c r="W986" s="357">
        <f t="shared" ca="1" si="439"/>
        <v>78.946656690311187</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1.6440591763741104</v>
      </c>
      <c r="AH986" s="357">
        <f t="shared" ca="1" si="463"/>
        <v>-8.1070415300856791</v>
      </c>
    </row>
    <row r="987" spans="1:34" x14ac:dyDescent="0.25">
      <c r="A987" s="402">
        <f t="shared" ca="1" si="441"/>
        <v>1E-4</v>
      </c>
      <c r="B987" s="357">
        <f t="shared" ca="1" si="442"/>
        <v>49.204100000000501</v>
      </c>
      <c r="C987" s="342"/>
      <c r="D987" s="359">
        <f t="shared" ca="1" si="443"/>
        <v>-0.88704191278547917</v>
      </c>
      <c r="E987" s="360">
        <f t="shared" ca="1" si="444"/>
        <v>-1.7516034060320482</v>
      </c>
      <c r="F987" s="357">
        <f t="shared" ca="1" si="445"/>
        <v>1.9634046569826593</v>
      </c>
      <c r="G987" s="359">
        <f t="shared" ca="1" si="446"/>
        <v>18.447212498570888</v>
      </c>
      <c r="H987" s="360">
        <f t="shared" ca="1" si="447"/>
        <v>-167.58602092205061</v>
      </c>
      <c r="I987" s="357">
        <f t="shared" ca="1" si="448"/>
        <v>168.59826232038517</v>
      </c>
      <c r="J987" s="359">
        <f t="shared" ca="1" si="449"/>
        <v>1783.0236932133373</v>
      </c>
      <c r="K987" s="360">
        <f t="shared" ca="1" si="450"/>
        <v>-16.427159606681045</v>
      </c>
      <c r="L987" s="357">
        <f t="shared" ca="1" si="435"/>
        <v>1783.0993640660838</v>
      </c>
      <c r="M987" s="359">
        <f t="shared" ca="1" si="451"/>
        <v>-1.4611616287152758</v>
      </c>
      <c r="N987" s="357">
        <f t="shared" ca="1" si="452"/>
        <v>-83.718394511846697</v>
      </c>
      <c r="O987" s="343"/>
      <c r="P987" s="363">
        <f t="shared" ca="1" si="453"/>
        <v>23</v>
      </c>
      <c r="Q987" s="357">
        <f t="shared" ca="1" si="454"/>
        <v>0</v>
      </c>
      <c r="R987" s="359">
        <f t="shared" ca="1" si="455"/>
        <v>0</v>
      </c>
      <c r="S987" s="360">
        <f t="shared" ca="1" si="456"/>
        <v>9.7379999999999765</v>
      </c>
      <c r="T987" s="357">
        <f t="shared" ca="1" si="436"/>
        <v>95.529779999999775</v>
      </c>
      <c r="U987" s="364">
        <f t="shared" ca="1" si="437"/>
        <v>0</v>
      </c>
      <c r="V987" s="359">
        <f t="shared" ca="1" si="438"/>
        <v>1.2270139812513918</v>
      </c>
      <c r="W987" s="357">
        <f t="shared" ca="1" si="439"/>
        <v>78.946942958985531</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1.6440304624925144</v>
      </c>
      <c r="AH987" s="357">
        <f t="shared" ca="1" si="463"/>
        <v>-8.1070709273271078</v>
      </c>
    </row>
    <row r="988" spans="1:34" x14ac:dyDescent="0.25">
      <c r="A988" s="402">
        <f t="shared" ca="1" si="441"/>
        <v>1E-4</v>
      </c>
      <c r="B988" s="357">
        <f t="shared" ca="1" si="442"/>
        <v>49.204200000000505</v>
      </c>
      <c r="C988" s="342"/>
      <c r="D988" s="359">
        <f t="shared" ca="1" si="443"/>
        <v>-0.88703999894853347</v>
      </c>
      <c r="E988" s="360">
        <f t="shared" ca="1" si="444"/>
        <v>-1.7515736207299</v>
      </c>
      <c r="F988" s="357">
        <f t="shared" ca="1" si="445"/>
        <v>1.9633772201417294</v>
      </c>
      <c r="G988" s="359">
        <f t="shared" ca="1" si="446"/>
        <v>18.447123794570992</v>
      </c>
      <c r="H988" s="360">
        <f t="shared" ca="1" si="447"/>
        <v>-167.58619607941267</v>
      </c>
      <c r="I988" s="357">
        <f t="shared" ca="1" si="448"/>
        <v>168.59842672059423</v>
      </c>
      <c r="J988" s="359">
        <f t="shared" ca="1" si="449"/>
        <v>1783.0236932133373</v>
      </c>
      <c r="K988" s="360">
        <f t="shared" ca="1" si="450"/>
        <v>-16.443918217531117</v>
      </c>
      <c r="L988" s="357">
        <f t="shared" ca="1" si="435"/>
        <v>1783.0995185368859</v>
      </c>
      <c r="M988" s="359">
        <f t="shared" ca="1" si="451"/>
        <v>-1.4611622653541385</v>
      </c>
      <c r="N988" s="357">
        <f t="shared" ca="1" si="452"/>
        <v>-83.71843098856661</v>
      </c>
      <c r="O988" s="343"/>
      <c r="P988" s="363">
        <f t="shared" ca="1" si="453"/>
        <v>23</v>
      </c>
      <c r="Q988" s="357">
        <f t="shared" ca="1" si="454"/>
        <v>0</v>
      </c>
      <c r="R988" s="359">
        <f t="shared" ca="1" si="455"/>
        <v>0</v>
      </c>
      <c r="S988" s="360">
        <f t="shared" ca="1" si="456"/>
        <v>9.7379999999999765</v>
      </c>
      <c r="T988" s="357">
        <f t="shared" ca="1" si="436"/>
        <v>95.529779999999775</v>
      </c>
      <c r="U988" s="364">
        <f t="shared" ca="1" si="437"/>
        <v>0</v>
      </c>
      <c r="V988" s="359">
        <f t="shared" ca="1" si="438"/>
        <v>1.2270160375594852</v>
      </c>
      <c r="W988" s="357">
        <f t="shared" ca="1" si="439"/>
        <v>78.947229225997162</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1.6440017487730909</v>
      </c>
      <c r="AH988" s="357">
        <f t="shared" ca="1" si="463"/>
        <v>-8.1071003243977948</v>
      </c>
    </row>
    <row r="989" spans="1:34" x14ac:dyDescent="0.25">
      <c r="A989" s="402">
        <f t="shared" ca="1" si="441"/>
        <v>1E-4</v>
      </c>
      <c r="B989" s="357">
        <f t="shared" ca="1" si="442"/>
        <v>49.204300000000508</v>
      </c>
      <c r="C989" s="342"/>
      <c r="D989" s="359">
        <f t="shared" ca="1" si="443"/>
        <v>-0.88703808509001569</v>
      </c>
      <c r="E989" s="360">
        <f t="shared" ca="1" si="444"/>
        <v>-1.7515438356004598</v>
      </c>
      <c r="F989" s="357">
        <f t="shared" ca="1" si="445"/>
        <v>1.9633497835154419</v>
      </c>
      <c r="G989" s="359">
        <f t="shared" ca="1" si="446"/>
        <v>18.447035090762483</v>
      </c>
      <c r="H989" s="360">
        <f t="shared" ca="1" si="447"/>
        <v>-167.58637123379623</v>
      </c>
      <c r="I989" s="357">
        <f t="shared" ca="1" si="448"/>
        <v>168.5985911179319</v>
      </c>
      <c r="J989" s="359">
        <f t="shared" ca="1" si="449"/>
        <v>1783.0236932133373</v>
      </c>
      <c r="K989" s="360">
        <f t="shared" ca="1" si="450"/>
        <v>-16.460676845896778</v>
      </c>
      <c r="L989" s="357">
        <f t="shared" ca="1" si="435"/>
        <v>1783.0996731653433</v>
      </c>
      <c r="M989" s="359">
        <f t="shared" ca="1" si="451"/>
        <v>-1.4611629019886985</v>
      </c>
      <c r="N989" s="357">
        <f t="shared" ca="1" si="452"/>
        <v>-83.718467465039978</v>
      </c>
      <c r="O989" s="343"/>
      <c r="P989" s="363">
        <f t="shared" ca="1" si="453"/>
        <v>23</v>
      </c>
      <c r="Q989" s="357">
        <f t="shared" ca="1" si="454"/>
        <v>0</v>
      </c>
      <c r="R989" s="359">
        <f t="shared" ca="1" si="455"/>
        <v>0</v>
      </c>
      <c r="S989" s="360">
        <f t="shared" ca="1" si="456"/>
        <v>9.7379999999999765</v>
      </c>
      <c r="T989" s="357">
        <f t="shared" ca="1" si="436"/>
        <v>95.529779999999775</v>
      </c>
      <c r="U989" s="364">
        <f t="shared" ca="1" si="437"/>
        <v>0</v>
      </c>
      <c r="V989" s="359">
        <f t="shared" ca="1" si="438"/>
        <v>1.2270180938731772</v>
      </c>
      <c r="W989" s="357">
        <f t="shared" ca="1" si="439"/>
        <v>78.947515491346095</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1.6439730352158382</v>
      </c>
      <c r="AH989" s="357">
        <f t="shared" ca="1" si="463"/>
        <v>-8.1071297212977367</v>
      </c>
    </row>
    <row r="990" spans="1:34" x14ac:dyDescent="0.25">
      <c r="A990" s="402">
        <f t="shared" ca="1" si="441"/>
        <v>1E-4</v>
      </c>
      <c r="B990" s="357">
        <f t="shared" ca="1" si="442"/>
        <v>49.204400000000511</v>
      </c>
      <c r="C990" s="342"/>
      <c r="D990" s="359">
        <f t="shared" ca="1" si="443"/>
        <v>-0.88703617120992473</v>
      </c>
      <c r="E990" s="360">
        <f t="shared" ca="1" si="444"/>
        <v>-1.7515140506437259</v>
      </c>
      <c r="F990" s="357">
        <f t="shared" ca="1" si="445"/>
        <v>1.9633223471037951</v>
      </c>
      <c r="G990" s="359">
        <f t="shared" ca="1" si="446"/>
        <v>18.446946387145363</v>
      </c>
      <c r="H990" s="360">
        <f t="shared" ca="1" si="447"/>
        <v>-167.5865463852013</v>
      </c>
      <c r="I990" s="357">
        <f t="shared" ca="1" si="448"/>
        <v>168.59875551239824</v>
      </c>
      <c r="J990" s="359">
        <f t="shared" ca="1" si="449"/>
        <v>1783.0236932133373</v>
      </c>
      <c r="K990" s="360">
        <f t="shared" ca="1" si="450"/>
        <v>-16.477435491777726</v>
      </c>
      <c r="L990" s="357">
        <f t="shared" ca="1" si="435"/>
        <v>1783.0998279514567</v>
      </c>
      <c r="M990" s="359">
        <f t="shared" ca="1" si="451"/>
        <v>-1.4611635386189556</v>
      </c>
      <c r="N990" s="357">
        <f t="shared" ca="1" si="452"/>
        <v>-83.718503941266832</v>
      </c>
      <c r="O990" s="343"/>
      <c r="P990" s="363">
        <f t="shared" ca="1" si="453"/>
        <v>23</v>
      </c>
      <c r="Q990" s="357">
        <f t="shared" ca="1" si="454"/>
        <v>0</v>
      </c>
      <c r="R990" s="359">
        <f t="shared" ca="1" si="455"/>
        <v>0</v>
      </c>
      <c r="S990" s="360">
        <f t="shared" ca="1" si="456"/>
        <v>9.7379999999999765</v>
      </c>
      <c r="T990" s="357">
        <f t="shared" ca="1" si="436"/>
        <v>95.529779999999775</v>
      </c>
      <c r="U990" s="364">
        <f t="shared" ca="1" si="437"/>
        <v>0</v>
      </c>
      <c r="V990" s="359">
        <f t="shared" ca="1" si="438"/>
        <v>1.2270201501924669</v>
      </c>
      <c r="W990" s="357">
        <f t="shared" ca="1" si="439"/>
        <v>78.947801755032273</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1.6439443218207614</v>
      </c>
      <c r="AH990" s="357">
        <f t="shared" ca="1" si="463"/>
        <v>-8.1071591180269351</v>
      </c>
    </row>
    <row r="991" spans="1:34" x14ac:dyDescent="0.25">
      <c r="A991" s="402">
        <f t="shared" ca="1" si="441"/>
        <v>1E-4</v>
      </c>
      <c r="B991" s="357">
        <f t="shared" ca="1" si="442"/>
        <v>49.204500000000515</v>
      </c>
      <c r="C991" s="342"/>
      <c r="D991" s="359">
        <f t="shared" ca="1" si="443"/>
        <v>-0.8870342573082608</v>
      </c>
      <c r="E991" s="360">
        <f t="shared" ca="1" si="444"/>
        <v>-1.7514842658597036</v>
      </c>
      <c r="F991" s="357">
        <f t="shared" ca="1" si="445"/>
        <v>1.9632949109067956</v>
      </c>
      <c r="G991" s="359">
        <f t="shared" ca="1" si="446"/>
        <v>18.446857683719632</v>
      </c>
      <c r="H991" s="360">
        <f t="shared" ca="1" si="447"/>
        <v>-167.58672153362789</v>
      </c>
      <c r="I991" s="357">
        <f t="shared" ca="1" si="448"/>
        <v>168.59891990399328</v>
      </c>
      <c r="J991" s="359">
        <f t="shared" ca="1" si="449"/>
        <v>1783.0236932133373</v>
      </c>
      <c r="K991" s="360">
        <f t="shared" ca="1" si="450"/>
        <v>-16.494194155173666</v>
      </c>
      <c r="L991" s="357">
        <f t="shared" ca="1" si="435"/>
        <v>1783.0999828952267</v>
      </c>
      <c r="M991" s="359">
        <f t="shared" ca="1" si="451"/>
        <v>-1.46116417524491</v>
      </c>
      <c r="N991" s="357">
        <f t="shared" ca="1" si="452"/>
        <v>-83.718540417247141</v>
      </c>
      <c r="O991" s="343"/>
      <c r="P991" s="363">
        <f t="shared" ca="1" si="453"/>
        <v>23</v>
      </c>
      <c r="Q991" s="357">
        <f t="shared" ca="1" si="454"/>
        <v>0</v>
      </c>
      <c r="R991" s="359">
        <f t="shared" ca="1" si="455"/>
        <v>0</v>
      </c>
      <c r="S991" s="360">
        <f t="shared" ca="1" si="456"/>
        <v>9.7379999999999765</v>
      </c>
      <c r="T991" s="357">
        <f t="shared" ca="1" si="436"/>
        <v>95.529779999999775</v>
      </c>
      <c r="U991" s="364">
        <f t="shared" ca="1" si="437"/>
        <v>0</v>
      </c>
      <c r="V991" s="359">
        <f t="shared" ca="1" si="438"/>
        <v>1.2270222065173546</v>
      </c>
      <c r="W991" s="357">
        <f t="shared" ca="1" si="439"/>
        <v>78.948088017055767</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1.6439156085878626</v>
      </c>
      <c r="AH991" s="357">
        <f t="shared" ca="1" si="463"/>
        <v>-8.107188514585383</v>
      </c>
    </row>
    <row r="992" spans="1:34" x14ac:dyDescent="0.25">
      <c r="A992" s="402">
        <f t="shared" ca="1" si="441"/>
        <v>1E-4</v>
      </c>
      <c r="B992" s="357">
        <f t="shared" ca="1" si="442"/>
        <v>49.204600000000518</v>
      </c>
      <c r="C992" s="342"/>
      <c r="D992" s="359">
        <f t="shared" ca="1" si="443"/>
        <v>-0.88703234338502546</v>
      </c>
      <c r="E992" s="360">
        <f t="shared" ca="1" si="444"/>
        <v>-1.7514544812483841</v>
      </c>
      <c r="F992" s="357">
        <f t="shared" ca="1" si="445"/>
        <v>1.9632674749244372</v>
      </c>
      <c r="G992" s="359">
        <f t="shared" ca="1" si="446"/>
        <v>18.446768980485292</v>
      </c>
      <c r="H992" s="360">
        <f t="shared" ca="1" si="447"/>
        <v>-167.58689667907601</v>
      </c>
      <c r="I992" s="357">
        <f t="shared" ca="1" si="448"/>
        <v>168.59908429271701</v>
      </c>
      <c r="J992" s="359">
        <f t="shared" ca="1" si="449"/>
        <v>1783.0236932133373</v>
      </c>
      <c r="K992" s="360">
        <f t="shared" ca="1" si="450"/>
        <v>-16.5109528360843</v>
      </c>
      <c r="L992" s="357">
        <f t="shared" ca="1" si="435"/>
        <v>1783.1001379966535</v>
      </c>
      <c r="M992" s="359">
        <f t="shared" ca="1" si="451"/>
        <v>-1.4611648118665617</v>
      </c>
      <c r="N992" s="357">
        <f t="shared" ca="1" si="452"/>
        <v>-83.718576892980934</v>
      </c>
      <c r="O992" s="343"/>
      <c r="P992" s="363">
        <f t="shared" ca="1" si="453"/>
        <v>23</v>
      </c>
      <c r="Q992" s="357">
        <f t="shared" ca="1" si="454"/>
        <v>0</v>
      </c>
      <c r="R992" s="359">
        <f t="shared" ca="1" si="455"/>
        <v>0</v>
      </c>
      <c r="S992" s="360">
        <f t="shared" ca="1" si="456"/>
        <v>9.7379999999999765</v>
      </c>
      <c r="T992" s="357">
        <f t="shared" ca="1" si="436"/>
        <v>95.529779999999775</v>
      </c>
      <c r="U992" s="364">
        <f t="shared" ca="1" si="437"/>
        <v>0</v>
      </c>
      <c r="V992" s="359">
        <f t="shared" ca="1" si="438"/>
        <v>1.2270242628478409</v>
      </c>
      <c r="W992" s="357">
        <f t="shared" ca="1" si="439"/>
        <v>78.948374277416562</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1.6438868955171362</v>
      </c>
      <c r="AH992" s="357">
        <f t="shared" ca="1" si="463"/>
        <v>-8.1072179109730911</v>
      </c>
    </row>
    <row r="993" spans="1:34" x14ac:dyDescent="0.25">
      <c r="A993" s="402">
        <f t="shared" ca="1" si="441"/>
        <v>1E-4</v>
      </c>
      <c r="B993" s="357">
        <f t="shared" ca="1" si="442"/>
        <v>49.204700000000521</v>
      </c>
      <c r="C993" s="342"/>
      <c r="D993" s="359">
        <f t="shared" ca="1" si="443"/>
        <v>-0.88703042944021915</v>
      </c>
      <c r="E993" s="360">
        <f t="shared" ca="1" si="444"/>
        <v>-1.7514246968097726</v>
      </c>
      <c r="F993" s="357">
        <f t="shared" ca="1" si="445"/>
        <v>1.9632400391567262</v>
      </c>
      <c r="G993" s="359">
        <f t="shared" ca="1" si="446"/>
        <v>18.446680277442347</v>
      </c>
      <c r="H993" s="360">
        <f t="shared" ca="1" si="447"/>
        <v>-167.58707182154569</v>
      </c>
      <c r="I993" s="357">
        <f t="shared" ca="1" si="448"/>
        <v>168.59924867856944</v>
      </c>
      <c r="J993" s="359">
        <f t="shared" ca="1" si="449"/>
        <v>1783.0236932133373</v>
      </c>
      <c r="K993" s="360">
        <f t="shared" ca="1" si="450"/>
        <v>-16.527711534509333</v>
      </c>
      <c r="L993" s="357">
        <f t="shared" ca="1" si="435"/>
        <v>1783.1002932557376</v>
      </c>
      <c r="M993" s="359">
        <f t="shared" ca="1" si="451"/>
        <v>-1.4611654484839107</v>
      </c>
      <c r="N993" s="357">
        <f t="shared" ca="1" si="452"/>
        <v>-83.718613368468198</v>
      </c>
      <c r="O993" s="343"/>
      <c r="P993" s="363">
        <f t="shared" ca="1" si="453"/>
        <v>23</v>
      </c>
      <c r="Q993" s="357">
        <f t="shared" ca="1" si="454"/>
        <v>0</v>
      </c>
      <c r="R993" s="359">
        <f t="shared" ca="1" si="455"/>
        <v>0</v>
      </c>
      <c r="S993" s="360">
        <f t="shared" ca="1" si="456"/>
        <v>9.7379999999999765</v>
      </c>
      <c r="T993" s="357">
        <f t="shared" ca="1" si="436"/>
        <v>95.529779999999775</v>
      </c>
      <c r="U993" s="364">
        <f t="shared" ca="1" si="437"/>
        <v>0</v>
      </c>
      <c r="V993" s="359">
        <f t="shared" ca="1" si="438"/>
        <v>1.2270263191839248</v>
      </c>
      <c r="W993" s="357">
        <f t="shared" ca="1" si="439"/>
        <v>78.948660536114602</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1.6438581826085823</v>
      </c>
      <c r="AH993" s="357">
        <f t="shared" ca="1" si="463"/>
        <v>-8.1072473071900539</v>
      </c>
    </row>
    <row r="994" spans="1:34" x14ac:dyDescent="0.25">
      <c r="A994" s="402">
        <f t="shared" ca="1" si="441"/>
        <v>1E-4</v>
      </c>
      <c r="B994" s="357">
        <f t="shared" ca="1" si="442"/>
        <v>49.204800000000525</v>
      </c>
      <c r="C994" s="342"/>
      <c r="D994" s="359">
        <f t="shared" ca="1" si="443"/>
        <v>-0.88702851547384054</v>
      </c>
      <c r="E994" s="360">
        <f t="shared" ca="1" si="444"/>
        <v>-1.7513949125438693</v>
      </c>
      <c r="F994" s="357">
        <f t="shared" ca="1" si="445"/>
        <v>1.963212603603663</v>
      </c>
      <c r="G994" s="359">
        <f t="shared" ca="1" si="446"/>
        <v>18.446591574590801</v>
      </c>
      <c r="H994" s="360">
        <f t="shared" ca="1" si="447"/>
        <v>-167.58724696103695</v>
      </c>
      <c r="I994" s="357">
        <f t="shared" ca="1" si="448"/>
        <v>168.59941306155059</v>
      </c>
      <c r="J994" s="359">
        <f t="shared" ca="1" si="449"/>
        <v>1783.0236932133373</v>
      </c>
      <c r="K994" s="360">
        <f t="shared" ca="1" si="450"/>
        <v>-16.544470250448462</v>
      </c>
      <c r="L994" s="357">
        <f t="shared" ca="1" si="435"/>
        <v>1783.1004486724794</v>
      </c>
      <c r="M994" s="359">
        <f t="shared" ca="1" si="451"/>
        <v>-1.461166085096957</v>
      </c>
      <c r="N994" s="357">
        <f t="shared" ca="1" si="452"/>
        <v>-83.718649843708931</v>
      </c>
      <c r="O994" s="343"/>
      <c r="P994" s="363">
        <f t="shared" ca="1" si="453"/>
        <v>23</v>
      </c>
      <c r="Q994" s="357">
        <f t="shared" ca="1" si="454"/>
        <v>0</v>
      </c>
      <c r="R994" s="359">
        <f t="shared" ca="1" si="455"/>
        <v>0</v>
      </c>
      <c r="S994" s="360">
        <f t="shared" ca="1" si="456"/>
        <v>9.7379999999999765</v>
      </c>
      <c r="T994" s="357">
        <f t="shared" ca="1" si="436"/>
        <v>95.529779999999775</v>
      </c>
      <c r="U994" s="364">
        <f t="shared" ca="1" si="437"/>
        <v>0</v>
      </c>
      <c r="V994" s="359">
        <f t="shared" ca="1" si="438"/>
        <v>1.2270283755256073</v>
      </c>
      <c r="W994" s="357">
        <f t="shared" ca="1" si="439"/>
        <v>78.948946793149943</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1.6438294698622045</v>
      </c>
      <c r="AH994" s="357">
        <f t="shared" ca="1" si="463"/>
        <v>-8.1072767032362698</v>
      </c>
    </row>
    <row r="995" spans="1:34" x14ac:dyDescent="0.25">
      <c r="A995" s="402">
        <f t="shared" ca="1" si="441"/>
        <v>1E-4</v>
      </c>
      <c r="B995" s="357">
        <f t="shared" ca="1" si="442"/>
        <v>49.204900000000528</v>
      </c>
      <c r="C995" s="342"/>
      <c r="D995" s="359">
        <f t="shared" ca="1" si="443"/>
        <v>-0.88702660148589207</v>
      </c>
      <c r="E995" s="360">
        <f t="shared" ca="1" si="444"/>
        <v>-1.7513651284506757</v>
      </c>
      <c r="F995" s="357">
        <f t="shared" ca="1" si="445"/>
        <v>1.9631851682652512</v>
      </c>
      <c r="G995" s="359">
        <f t="shared" ca="1" si="446"/>
        <v>18.446502871930655</v>
      </c>
      <c r="H995" s="360">
        <f t="shared" ca="1" si="447"/>
        <v>-167.58742209754979</v>
      </c>
      <c r="I995" s="357">
        <f t="shared" ca="1" si="448"/>
        <v>168.59957744166047</v>
      </c>
      <c r="J995" s="359">
        <f t="shared" ca="1" si="449"/>
        <v>1783.0236932133373</v>
      </c>
      <c r="K995" s="360">
        <f t="shared" ca="1" si="450"/>
        <v>-16.56122898390139</v>
      </c>
      <c r="L995" s="357">
        <f t="shared" ca="1" si="435"/>
        <v>1783.1006042468794</v>
      </c>
      <c r="M995" s="359">
        <f t="shared" ca="1" si="451"/>
        <v>-1.4611667217057007</v>
      </c>
      <c r="N995" s="357">
        <f t="shared" ca="1" si="452"/>
        <v>-83.718686318703149</v>
      </c>
      <c r="O995" s="343"/>
      <c r="P995" s="363">
        <f t="shared" ca="1" si="453"/>
        <v>23</v>
      </c>
      <c r="Q995" s="357">
        <f t="shared" ca="1" si="454"/>
        <v>0</v>
      </c>
      <c r="R995" s="359">
        <f t="shared" ca="1" si="455"/>
        <v>0</v>
      </c>
      <c r="S995" s="360">
        <f t="shared" ca="1" si="456"/>
        <v>9.7379999999999765</v>
      </c>
      <c r="T995" s="357">
        <f t="shared" ca="1" si="436"/>
        <v>95.529779999999775</v>
      </c>
      <c r="U995" s="364">
        <f t="shared" ca="1" si="437"/>
        <v>0</v>
      </c>
      <c r="V995" s="359">
        <f t="shared" ca="1" si="438"/>
        <v>1.2270304318728871</v>
      </c>
      <c r="W995" s="357">
        <f t="shared" ca="1" si="439"/>
        <v>78.949233048522487</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1.6438007572780045</v>
      </c>
      <c r="AH995" s="357">
        <f t="shared" ca="1" si="463"/>
        <v>-8.1073060991117405</v>
      </c>
    </row>
    <row r="996" spans="1:34" x14ac:dyDescent="0.25">
      <c r="A996" s="402">
        <f t="shared" ca="1" si="441"/>
        <v>1E-4</v>
      </c>
      <c r="B996" s="357">
        <f t="shared" ca="1" si="442"/>
        <v>49.205000000000531</v>
      </c>
      <c r="C996" s="342"/>
      <c r="D996" s="359">
        <f t="shared" ca="1" si="443"/>
        <v>-0.8870246874763722</v>
      </c>
      <c r="E996" s="360">
        <f t="shared" ca="1" si="444"/>
        <v>-1.7513353445301956</v>
      </c>
      <c r="F996" s="357">
        <f t="shared" ca="1" si="445"/>
        <v>1.9631577331414953</v>
      </c>
      <c r="G996" s="359">
        <f t="shared" ca="1" si="446"/>
        <v>18.446414169461907</v>
      </c>
      <c r="H996" s="360">
        <f t="shared" ca="1" si="447"/>
        <v>-167.58759723108423</v>
      </c>
      <c r="I996" s="357">
        <f t="shared" ca="1" si="448"/>
        <v>168.5997418188991</v>
      </c>
      <c r="J996" s="359">
        <f t="shared" ca="1" si="449"/>
        <v>1783.0236932133373</v>
      </c>
      <c r="K996" s="360">
        <f t="shared" ca="1" si="450"/>
        <v>-16.577987734867822</v>
      </c>
      <c r="L996" s="357">
        <f t="shared" ca="1" si="435"/>
        <v>1783.1007599789382</v>
      </c>
      <c r="M996" s="359">
        <f t="shared" ca="1" si="451"/>
        <v>-1.4611673583101421</v>
      </c>
      <c r="N996" s="357">
        <f t="shared" ca="1" si="452"/>
        <v>-83.718722793450851</v>
      </c>
      <c r="O996" s="343"/>
      <c r="P996" s="363">
        <f t="shared" ca="1" si="453"/>
        <v>23</v>
      </c>
      <c r="Q996" s="357">
        <f t="shared" ca="1" si="454"/>
        <v>0</v>
      </c>
      <c r="R996" s="359">
        <f t="shared" ca="1" si="455"/>
        <v>0</v>
      </c>
      <c r="S996" s="360">
        <f t="shared" ca="1" si="456"/>
        <v>9.7379999999999765</v>
      </c>
      <c r="T996" s="357">
        <f t="shared" ca="1" si="436"/>
        <v>95.529779999999775</v>
      </c>
      <c r="U996" s="364">
        <f t="shared" ca="1" si="437"/>
        <v>0</v>
      </c>
      <c r="V996" s="359">
        <f t="shared" ca="1" si="438"/>
        <v>1.2270324882257655</v>
      </c>
      <c r="W996" s="357">
        <f t="shared" ca="1" si="439"/>
        <v>78.949519302232346</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1.6437720448559858</v>
      </c>
      <c r="AH996" s="357">
        <f t="shared" ca="1" si="463"/>
        <v>-8.1073354948164589</v>
      </c>
    </row>
    <row r="997" spans="1:34" x14ac:dyDescent="0.25">
      <c r="A997" s="402">
        <f t="shared" ca="1" si="441"/>
        <v>1E-4</v>
      </c>
      <c r="B997" s="357">
        <f t="shared" ca="1" si="442"/>
        <v>49.205100000000535</v>
      </c>
      <c r="C997" s="342"/>
      <c r="D997" s="359">
        <f t="shared" ca="1" si="443"/>
        <v>-0.8870227734452808</v>
      </c>
      <c r="E997" s="360">
        <f t="shared" ca="1" si="444"/>
        <v>-1.7513055607824182</v>
      </c>
      <c r="F997" s="357">
        <f t="shared" ca="1" si="445"/>
        <v>1.9631302982323864</v>
      </c>
      <c r="G997" s="359">
        <f t="shared" ca="1" si="446"/>
        <v>18.446325467184561</v>
      </c>
      <c r="H997" s="360">
        <f t="shared" ca="1" si="447"/>
        <v>-167.5877723616403</v>
      </c>
      <c r="I997" s="357">
        <f t="shared" ca="1" si="448"/>
        <v>168.59990619326652</v>
      </c>
      <c r="J997" s="359">
        <f t="shared" ca="1" si="449"/>
        <v>1783.0236932133373</v>
      </c>
      <c r="K997" s="360">
        <f t="shared" ca="1" si="450"/>
        <v>-16.594746503347459</v>
      </c>
      <c r="L997" s="357">
        <f t="shared" ca="1" si="435"/>
        <v>1783.1009158686559</v>
      </c>
      <c r="M997" s="359">
        <f t="shared" ca="1" si="451"/>
        <v>-1.4611679949102807</v>
      </c>
      <c r="N997" s="357">
        <f t="shared" ca="1" si="452"/>
        <v>-83.718759267952038</v>
      </c>
      <c r="O997" s="343"/>
      <c r="P997" s="363">
        <f t="shared" ca="1" si="453"/>
        <v>23</v>
      </c>
      <c r="Q997" s="357">
        <f t="shared" ca="1" si="454"/>
        <v>0</v>
      </c>
      <c r="R997" s="359">
        <f t="shared" ca="1" si="455"/>
        <v>0</v>
      </c>
      <c r="S997" s="360">
        <f t="shared" ca="1" si="456"/>
        <v>9.7379999999999765</v>
      </c>
      <c r="T997" s="357">
        <f t="shared" ca="1" si="436"/>
        <v>95.529779999999775</v>
      </c>
      <c r="U997" s="364">
        <f t="shared" ca="1" si="437"/>
        <v>0</v>
      </c>
      <c r="V997" s="359">
        <f t="shared" ca="1" si="438"/>
        <v>1.2270345445842412</v>
      </c>
      <c r="W997" s="357">
        <f t="shared" ca="1" si="439"/>
        <v>78.949805554279394</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1.6437433325961379</v>
      </c>
      <c r="AH997" s="357">
        <f t="shared" ca="1" si="463"/>
        <v>-8.1073648903504356</v>
      </c>
    </row>
    <row r="998" spans="1:34" x14ac:dyDescent="0.25">
      <c r="A998" s="402">
        <f t="shared" ca="1" si="441"/>
        <v>1E-4</v>
      </c>
      <c r="B998" s="357">
        <f t="shared" ca="1" si="442"/>
        <v>49.205200000000538</v>
      </c>
      <c r="C998" s="342"/>
      <c r="D998" s="359">
        <f t="shared" ca="1" si="443"/>
        <v>-0.88702085939262054</v>
      </c>
      <c r="E998" s="360">
        <f t="shared" ca="1" si="444"/>
        <v>-1.7512757772073613</v>
      </c>
      <c r="F998" s="357">
        <f t="shared" ca="1" si="445"/>
        <v>1.9631028635379428</v>
      </c>
      <c r="G998" s="359">
        <f t="shared" ca="1" si="446"/>
        <v>18.446236765098622</v>
      </c>
      <c r="H998" s="360">
        <f t="shared" ca="1" si="447"/>
        <v>-167.58794748921804</v>
      </c>
      <c r="I998" s="357">
        <f t="shared" ca="1" si="448"/>
        <v>168.60007056476275</v>
      </c>
      <c r="J998" s="359">
        <f t="shared" ca="1" si="449"/>
        <v>1783.0236932133373</v>
      </c>
      <c r="K998" s="360">
        <f t="shared" ca="1" si="450"/>
        <v>-16.611505289340002</v>
      </c>
      <c r="L998" s="357">
        <f t="shared" ca="1" si="435"/>
        <v>1783.1010719160333</v>
      </c>
      <c r="M998" s="359">
        <f t="shared" ca="1" si="451"/>
        <v>-1.461168631506117</v>
      </c>
      <c r="N998" s="357">
        <f t="shared" ca="1" si="452"/>
        <v>-83.718795742206709</v>
      </c>
      <c r="O998" s="343"/>
      <c r="P998" s="363">
        <f t="shared" ca="1" si="453"/>
        <v>23</v>
      </c>
      <c r="Q998" s="357">
        <f t="shared" ca="1" si="454"/>
        <v>0</v>
      </c>
      <c r="R998" s="359">
        <f t="shared" ca="1" si="455"/>
        <v>0</v>
      </c>
      <c r="S998" s="360">
        <f t="shared" ca="1" si="456"/>
        <v>9.7379999999999765</v>
      </c>
      <c r="T998" s="357">
        <f t="shared" ca="1" si="436"/>
        <v>95.529779999999775</v>
      </c>
      <c r="U998" s="364">
        <f t="shared" ca="1" si="437"/>
        <v>0</v>
      </c>
      <c r="V998" s="359">
        <f t="shared" ca="1" si="438"/>
        <v>1.2270366009483156</v>
      </c>
      <c r="W998" s="357">
        <f t="shared" ca="1" si="439"/>
        <v>78.950091804663771</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1.6437146204984767</v>
      </c>
      <c r="AH998" s="357">
        <f t="shared" ca="1" si="463"/>
        <v>-8.1073942857136565</v>
      </c>
    </row>
    <row r="999" spans="1:34" x14ac:dyDescent="0.25">
      <c r="A999" s="402">
        <f t="shared" ca="1" si="441"/>
        <v>1E-4</v>
      </c>
      <c r="B999" s="357">
        <f t="shared" ca="1" si="442"/>
        <v>49.205300000000541</v>
      </c>
      <c r="C999" s="342"/>
      <c r="D999" s="359">
        <f t="shared" ca="1" si="443"/>
        <v>-0.88701894531839054</v>
      </c>
      <c r="E999" s="360">
        <f t="shared" ca="1" si="444"/>
        <v>-1.7512459938050053</v>
      </c>
      <c r="F999" s="357">
        <f t="shared" ca="1" si="445"/>
        <v>1.9630754290581478</v>
      </c>
      <c r="G999" s="359">
        <f t="shared" ca="1" si="446"/>
        <v>18.446148063204088</v>
      </c>
      <c r="H999" s="360">
        <f t="shared" ca="1" si="447"/>
        <v>-167.58812261381743</v>
      </c>
      <c r="I999" s="357">
        <f t="shared" ca="1" si="448"/>
        <v>168.60023493338778</v>
      </c>
      <c r="J999" s="359">
        <f t="shared" ca="1" si="449"/>
        <v>1783.0236932133373</v>
      </c>
      <c r="K999" s="360">
        <f t="shared" ca="1" si="450"/>
        <v>-16.628264092845153</v>
      </c>
      <c r="L999" s="357">
        <f t="shared" ca="1" si="435"/>
        <v>1783.1012281210708</v>
      </c>
      <c r="M999" s="359">
        <f t="shared" ca="1" si="451"/>
        <v>-1.4611692680976509</v>
      </c>
      <c r="N999" s="357">
        <f t="shared" ca="1" si="452"/>
        <v>-83.718832216214878</v>
      </c>
      <c r="O999" s="343"/>
      <c r="P999" s="363">
        <f t="shared" ca="1" si="453"/>
        <v>23</v>
      </c>
      <c r="Q999" s="357">
        <f t="shared" ca="1" si="454"/>
        <v>0</v>
      </c>
      <c r="R999" s="359">
        <f t="shared" ca="1" si="455"/>
        <v>0</v>
      </c>
      <c r="S999" s="360">
        <f t="shared" ca="1" si="456"/>
        <v>9.7379999999999765</v>
      </c>
      <c r="T999" s="357">
        <f t="shared" ca="1" si="436"/>
        <v>95.529779999999775</v>
      </c>
      <c r="U999" s="364">
        <f t="shared" ca="1" si="437"/>
        <v>0</v>
      </c>
      <c r="V999" s="359">
        <f t="shared" ca="1" si="438"/>
        <v>1.2270386573179874</v>
      </c>
      <c r="W999" s="357">
        <f t="shared" ca="1" si="439"/>
        <v>78.950378053385364</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1.6436859085629862</v>
      </c>
      <c r="AH999" s="357">
        <f t="shared" ca="1" si="463"/>
        <v>-8.1074236809061375</v>
      </c>
    </row>
    <row r="1000" spans="1:34" x14ac:dyDescent="0.25">
      <c r="A1000" s="402">
        <f t="shared" ca="1" si="441"/>
        <v>1E-4</v>
      </c>
      <c r="B1000" s="357">
        <f t="shared" ca="1" si="442"/>
        <v>49.205400000000544</v>
      </c>
      <c r="C1000" s="342"/>
      <c r="D1000" s="359">
        <f t="shared" ca="1" si="443"/>
        <v>-0.88701703122259001</v>
      </c>
      <c r="E1000" s="360">
        <f t="shared" ca="1" si="444"/>
        <v>-1.7512162105753646</v>
      </c>
      <c r="F1000" s="357">
        <f t="shared" ca="1" si="445"/>
        <v>1.9630479947930151</v>
      </c>
      <c r="G1000" s="359">
        <f t="shared" ca="1" si="446"/>
        <v>18.446059361500964</v>
      </c>
      <c r="H1000" s="360">
        <f t="shared" ca="1" si="447"/>
        <v>-167.58829773543849</v>
      </c>
      <c r="I1000" s="357">
        <f t="shared" ca="1" si="448"/>
        <v>168.60039929914163</v>
      </c>
      <c r="J1000" s="359">
        <f t="shared" ca="1" si="449"/>
        <v>1783.0236932133373</v>
      </c>
      <c r="K1000" s="360">
        <f t="shared" ca="1" si="450"/>
        <v>-16.645022913862615</v>
      </c>
      <c r="L1000" s="357">
        <f t="shared" ca="1" si="435"/>
        <v>1783.1013844837685</v>
      </c>
      <c r="M1000" s="359">
        <f t="shared" ca="1" si="451"/>
        <v>-1.4611699046848825</v>
      </c>
      <c r="N1000" s="357">
        <f t="shared" ca="1" si="452"/>
        <v>-83.718868689976546</v>
      </c>
      <c r="O1000" s="343"/>
      <c r="P1000" s="363">
        <f t="shared" ca="1" si="453"/>
        <v>23</v>
      </c>
      <c r="Q1000" s="357">
        <f t="shared" ca="1" si="454"/>
        <v>0</v>
      </c>
      <c r="R1000" s="359">
        <f t="shared" ca="1" si="455"/>
        <v>0</v>
      </c>
      <c r="S1000" s="360">
        <f t="shared" ca="1" si="456"/>
        <v>9.7379999999999765</v>
      </c>
      <c r="T1000" s="357">
        <f t="shared" ca="1" si="436"/>
        <v>95.529779999999775</v>
      </c>
      <c r="U1000" s="364">
        <f t="shared" ca="1" si="437"/>
        <v>0</v>
      </c>
      <c r="V1000" s="359">
        <f t="shared" ca="1" si="438"/>
        <v>1.2270407136932573</v>
      </c>
      <c r="W1000" s="357">
        <f t="shared" ca="1" si="439"/>
        <v>78.950664300444203</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1.6436571967896789</v>
      </c>
      <c r="AH1000" s="357">
        <f t="shared" ca="1" si="463"/>
        <v>-8.1074530759278662</v>
      </c>
    </row>
    <row r="1001" spans="1:34" x14ac:dyDescent="0.25">
      <c r="A1001" s="402">
        <f t="shared" ca="1" si="441"/>
        <v>1E-4</v>
      </c>
      <c r="B1001" s="357">
        <f t="shared" ca="1" si="442"/>
        <v>49.205500000000548</v>
      </c>
      <c r="C1001" s="342"/>
      <c r="D1001" s="359">
        <f t="shared" ca="1" si="443"/>
        <v>-0.88701511710521996</v>
      </c>
      <c r="E1001" s="360">
        <f t="shared" ca="1" si="444"/>
        <v>-1.7511864275184372</v>
      </c>
      <c r="F1001" s="357">
        <f t="shared" ca="1" si="445"/>
        <v>1.9630205607425444</v>
      </c>
      <c r="G1001" s="359">
        <f t="shared" ca="1" si="446"/>
        <v>18.445970659989253</v>
      </c>
      <c r="H1001" s="360">
        <f t="shared" ca="1" si="447"/>
        <v>-167.58847285408123</v>
      </c>
      <c r="I1001" s="357">
        <f t="shared" ca="1" si="448"/>
        <v>168.60056366202429</v>
      </c>
      <c r="J1001" s="359">
        <f t="shared" ca="1" si="449"/>
        <v>1783.0236932133373</v>
      </c>
      <c r="K1001" s="360">
        <f t="shared" ca="1" si="450"/>
        <v>-16.661781752392091</v>
      </c>
      <c r="L1001" s="357">
        <f t="shared" ca="1" si="435"/>
        <v>1783.1015410041273</v>
      </c>
      <c r="M1001" s="359">
        <f t="shared" ca="1" si="451"/>
        <v>-1.4611705412678115</v>
      </c>
      <c r="N1001" s="357">
        <f t="shared" ca="1" si="452"/>
        <v>-83.718905163491684</v>
      </c>
      <c r="O1001" s="343"/>
      <c r="P1001" s="363">
        <f t="shared" ca="1" si="453"/>
        <v>23</v>
      </c>
      <c r="Q1001" s="357">
        <f t="shared" ca="1" si="454"/>
        <v>0</v>
      </c>
      <c r="R1001" s="359">
        <f t="shared" ca="1" si="455"/>
        <v>0</v>
      </c>
      <c r="S1001" s="360">
        <f t="shared" ca="1" si="456"/>
        <v>9.7379999999999765</v>
      </c>
      <c r="T1001" s="357">
        <f t="shared" ca="1" si="436"/>
        <v>95.529779999999775</v>
      </c>
      <c r="U1001" s="364">
        <f t="shared" ca="1" si="437"/>
        <v>0</v>
      </c>
      <c r="V1001" s="359">
        <f t="shared" ca="1" si="438"/>
        <v>1.2270427700741253</v>
      </c>
      <c r="W1001" s="357">
        <f t="shared" ca="1" si="439"/>
        <v>78.950950545840257</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1.643628485178553</v>
      </c>
      <c r="AH1001" s="357">
        <f t="shared" ca="1" si="463"/>
        <v>-8.1074824707788444</v>
      </c>
    </row>
    <row r="1002" spans="1:34" x14ac:dyDescent="0.25">
      <c r="A1002" s="402">
        <f t="shared" ca="1" si="441"/>
        <v>1E-4</v>
      </c>
      <c r="B1002" s="357">
        <f t="shared" ca="1" si="442"/>
        <v>49.205600000000551</v>
      </c>
      <c r="C1002" s="342"/>
      <c r="D1002" s="359">
        <f t="shared" ca="1" si="443"/>
        <v>-0.88701320296628261</v>
      </c>
      <c r="E1002" s="360">
        <f t="shared" ca="1" si="444"/>
        <v>-1.7511566446342233</v>
      </c>
      <c r="F1002" s="357">
        <f t="shared" ca="1" si="445"/>
        <v>1.9629931269067384</v>
      </c>
      <c r="G1002" s="359">
        <f t="shared" ca="1" si="446"/>
        <v>18.445881958668956</v>
      </c>
      <c r="H1002" s="360">
        <f t="shared" ca="1" si="447"/>
        <v>-167.58864796974569</v>
      </c>
      <c r="I1002" s="357">
        <f t="shared" ca="1" si="448"/>
        <v>168.60072802203584</v>
      </c>
      <c r="J1002" s="359">
        <f t="shared" ca="1" si="449"/>
        <v>1783.0236932133373</v>
      </c>
      <c r="K1002" s="360">
        <f t="shared" ca="1" si="450"/>
        <v>-16.678540608433284</v>
      </c>
      <c r="L1002" s="357">
        <f t="shared" ca="1" si="435"/>
        <v>1783.1016976821475</v>
      </c>
      <c r="M1002" s="359">
        <f t="shared" ca="1" si="451"/>
        <v>-1.4611711778464385</v>
      </c>
      <c r="N1002" s="357">
        <f t="shared" ca="1" si="452"/>
        <v>-83.718941636760334</v>
      </c>
      <c r="O1002" s="343"/>
      <c r="P1002" s="363">
        <f t="shared" ca="1" si="453"/>
        <v>23</v>
      </c>
      <c r="Q1002" s="357">
        <f t="shared" ca="1" si="454"/>
        <v>0</v>
      </c>
      <c r="R1002" s="359">
        <f t="shared" ca="1" si="455"/>
        <v>0</v>
      </c>
      <c r="S1002" s="360">
        <f t="shared" ca="1" si="456"/>
        <v>9.7379999999999765</v>
      </c>
      <c r="T1002" s="357">
        <f t="shared" ca="1" si="436"/>
        <v>95.529779999999775</v>
      </c>
      <c r="U1002" s="364">
        <f t="shared" ca="1" si="437"/>
        <v>0</v>
      </c>
      <c r="V1002" s="359">
        <f t="shared" ca="1" si="438"/>
        <v>1.2270448264605913</v>
      </c>
      <c r="W1002" s="357">
        <f t="shared" ca="1" si="439"/>
        <v>78.951236789573585</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1.6435997737296066</v>
      </c>
      <c r="AH1002" s="357">
        <f t="shared" ca="1" si="463"/>
        <v>-8.1075118654590721</v>
      </c>
    </row>
    <row r="1003" spans="1:34" x14ac:dyDescent="0.25">
      <c r="A1003" s="402">
        <f t="shared" ca="1" si="441"/>
        <v>1E-4</v>
      </c>
      <c r="B1003" s="357">
        <f t="shared" ca="1" si="442"/>
        <v>49.205700000000554</v>
      </c>
      <c r="C1003" s="342"/>
      <c r="D1003" s="359">
        <f t="shared" ca="1" si="443"/>
        <v>-0.88701128880577595</v>
      </c>
      <c r="E1003" s="360">
        <f t="shared" ca="1" si="444"/>
        <v>-1.7511268619227156</v>
      </c>
      <c r="F1003" s="357">
        <f t="shared" ca="1" si="445"/>
        <v>1.962965693285591</v>
      </c>
      <c r="G1003" s="359">
        <f t="shared" ca="1" si="446"/>
        <v>18.445793257540075</v>
      </c>
      <c r="H1003" s="360">
        <f t="shared" ca="1" si="447"/>
        <v>-167.58882308243187</v>
      </c>
      <c r="I1003" s="357">
        <f t="shared" ca="1" si="448"/>
        <v>168.6008923791762</v>
      </c>
      <c r="J1003" s="359">
        <f t="shared" ca="1" si="449"/>
        <v>1783.0236932133373</v>
      </c>
      <c r="K1003" s="360">
        <f t="shared" ca="1" si="450"/>
        <v>-16.695299481985892</v>
      </c>
      <c r="L1003" s="357">
        <f t="shared" ca="1" si="435"/>
        <v>1783.1018545178295</v>
      </c>
      <c r="M1003" s="359">
        <f t="shared" ca="1" si="451"/>
        <v>-1.461171814420763</v>
      </c>
      <c r="N1003" s="357">
        <f t="shared" ca="1" si="452"/>
        <v>-83.718978109782483</v>
      </c>
      <c r="O1003" s="343"/>
      <c r="P1003" s="363">
        <f t="shared" ca="1" si="453"/>
        <v>23</v>
      </c>
      <c r="Q1003" s="357">
        <f t="shared" ca="1" si="454"/>
        <v>0</v>
      </c>
      <c r="R1003" s="359">
        <f t="shared" ca="1" si="455"/>
        <v>0</v>
      </c>
      <c r="S1003" s="360">
        <f t="shared" ca="1" si="456"/>
        <v>9.7379999999999765</v>
      </c>
      <c r="T1003" s="357">
        <f t="shared" ca="1" si="436"/>
        <v>95.529779999999775</v>
      </c>
      <c r="U1003" s="364">
        <f t="shared" ca="1" si="437"/>
        <v>0</v>
      </c>
      <c r="V1003" s="359">
        <f ca="1">Rho_moyen*(20000-Alt_rampe-pos_z)/(20000+Alt_rampe+pos_z)</f>
        <v>1.2270468828526551</v>
      </c>
      <c r="W1003" s="357">
        <f t="shared" ca="1" si="439"/>
        <v>78.951523031644101</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1.6435710624428381</v>
      </c>
      <c r="AH1003" s="357">
        <f t="shared" ca="1" si="463"/>
        <v>-8.1075412599685546</v>
      </c>
    </row>
    <row r="1004" spans="1:34" x14ac:dyDescent="0.25">
      <c r="A1004" s="403">
        <f t="shared" ca="1" si="441"/>
        <v>1E-4</v>
      </c>
      <c r="B1004" s="358">
        <f t="shared" ca="1" si="442"/>
        <v>49.205800000000558</v>
      </c>
      <c r="C1004" s="342"/>
      <c r="D1004" s="361">
        <f t="shared" ca="1" si="443"/>
        <v>-0.887009374623701</v>
      </c>
      <c r="E1004" s="362">
        <f t="shared" ca="1" si="444"/>
        <v>-1.7510970793839302</v>
      </c>
      <c r="F1004" s="358">
        <f t="shared" ca="1" si="445"/>
        <v>1.9629382598791179</v>
      </c>
      <c r="G1004" s="361">
        <f t="shared" ca="1" si="446"/>
        <v>18.445704556602614</v>
      </c>
      <c r="H1004" s="362">
        <f t="shared" ca="1" si="447"/>
        <v>-167.5889981921398</v>
      </c>
      <c r="I1004" s="358">
        <f t="shared" ca="1" si="448"/>
        <v>168.60105673344549</v>
      </c>
      <c r="J1004" s="361">
        <f t="shared" ca="1" si="449"/>
        <v>1783.0236932133373</v>
      </c>
      <c r="K1004" s="362">
        <f t="shared" ca="1" si="450"/>
        <v>-16.712058373049619</v>
      </c>
      <c r="L1004" s="358">
        <f t="shared" ca="1" si="435"/>
        <v>1783.1020115111737</v>
      </c>
      <c r="M1004" s="361">
        <f t="shared" ca="1" si="451"/>
        <v>-1.4611724509907855</v>
      </c>
      <c r="N1004" s="358">
        <f t="shared" ca="1" si="452"/>
        <v>-83.719014582558131</v>
      </c>
      <c r="O1004" s="343"/>
      <c r="P1004" s="365">
        <f t="shared" ca="1" si="453"/>
        <v>23</v>
      </c>
      <c r="Q1004" s="358">
        <f t="shared" ca="1" si="454"/>
        <v>0</v>
      </c>
      <c r="R1004" s="361">
        <f t="shared" ca="1" si="455"/>
        <v>0</v>
      </c>
      <c r="S1004" s="362">
        <f t="shared" ca="1" si="456"/>
        <v>9.7379999999999765</v>
      </c>
      <c r="T1004" s="358">
        <f t="shared" ca="1" si="436"/>
        <v>95.529779999999775</v>
      </c>
      <c r="U1004" s="366">
        <f t="shared" ca="1" si="437"/>
        <v>0</v>
      </c>
      <c r="V1004" s="361">
        <f t="shared" ca="1" si="438"/>
        <v>1.2270489392503163</v>
      </c>
      <c r="W1004" s="358">
        <f ca="1">1/2*Rho*Sref*Cx*vit_xz^2</f>
        <v>78.951809272051847</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1.6435423513182581</v>
      </c>
      <c r="AH1004" s="358">
        <f t="shared" ca="1" si="463"/>
        <v>-8.1075706543072794</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01" t="s">
        <v>282</v>
      </c>
      <c r="D2" s="701"/>
      <c r="E2" s="81"/>
      <c r="F2" s="81"/>
      <c r="G2" s="81"/>
      <c r="H2" s="81"/>
      <c r="I2" s="81"/>
      <c r="J2" s="81"/>
      <c r="K2" s="81"/>
      <c r="L2" s="81"/>
      <c r="M2" s="97"/>
    </row>
    <row r="3" spans="1:13" ht="12.75" customHeight="1" x14ac:dyDescent="0.25">
      <c r="A3" s="77"/>
      <c r="B3" s="2"/>
      <c r="C3" s="701"/>
      <c r="D3" s="701"/>
      <c r="E3" s="81"/>
      <c r="F3" s="81"/>
      <c r="G3" s="81"/>
      <c r="H3" s="81"/>
      <c r="I3" s="81"/>
      <c r="J3" s="81"/>
      <c r="K3" s="81"/>
      <c r="L3" s="81"/>
      <c r="M3" s="97"/>
    </row>
    <row r="4" spans="1:13" x14ac:dyDescent="0.25">
      <c r="A4" s="77"/>
      <c r="B4" s="2"/>
      <c r="C4" s="705" t="str">
        <f>IF(Lang="Français","Abaques de performance",IF(Lang="English","Performance charts",""))</f>
        <v>Abaques de performance</v>
      </c>
      <c r="D4" s="705"/>
      <c r="E4" s="81"/>
      <c r="F4" s="81"/>
      <c r="G4" s="81"/>
      <c r="H4" s="81"/>
      <c r="I4" s="81"/>
      <c r="J4" s="81"/>
      <c r="K4" s="81"/>
      <c r="L4" s="81"/>
      <c r="M4" s="97"/>
    </row>
    <row r="5" spans="1:13" x14ac:dyDescent="0.25">
      <c r="A5" s="77"/>
      <c r="B5" s="2"/>
      <c r="C5" s="705" t="str">
        <f>IF(Lang="Français","Calcul analytique simple",IF(Lang="English","Analytical computation",""))</f>
        <v>Calcul analytique simple</v>
      </c>
      <c r="D5" s="705"/>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02" t="str">
        <f>IF(Lang="Français","Fusée",IF(Lang="English","Rocket",""))</f>
        <v>Fusée</v>
      </c>
      <c r="D7" s="702"/>
      <c r="E7" s="81"/>
      <c r="F7" s="81"/>
      <c r="G7" s="81"/>
      <c r="H7" s="81"/>
      <c r="I7" s="81"/>
      <c r="J7" s="81"/>
      <c r="K7" s="81"/>
      <c r="L7" s="81"/>
      <c r="M7" s="97"/>
    </row>
    <row r="8" spans="1:13" ht="15.6" x14ac:dyDescent="0.3">
      <c r="A8" s="80"/>
      <c r="B8" s="173" t="str">
        <f>IF(Lang="Français","Nom",IF(Lang="English","Name",""))</f>
        <v>Nom</v>
      </c>
      <c r="C8" s="703" t="str">
        <f>Nom</f>
        <v>Indra</v>
      </c>
      <c r="D8" s="703"/>
      <c r="E8" s="81"/>
      <c r="F8" s="81"/>
      <c r="G8" s="81"/>
      <c r="H8" s="81"/>
      <c r="I8" s="81"/>
      <c r="J8" s="81"/>
      <c r="K8" s="81"/>
      <c r="L8" s="81"/>
      <c r="M8" s="97"/>
    </row>
    <row r="9" spans="1:13" ht="15.6" x14ac:dyDescent="0.3">
      <c r="A9" s="80"/>
      <c r="B9" s="173" t="s">
        <v>4</v>
      </c>
      <c r="C9" s="703" t="str">
        <f>Club</f>
        <v>Space'Tech Orléans</v>
      </c>
      <c r="D9" s="703"/>
      <c r="E9" s="81"/>
      <c r="F9" s="81"/>
      <c r="G9" s="81"/>
      <c r="H9" s="81"/>
      <c r="I9" s="81"/>
      <c r="J9" s="81"/>
      <c r="K9" s="81"/>
      <c r="L9" s="81"/>
      <c r="M9" s="97"/>
    </row>
    <row r="10" spans="1:13" x14ac:dyDescent="0.25">
      <c r="A10" s="80"/>
      <c r="B10" s="173" t="str">
        <f>IF(Lang="Français","Masse sans propu",IF(Lang="English","Mass without M",""))</f>
        <v>Masse sans propu</v>
      </c>
      <c r="C10" s="769">
        <f>MasseSans</f>
        <v>8.1</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11,611 kg ±8,1 kg</v>
      </c>
      <c r="D11" s="772"/>
      <c r="E11" s="81"/>
      <c r="F11" s="81"/>
      <c r="G11" s="81"/>
      <c r="H11" s="81"/>
      <c r="I11" s="81"/>
      <c r="J11" s="81"/>
      <c r="K11" s="81"/>
      <c r="L11" s="81"/>
      <c r="M11" s="97"/>
    </row>
    <row r="12" spans="1:13" x14ac:dyDescent="0.25">
      <c r="A12" s="80"/>
      <c r="B12" s="266" t="str">
        <f>IF(Lang="Français","Propulseur",IF(Lang="English","Motor",""))</f>
        <v>Propulseur</v>
      </c>
      <c r="C12" s="730" t="str">
        <f>Propu</f>
        <v>Orignal (Pro75-3G C)</v>
      </c>
      <c r="D12" s="731"/>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02" t="str">
        <f>IF(Lang="Français","Traînée Aérdynamique",IF(Lang="English","Drag",""))</f>
        <v>Traînée Aérdynamique</v>
      </c>
      <c r="D14" s="702"/>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75</v>
      </c>
      <c r="C41" s="464">
        <f t="shared" ref="C41:C67" ca="1" si="1">1/2*Rho_moyen*PI()*D_var^2/4*Cx/10^6</f>
        <v>1.3529710549151357E-3</v>
      </c>
      <c r="D41" s="461">
        <f ca="1">MpropuPlein+0*MasseSans</f>
        <v>3.5110000000000001</v>
      </c>
      <c r="E41" s="461">
        <f t="shared" ref="E41:E67" ca="1" si="2">m_var - 0.5*m_poudre</f>
        <v>2.5745</v>
      </c>
      <c r="F41" s="461">
        <f t="shared" ref="F41:F67" ca="1" si="3">m_var - m_poudre</f>
        <v>1.6379999999999999</v>
      </c>
      <c r="G41" s="468">
        <f t="shared" ref="G41:G67" ca="1" si="4">MAX(0, (I_total/Temps_fin_propu)/m_prop-g)</f>
        <v>300.51733100610352</v>
      </c>
      <c r="H41" s="467">
        <f t="shared" ref="H41:H67" ca="1" si="5">Q_var/m_prop</f>
        <v>5.2552769660716087E-4</v>
      </c>
      <c r="I41" s="464">
        <f t="shared" ref="I41:I67" ca="1" si="6">Q_var/m_bal</f>
        <v>8.2598965501534541E-4</v>
      </c>
      <c r="J41" s="464">
        <f t="shared" ref="J41:J67" ca="1" si="7">1/(2*b_prop)*LN(  ((EXP(2*SQRT(a_prop*b_prop)*Temps_fin_propu)+1)^2)  /  (((1+1)^2)*EXP(2*SQRT(a_prop*b_prop)*Temps_fin_propu)))</f>
        <v>2265.6407110585924</v>
      </c>
      <c r="K41" s="471">
        <f t="shared" ref="K41:K67" ca="1" si="8">SQRT(a_prop/b_prop)  *  (EXP(2*SQRT(a_prop*b_prop)*Temps_fin_propu)-1)/(EXP(2*SQRT(a_prop*b_prop)*Temps_fin_propu)+1)</f>
        <v>720.40587937186433</v>
      </c>
      <c r="L41" s="474">
        <f t="shared" ref="L41:L67" ca="1" si="9">alt_prop + 1/(2*b_bal) * LN(1+b_bal/g*V_prop^2)</f>
        <v>4565.8665325686015</v>
      </c>
      <c r="M41" s="477">
        <f t="shared" ref="M41:M67" ca="1" si="10">Temps_fin_propu + ATAN(SQRT(b_bal/g)*V_prop)/SQRT(b_bal*g)</f>
        <v>20.462214926687707</v>
      </c>
    </row>
    <row r="42" spans="1:13" x14ac:dyDescent="0.25">
      <c r="B42" s="490">
        <f t="shared" ca="1" si="0"/>
        <v>75</v>
      </c>
      <c r="C42" s="465">
        <f t="shared" ca="1" si="1"/>
        <v>1.3529710549151357E-3</v>
      </c>
      <c r="D42" s="462">
        <f ca="1">MpropuPlein+0.25*MasseSans</f>
        <v>5.5359999999999996</v>
      </c>
      <c r="E42" s="462">
        <f t="shared" ca="1" si="2"/>
        <v>4.599499999999999</v>
      </c>
      <c r="F42" s="462">
        <f t="shared" ca="1" si="3"/>
        <v>3.6629999999999994</v>
      </c>
      <c r="G42" s="469">
        <f t="shared" ca="1" si="4"/>
        <v>163.89099221115637</v>
      </c>
      <c r="H42" s="465">
        <f t="shared" ca="1" si="5"/>
        <v>2.941561158637104E-4</v>
      </c>
      <c r="I42" s="465">
        <f t="shared" ca="1" si="6"/>
        <v>3.6936146735329947E-4</v>
      </c>
      <c r="J42" s="465">
        <f t="shared" ca="1" si="7"/>
        <v>1546.5837096369346</v>
      </c>
      <c r="K42" s="472">
        <f t="shared" ca="1" si="8"/>
        <v>576.93957960176556</v>
      </c>
      <c r="L42" s="475">
        <f t="shared" ca="1" si="9"/>
        <v>5073.0831284472188</v>
      </c>
      <c r="M42" s="478">
        <f t="shared" ca="1" si="10"/>
        <v>26.201644424977349</v>
      </c>
    </row>
    <row r="43" spans="1:13" x14ac:dyDescent="0.25">
      <c r="B43" s="490">
        <f t="shared" ca="1" si="0"/>
        <v>75</v>
      </c>
      <c r="C43" s="465">
        <f t="shared" ca="1" si="1"/>
        <v>1.3529710549151357E-3</v>
      </c>
      <c r="D43" s="462">
        <f ca="1">MpropuPlein+0.5*MasseSans</f>
        <v>7.5609999999999999</v>
      </c>
      <c r="E43" s="462">
        <f t="shared" ca="1" si="2"/>
        <v>6.6244999999999994</v>
      </c>
      <c r="F43" s="462">
        <f t="shared" ca="1" si="3"/>
        <v>5.6879999999999997</v>
      </c>
      <c r="G43" s="469">
        <f t="shared" ca="1" si="4"/>
        <v>110.79347402448693</v>
      </c>
      <c r="H43" s="465">
        <f t="shared" ca="1" si="5"/>
        <v>2.0423746017286373E-4</v>
      </c>
      <c r="I43" s="465">
        <f t="shared" ca="1" si="6"/>
        <v>2.3786410951391276E-4</v>
      </c>
      <c r="J43" s="465">
        <f t="shared" ca="1" si="7"/>
        <v>1124.6261448639598</v>
      </c>
      <c r="K43" s="472">
        <f t="shared" ca="1" si="8"/>
        <v>446.99789599661131</v>
      </c>
      <c r="L43" s="475">
        <f t="shared" ca="1" si="9"/>
        <v>4835.8688072314371</v>
      </c>
      <c r="M43" s="478">
        <f t="shared" ca="1" si="10"/>
        <v>28.369788437365472</v>
      </c>
    </row>
    <row r="44" spans="1:13" x14ac:dyDescent="0.25">
      <c r="B44" s="490">
        <f t="shared" ca="1" si="0"/>
        <v>75</v>
      </c>
      <c r="C44" s="465">
        <f t="shared" ca="1" si="1"/>
        <v>1.3529710549151357E-3</v>
      </c>
      <c r="D44" s="462">
        <f ca="1">MpropuPlein+0.75*MasseSans</f>
        <v>9.5859999999999985</v>
      </c>
      <c r="E44" s="462">
        <f t="shared" ca="1" si="2"/>
        <v>8.649499999999998</v>
      </c>
      <c r="F44" s="462">
        <f t="shared" ca="1" si="3"/>
        <v>7.7129999999999983</v>
      </c>
      <c r="G44" s="469">
        <f t="shared" ca="1" si="4"/>
        <v>82.558080660756545</v>
      </c>
      <c r="H44" s="465">
        <f t="shared" ca="1" si="5"/>
        <v>1.5642188044570624E-4</v>
      </c>
      <c r="I44" s="465">
        <f t="shared" ca="1" si="6"/>
        <v>1.7541437247700455E-4</v>
      </c>
      <c r="J44" s="465">
        <f t="shared" ca="1" si="7"/>
        <v>864.45127721424467</v>
      </c>
      <c r="K44" s="472">
        <f t="shared" ca="1" si="8"/>
        <v>353.64206932136278</v>
      </c>
      <c r="L44" s="475">
        <f t="shared" ca="1" si="9"/>
        <v>4212.0135611109545</v>
      </c>
      <c r="M44" s="478">
        <f t="shared" ca="1" si="10"/>
        <v>28.337574968032001</v>
      </c>
    </row>
    <row r="45" spans="1:13" x14ac:dyDescent="0.25">
      <c r="B45" s="490">
        <f t="shared" ca="1" si="0"/>
        <v>75</v>
      </c>
      <c r="C45" s="465">
        <f t="shared" ca="1" si="1"/>
        <v>1.3529710549151357E-3</v>
      </c>
      <c r="D45" s="462">
        <f ca="1">MpropuPlein+1*MasseSans</f>
        <v>11.611000000000001</v>
      </c>
      <c r="E45" s="462">
        <f t="shared" ca="1" si="2"/>
        <v>10.6745</v>
      </c>
      <c r="F45" s="462">
        <f t="shared" ca="1" si="3"/>
        <v>9.7379999999999995</v>
      </c>
      <c r="G45" s="469">
        <f t="shared" ca="1" si="4"/>
        <v>65.035446032621067</v>
      </c>
      <c r="H45" s="465">
        <f t="shared" ca="1" si="5"/>
        <v>1.2674795586820327E-4</v>
      </c>
      <c r="I45" s="465">
        <f t="shared" ca="1" si="6"/>
        <v>1.3893726174934646E-4</v>
      </c>
      <c r="J45" s="465">
        <f t="shared" ca="1" si="7"/>
        <v>691.76349789487892</v>
      </c>
      <c r="K45" s="472">
        <f t="shared" ca="1" si="8"/>
        <v>287.28149456162731</v>
      </c>
      <c r="L45" s="475">
        <f t="shared" ca="1" si="9"/>
        <v>3477.9305020888928</v>
      </c>
      <c r="M45" s="478">
        <f t="shared" ca="1" si="10"/>
        <v>27.009392380853672</v>
      </c>
    </row>
    <row r="46" spans="1:13" x14ac:dyDescent="0.25">
      <c r="B46" s="490">
        <f t="shared" ca="1" si="0"/>
        <v>75</v>
      </c>
      <c r="C46" s="465">
        <f t="shared" ca="1" si="1"/>
        <v>1.3529710549151357E-3</v>
      </c>
      <c r="D46" s="462">
        <f ca="1">MpropuPlein+1.25*MasseSans</f>
        <v>13.635999999999999</v>
      </c>
      <c r="E46" s="462">
        <f t="shared" ca="1" si="2"/>
        <v>12.699499999999999</v>
      </c>
      <c r="F46" s="462">
        <f t="shared" ca="1" si="3"/>
        <v>11.762999999999998</v>
      </c>
      <c r="G46" s="469">
        <f t="shared" ca="1" si="4"/>
        <v>53.100958201127099</v>
      </c>
      <c r="H46" s="465">
        <f t="shared" ca="1" si="5"/>
        <v>1.0653734831411755E-4</v>
      </c>
      <c r="I46" s="465">
        <f t="shared" ca="1" si="6"/>
        <v>1.1501921745431743E-4</v>
      </c>
      <c r="J46" s="465">
        <f t="shared" ca="1" si="7"/>
        <v>569.89261191123933</v>
      </c>
      <c r="K46" s="472">
        <f t="shared" ca="1" si="8"/>
        <v>238.73276251598475</v>
      </c>
      <c r="L46" s="475">
        <f t="shared" ca="1" si="9"/>
        <v>2794.5760816020247</v>
      </c>
      <c r="M46" s="478">
        <f t="shared" ca="1" si="10"/>
        <v>25.081232410372511</v>
      </c>
    </row>
    <row r="47" spans="1:13" x14ac:dyDescent="0.25">
      <c r="B47" s="490">
        <f t="shared" ca="1" si="0"/>
        <v>75</v>
      </c>
      <c r="C47" s="465">
        <f t="shared" ca="1" si="1"/>
        <v>1.3529710549151357E-3</v>
      </c>
      <c r="D47" s="462">
        <f ca="1">MpropuPlein+1.5*MasseSans</f>
        <v>15.660999999999998</v>
      </c>
      <c r="E47" s="462">
        <f t="shared" ca="1" si="2"/>
        <v>14.724499999999997</v>
      </c>
      <c r="F47" s="462">
        <f t="shared" ca="1" si="3"/>
        <v>13.787999999999997</v>
      </c>
      <c r="G47" s="469">
        <f t="shared" ca="1" si="4"/>
        <v>44.449072544073729</v>
      </c>
      <c r="H47" s="465">
        <f t="shared" ca="1" si="5"/>
        <v>9.1885704432417798E-5</v>
      </c>
      <c r="I47" s="465">
        <f t="shared" ca="1" si="6"/>
        <v>9.812670836344184E-5</v>
      </c>
      <c r="J47" s="465">
        <f t="shared" ca="1" si="7"/>
        <v>479.68192666029699</v>
      </c>
      <c r="K47" s="472">
        <f t="shared" ca="1" si="8"/>
        <v>202.0330258725225</v>
      </c>
      <c r="L47" s="475">
        <f t="shared" ca="1" si="9"/>
        <v>2224.223997043061</v>
      </c>
      <c r="M47" s="478">
        <f t="shared" ca="1" si="10"/>
        <v>23.005925063156329</v>
      </c>
    </row>
    <row r="48" spans="1:13" x14ac:dyDescent="0.25">
      <c r="B48" s="490">
        <f t="shared" ca="1" si="0"/>
        <v>75</v>
      </c>
      <c r="C48" s="465">
        <f t="shared" ca="1" si="1"/>
        <v>1.3529710549151357E-3</v>
      </c>
      <c r="D48" s="462">
        <f ca="1">MpropuPlein+1.75*MasseSans</f>
        <v>17.686</v>
      </c>
      <c r="E48" s="462">
        <f t="shared" ca="1" si="2"/>
        <v>16.749500000000001</v>
      </c>
      <c r="F48" s="462">
        <f t="shared" ca="1" si="3"/>
        <v>15.812999999999999</v>
      </c>
      <c r="G48" s="469">
        <f t="shared" ca="1" si="4"/>
        <v>37.889197807409978</v>
      </c>
      <c r="H48" s="465">
        <f t="shared" ca="1" si="5"/>
        <v>8.0776802586055436E-5</v>
      </c>
      <c r="I48" s="465">
        <f t="shared" ca="1" si="6"/>
        <v>8.5560681396011881E-5</v>
      </c>
      <c r="J48" s="465">
        <f t="shared" ca="1" si="7"/>
        <v>410.37765351612956</v>
      </c>
      <c r="K48" s="472">
        <f t="shared" ca="1" si="8"/>
        <v>173.46270307803485</v>
      </c>
      <c r="L48" s="475">
        <f t="shared" ca="1" si="9"/>
        <v>1772.220089510527</v>
      </c>
      <c r="M48" s="478">
        <f t="shared" ca="1" si="10"/>
        <v>21.021018464448101</v>
      </c>
    </row>
    <row r="49" spans="2:13" x14ac:dyDescent="0.25">
      <c r="B49" s="491">
        <f t="shared" ca="1" si="0"/>
        <v>75</v>
      </c>
      <c r="C49" s="466">
        <f t="shared" ca="1" si="1"/>
        <v>1.3529710549151357E-3</v>
      </c>
      <c r="D49" s="463">
        <f ca="1">MpropuPlein+2*MasseSans</f>
        <v>19.710999999999999</v>
      </c>
      <c r="E49" s="463">
        <f t="shared" ca="1" si="2"/>
        <v>18.7745</v>
      </c>
      <c r="F49" s="463">
        <f t="shared" ca="1" si="3"/>
        <v>17.837999999999997</v>
      </c>
      <c r="G49" s="470">
        <f t="shared" ca="1" si="4"/>
        <v>32.744406970902745</v>
      </c>
      <c r="H49" s="466">
        <f t="shared" ca="1" si="5"/>
        <v>7.2064292253595869E-5</v>
      </c>
      <c r="I49" s="466">
        <f t="shared" ca="1" si="6"/>
        <v>7.5847687796565532E-5</v>
      </c>
      <c r="J49" s="466">
        <f t="shared" ca="1" si="7"/>
        <v>355.54361564316775</v>
      </c>
      <c r="K49" s="473">
        <f t="shared" ca="1" si="8"/>
        <v>150.65724345064044</v>
      </c>
      <c r="L49" s="476">
        <f t="shared" ca="1" si="9"/>
        <v>1421.3996086200118</v>
      </c>
      <c r="M49" s="479">
        <f t="shared" ca="1" si="10"/>
        <v>19.223303050663198</v>
      </c>
    </row>
    <row r="50" spans="2:13" x14ac:dyDescent="0.25">
      <c r="B50" s="489">
        <f t="shared" ref="B50:B58" si="11">D_ref</f>
        <v>100</v>
      </c>
      <c r="C50" s="464">
        <f t="shared" si="1"/>
        <v>2.4052818754046858E-3</v>
      </c>
      <c r="D50" s="461">
        <f ca="1">MpropuPlein+0*MasseSans</f>
        <v>3.5110000000000001</v>
      </c>
      <c r="E50" s="461">
        <f t="shared" ca="1" si="2"/>
        <v>2.5745</v>
      </c>
      <c r="F50" s="461">
        <f t="shared" ca="1" si="3"/>
        <v>1.6379999999999999</v>
      </c>
      <c r="G50" s="468">
        <f t="shared" ca="1" si="4"/>
        <v>300.51733100610352</v>
      </c>
      <c r="H50" s="464">
        <f t="shared" ca="1" si="5"/>
        <v>9.3427146063495268E-4</v>
      </c>
      <c r="I50" s="464">
        <f t="shared" ca="1" si="6"/>
        <v>1.4684260533606142E-3</v>
      </c>
      <c r="J50" s="464">
        <f t="shared" ca="1" si="7"/>
        <v>1919.8348117538424</v>
      </c>
      <c r="K50" s="471">
        <f t="shared" ca="1" si="8"/>
        <v>559.24790560645113</v>
      </c>
      <c r="L50" s="474">
        <f t="shared" ca="1" si="9"/>
        <v>3236.6715266317624</v>
      </c>
      <c r="M50" s="477">
        <f t="shared" ca="1" si="10"/>
        <v>16.558431169977993</v>
      </c>
    </row>
    <row r="51" spans="2:13" x14ac:dyDescent="0.25">
      <c r="B51" s="490">
        <f t="shared" si="11"/>
        <v>100</v>
      </c>
      <c r="C51" s="465">
        <f t="shared" si="1"/>
        <v>2.4052818754046858E-3</v>
      </c>
      <c r="D51" s="462">
        <f ca="1">MpropuPlein+0.25*MasseSans</f>
        <v>5.5359999999999996</v>
      </c>
      <c r="E51" s="462">
        <f t="shared" ca="1" si="2"/>
        <v>4.599499999999999</v>
      </c>
      <c r="F51" s="462">
        <f t="shared" ca="1" si="3"/>
        <v>3.6629999999999994</v>
      </c>
      <c r="G51" s="469">
        <f t="shared" ca="1" si="4"/>
        <v>163.89099221115637</v>
      </c>
      <c r="H51" s="465">
        <f t="shared" ca="1" si="5"/>
        <v>5.2294420597992963E-4</v>
      </c>
      <c r="I51" s="465">
        <f t="shared" ca="1" si="6"/>
        <v>6.5664260862808796E-4</v>
      </c>
      <c r="J51" s="465">
        <f t="shared" ca="1" si="7"/>
        <v>1414.1253716114591</v>
      </c>
      <c r="K51" s="472">
        <f t="shared" ca="1" si="8"/>
        <v>491.92338826235249</v>
      </c>
      <c r="L51" s="475">
        <f t="shared" ca="1" si="9"/>
        <v>3580.2802804663661</v>
      </c>
      <c r="M51" s="478">
        <f t="shared" ca="1" si="10"/>
        <v>21.216996493804253</v>
      </c>
    </row>
    <row r="52" spans="2:13" x14ac:dyDescent="0.25">
      <c r="B52" s="490">
        <f t="shared" si="11"/>
        <v>100</v>
      </c>
      <c r="C52" s="465">
        <f t="shared" si="1"/>
        <v>2.4052818754046858E-3</v>
      </c>
      <c r="D52" s="462">
        <f ca="1">MpropuPlein+0.5*MasseSans</f>
        <v>7.5609999999999999</v>
      </c>
      <c r="E52" s="462">
        <f t="shared" ca="1" si="2"/>
        <v>6.6244999999999994</v>
      </c>
      <c r="F52" s="462">
        <f t="shared" ca="1" si="3"/>
        <v>5.6879999999999997</v>
      </c>
      <c r="G52" s="469">
        <f t="shared" ca="1" si="4"/>
        <v>110.79347402448693</v>
      </c>
      <c r="H52" s="465">
        <f t="shared" ca="1" si="5"/>
        <v>3.6308881808509112E-4</v>
      </c>
      <c r="I52" s="465">
        <f t="shared" ca="1" si="6"/>
        <v>4.2286952802473383E-4</v>
      </c>
      <c r="J52" s="465">
        <f t="shared" ca="1" si="7"/>
        <v>1068.282437284508</v>
      </c>
      <c r="K52" s="472">
        <f t="shared" ca="1" si="8"/>
        <v>405.79411504042872</v>
      </c>
      <c r="L52" s="475">
        <f t="shared" ca="1" si="9"/>
        <v>3541.4366480859953</v>
      </c>
      <c r="M52" s="478">
        <f t="shared" ca="1" si="10"/>
        <v>23.493392222192877</v>
      </c>
    </row>
    <row r="53" spans="2:13" x14ac:dyDescent="0.25">
      <c r="B53" s="490">
        <f t="shared" si="11"/>
        <v>100</v>
      </c>
      <c r="C53" s="465">
        <f t="shared" si="1"/>
        <v>2.4052818754046858E-3</v>
      </c>
      <c r="D53" s="462">
        <f ca="1">MpropuPlein+0.75*MasseSans</f>
        <v>9.5859999999999985</v>
      </c>
      <c r="E53" s="462">
        <f t="shared" ca="1" si="2"/>
        <v>8.649499999999998</v>
      </c>
      <c r="F53" s="462">
        <f t="shared" ca="1" si="3"/>
        <v>7.7129999999999983</v>
      </c>
      <c r="G53" s="469">
        <f t="shared" ca="1" si="4"/>
        <v>82.558080660756545</v>
      </c>
      <c r="H53" s="465">
        <f t="shared" ca="1" si="5"/>
        <v>2.7808334301458889E-4</v>
      </c>
      <c r="I53" s="465">
        <f t="shared" ca="1" si="6"/>
        <v>3.118477732924525E-4</v>
      </c>
      <c r="J53" s="465">
        <f t="shared" ca="1" si="7"/>
        <v>837.16552937260678</v>
      </c>
      <c r="K53" s="472">
        <f t="shared" ca="1" si="8"/>
        <v>332.434513510942</v>
      </c>
      <c r="L53" s="475">
        <f t="shared" ca="1" si="9"/>
        <v>3253.3699335260653</v>
      </c>
      <c r="M53" s="478">
        <f t="shared" ca="1" si="10"/>
        <v>24.218640300686239</v>
      </c>
    </row>
    <row r="54" spans="2:13" x14ac:dyDescent="0.25">
      <c r="B54" s="490">
        <f t="shared" si="11"/>
        <v>100</v>
      </c>
      <c r="C54" s="465">
        <f t="shared" si="1"/>
        <v>2.4052818754046858E-3</v>
      </c>
      <c r="D54" s="462">
        <f ca="1">MpropuPlein+1*MasseSans</f>
        <v>11.611000000000001</v>
      </c>
      <c r="E54" s="462">
        <f t="shared" ca="1" si="2"/>
        <v>10.6745</v>
      </c>
      <c r="F54" s="462">
        <f t="shared" ca="1" si="3"/>
        <v>9.7379999999999995</v>
      </c>
      <c r="G54" s="469">
        <f t="shared" ca="1" si="4"/>
        <v>65.035446032621067</v>
      </c>
      <c r="H54" s="465">
        <f t="shared" ca="1" si="5"/>
        <v>2.2532969932125024E-4</v>
      </c>
      <c r="I54" s="465">
        <f t="shared" ca="1" si="6"/>
        <v>2.4699957644328262E-4</v>
      </c>
      <c r="J54" s="465">
        <f t="shared" ca="1" si="7"/>
        <v>677.08962843082179</v>
      </c>
      <c r="K54" s="472">
        <f t="shared" ca="1" si="8"/>
        <v>275.50222252829337</v>
      </c>
      <c r="L54" s="475">
        <f t="shared" ca="1" si="9"/>
        <v>2840.0932366792954</v>
      </c>
      <c r="M54" s="478">
        <f t="shared" ca="1" si="10"/>
        <v>23.868690340177025</v>
      </c>
    </row>
    <row r="55" spans="2:13" x14ac:dyDescent="0.25">
      <c r="B55" s="490">
        <f t="shared" si="11"/>
        <v>100</v>
      </c>
      <c r="C55" s="465">
        <f t="shared" si="1"/>
        <v>2.4052818754046858E-3</v>
      </c>
      <c r="D55" s="462">
        <f ca="1">MpropuPlein+1.25*MasseSans</f>
        <v>13.635999999999999</v>
      </c>
      <c r="E55" s="462">
        <f t="shared" ca="1" si="2"/>
        <v>12.699499999999999</v>
      </c>
      <c r="F55" s="462">
        <f t="shared" ca="1" si="3"/>
        <v>11.762999999999998</v>
      </c>
      <c r="G55" s="469">
        <f t="shared" ca="1" si="4"/>
        <v>53.100958201127099</v>
      </c>
      <c r="H55" s="465">
        <f t="shared" ca="1" si="5"/>
        <v>1.89399730336209E-4</v>
      </c>
      <c r="I55" s="465">
        <f t="shared" ca="1" si="6"/>
        <v>2.0447860880767543E-4</v>
      </c>
      <c r="J55" s="465">
        <f t="shared" ca="1" si="7"/>
        <v>561.345588005997</v>
      </c>
      <c r="K55" s="472">
        <f t="shared" ca="1" si="8"/>
        <v>231.74131119870333</v>
      </c>
      <c r="L55" s="475">
        <f t="shared" ca="1" si="9"/>
        <v>2398.0502485230209</v>
      </c>
      <c r="M55" s="478">
        <f t="shared" ca="1" si="10"/>
        <v>22.845306745279842</v>
      </c>
    </row>
    <row r="56" spans="2:13" x14ac:dyDescent="0.25">
      <c r="B56" s="490">
        <f t="shared" si="11"/>
        <v>100</v>
      </c>
      <c r="C56" s="465">
        <f t="shared" si="1"/>
        <v>2.4052818754046858E-3</v>
      </c>
      <c r="D56" s="462">
        <f ca="1">MpropuPlein+1.5*MasseSans</f>
        <v>15.660999999999998</v>
      </c>
      <c r="E56" s="462">
        <f t="shared" ca="1" si="2"/>
        <v>14.724499999999997</v>
      </c>
      <c r="F56" s="462">
        <f t="shared" ca="1" si="3"/>
        <v>13.787999999999997</v>
      </c>
      <c r="G56" s="469">
        <f t="shared" ca="1" si="4"/>
        <v>44.449072544073729</v>
      </c>
      <c r="H56" s="465">
        <f t="shared" ca="1" si="5"/>
        <v>1.6335236343540944E-4</v>
      </c>
      <c r="I56" s="465">
        <f t="shared" ca="1" si="6"/>
        <v>1.7444748153500771E-4</v>
      </c>
      <c r="J56" s="465">
        <f t="shared" ca="1" si="7"/>
        <v>474.39082520145291</v>
      </c>
      <c r="K56" s="472">
        <f t="shared" ca="1" si="8"/>
        <v>197.65345889563199</v>
      </c>
      <c r="L56" s="475">
        <f t="shared" ca="1" si="9"/>
        <v>1986.3431869785791</v>
      </c>
      <c r="M56" s="478">
        <f t="shared" ca="1" si="10"/>
        <v>21.476294731678131</v>
      </c>
    </row>
    <row r="57" spans="2:13" x14ac:dyDescent="0.25">
      <c r="B57" s="490">
        <f t="shared" si="11"/>
        <v>100</v>
      </c>
      <c r="C57" s="465">
        <f t="shared" si="1"/>
        <v>2.4052818754046858E-3</v>
      </c>
      <c r="D57" s="462">
        <f ca="1">MpropuPlein+1.75*MasseSans</f>
        <v>17.686</v>
      </c>
      <c r="E57" s="462">
        <f t="shared" ca="1" si="2"/>
        <v>16.749500000000001</v>
      </c>
      <c r="F57" s="462">
        <f t="shared" ca="1" si="3"/>
        <v>15.812999999999999</v>
      </c>
      <c r="G57" s="469">
        <f t="shared" ca="1" si="4"/>
        <v>37.889197807409978</v>
      </c>
      <c r="H57" s="465">
        <f t="shared" ca="1" si="5"/>
        <v>1.4360320459743189E-4</v>
      </c>
      <c r="I57" s="465">
        <f t="shared" ca="1" si="6"/>
        <v>1.5210787803735445E-4</v>
      </c>
      <c r="J57" s="465">
        <f t="shared" ca="1" si="7"/>
        <v>406.94363463189222</v>
      </c>
      <c r="K57" s="472">
        <f t="shared" ca="1" si="8"/>
        <v>170.59789732221762</v>
      </c>
      <c r="L57" s="475">
        <f t="shared" ca="1" si="9"/>
        <v>1631.1880567504872</v>
      </c>
      <c r="M57" s="478">
        <f t="shared" ca="1" si="10"/>
        <v>19.992994087286572</v>
      </c>
    </row>
    <row r="58" spans="2:13" x14ac:dyDescent="0.25">
      <c r="B58" s="491">
        <f t="shared" si="11"/>
        <v>100</v>
      </c>
      <c r="C58" s="466">
        <f t="shared" si="1"/>
        <v>2.4052818754046858E-3</v>
      </c>
      <c r="D58" s="463">
        <f ca="1">MpropuPlein+2*MasseSans</f>
        <v>19.710999999999999</v>
      </c>
      <c r="E58" s="463">
        <f t="shared" ca="1" si="2"/>
        <v>18.7745</v>
      </c>
      <c r="F58" s="463">
        <f t="shared" ca="1" si="3"/>
        <v>17.837999999999997</v>
      </c>
      <c r="G58" s="470">
        <f t="shared" ca="1" si="4"/>
        <v>32.744406970902745</v>
      </c>
      <c r="H58" s="466">
        <f t="shared" ca="1" si="5"/>
        <v>1.28114297339726E-4</v>
      </c>
      <c r="I58" s="466">
        <f t="shared" ca="1" si="6"/>
        <v>1.3484033386056095E-4</v>
      </c>
      <c r="J58" s="466">
        <f t="shared" ca="1" si="7"/>
        <v>353.23016523394125</v>
      </c>
      <c r="K58" s="473">
        <f t="shared" ca="1" si="8"/>
        <v>148.71672766590248</v>
      </c>
      <c r="L58" s="476">
        <f t="shared" ca="1" si="9"/>
        <v>1337.4860459979545</v>
      </c>
      <c r="M58" s="479">
        <f t="shared" ca="1" si="10"/>
        <v>18.534425029609604</v>
      </c>
    </row>
    <row r="59" spans="2:13" x14ac:dyDescent="0.25">
      <c r="B59" s="489">
        <f t="shared" ref="B59:B67" si="12">D_ref*1.5</f>
        <v>150</v>
      </c>
      <c r="C59" s="464">
        <f t="shared" si="1"/>
        <v>5.4118842196605428E-3</v>
      </c>
      <c r="D59" s="461">
        <f ca="1">MpropuPlein+0*MasseSans</f>
        <v>3.5110000000000001</v>
      </c>
      <c r="E59" s="461">
        <f t="shared" ca="1" si="2"/>
        <v>2.5745</v>
      </c>
      <c r="F59" s="461">
        <f t="shared" ca="1" si="3"/>
        <v>1.6379999999999999</v>
      </c>
      <c r="G59" s="468">
        <f t="shared" ca="1" si="4"/>
        <v>300.51733100610352</v>
      </c>
      <c r="H59" s="464">
        <f t="shared" ca="1" si="5"/>
        <v>2.1021107864286435E-3</v>
      </c>
      <c r="I59" s="464">
        <f t="shared" ca="1" si="6"/>
        <v>3.3039586200613816E-3</v>
      </c>
      <c r="J59" s="464">
        <f t="shared" ca="1" si="7"/>
        <v>1440.049964773531</v>
      </c>
      <c r="K59" s="471">
        <f t="shared" ca="1" si="8"/>
        <v>377.65613998433196</v>
      </c>
      <c r="L59" s="474">
        <f t="shared" ca="1" si="9"/>
        <v>2029.1215603003384</v>
      </c>
      <c r="M59" s="477">
        <f t="shared" ca="1" si="10"/>
        <v>12.609110000633915</v>
      </c>
    </row>
    <row r="60" spans="2:13" x14ac:dyDescent="0.25">
      <c r="B60" s="490">
        <f t="shared" si="12"/>
        <v>150</v>
      </c>
      <c r="C60" s="465">
        <f t="shared" si="1"/>
        <v>5.4118842196605428E-3</v>
      </c>
      <c r="D60" s="462">
        <f ca="1">MpropuPlein+0.25*MasseSans</f>
        <v>5.5359999999999996</v>
      </c>
      <c r="E60" s="462">
        <f t="shared" ca="1" si="2"/>
        <v>4.599499999999999</v>
      </c>
      <c r="F60" s="462">
        <f t="shared" ca="1" si="3"/>
        <v>3.6629999999999994</v>
      </c>
      <c r="G60" s="469">
        <f t="shared" ca="1" si="4"/>
        <v>163.89099221115637</v>
      </c>
      <c r="H60" s="465">
        <f t="shared" ca="1" si="5"/>
        <v>1.1766244634548416E-3</v>
      </c>
      <c r="I60" s="465">
        <f t="shared" ca="1" si="6"/>
        <v>1.4774458694131979E-3</v>
      </c>
      <c r="J60" s="465">
        <f t="shared" ca="1" si="7"/>
        <v>1171.3738557326428</v>
      </c>
      <c r="K60" s="472">
        <f t="shared" ca="1" si="8"/>
        <v>361.16847006729375</v>
      </c>
      <c r="L60" s="475">
        <f t="shared" ca="1" si="9"/>
        <v>2195.9445568817582</v>
      </c>
      <c r="M60" s="478">
        <f t="shared" ca="1" si="10"/>
        <v>15.884390077494404</v>
      </c>
    </row>
    <row r="61" spans="2:13" x14ac:dyDescent="0.25">
      <c r="B61" s="490">
        <f t="shared" si="12"/>
        <v>150</v>
      </c>
      <c r="C61" s="465">
        <f t="shared" si="1"/>
        <v>5.4118842196605428E-3</v>
      </c>
      <c r="D61" s="462">
        <f ca="1">MpropuPlein+0.5*MasseSans</f>
        <v>7.5609999999999999</v>
      </c>
      <c r="E61" s="462">
        <f t="shared" ca="1" si="2"/>
        <v>6.6244999999999994</v>
      </c>
      <c r="F61" s="462">
        <f t="shared" ca="1" si="3"/>
        <v>5.6879999999999997</v>
      </c>
      <c r="G61" s="469">
        <f t="shared" ca="1" si="4"/>
        <v>110.79347402448693</v>
      </c>
      <c r="H61" s="465">
        <f t="shared" ca="1" si="5"/>
        <v>8.169498406914549E-4</v>
      </c>
      <c r="I61" s="465">
        <f t="shared" ca="1" si="6"/>
        <v>9.5145643805565104E-4</v>
      </c>
      <c r="J61" s="465">
        <f t="shared" ca="1" si="7"/>
        <v>946.16524621164183</v>
      </c>
      <c r="K61" s="472">
        <f t="shared" ca="1" si="8"/>
        <v>326.67504003932032</v>
      </c>
      <c r="L61" s="475">
        <f t="shared" ca="1" si="9"/>
        <v>2222.7564306490626</v>
      </c>
      <c r="M61" s="478">
        <f t="shared" ca="1" si="10"/>
        <v>17.819558468756725</v>
      </c>
    </row>
    <row r="62" spans="2:13" x14ac:dyDescent="0.25">
      <c r="B62" s="490">
        <f t="shared" si="12"/>
        <v>150</v>
      </c>
      <c r="C62" s="465">
        <f t="shared" si="1"/>
        <v>5.4118842196605428E-3</v>
      </c>
      <c r="D62" s="462">
        <f ca="1">MpropuPlein+0.75*MasseSans</f>
        <v>9.5859999999999985</v>
      </c>
      <c r="E62" s="462">
        <f t="shared" ca="1" si="2"/>
        <v>8.649499999999998</v>
      </c>
      <c r="F62" s="462">
        <f t="shared" ca="1" si="3"/>
        <v>7.7129999999999983</v>
      </c>
      <c r="G62" s="469">
        <f t="shared" ca="1" si="4"/>
        <v>82.558080660756545</v>
      </c>
      <c r="H62" s="465">
        <f t="shared" ca="1" si="5"/>
        <v>6.2568752178282494E-4</v>
      </c>
      <c r="I62" s="465">
        <f t="shared" ca="1" si="6"/>
        <v>7.0165748990801819E-4</v>
      </c>
      <c r="J62" s="465">
        <f t="shared" ca="1" si="7"/>
        <v>772.0960304267096</v>
      </c>
      <c r="K62" s="472">
        <f t="shared" ca="1" si="8"/>
        <v>285.89729411182731</v>
      </c>
      <c r="L62" s="475">
        <f t="shared" ca="1" si="9"/>
        <v>2142.9207229363374</v>
      </c>
      <c r="M62" s="478">
        <f t="shared" ca="1" si="10"/>
        <v>18.886356302477783</v>
      </c>
    </row>
    <row r="63" spans="2:13" x14ac:dyDescent="0.25">
      <c r="B63" s="490">
        <f t="shared" si="12"/>
        <v>150</v>
      </c>
      <c r="C63" s="465">
        <f t="shared" si="1"/>
        <v>5.4118842196605428E-3</v>
      </c>
      <c r="D63" s="462">
        <f ca="1">MpropuPlein+1*MasseSans</f>
        <v>11.611000000000001</v>
      </c>
      <c r="E63" s="462">
        <f t="shared" ca="1" si="2"/>
        <v>10.6745</v>
      </c>
      <c r="F63" s="462">
        <f t="shared" ca="1" si="3"/>
        <v>9.7379999999999995</v>
      </c>
      <c r="G63" s="469">
        <f t="shared" ca="1" si="4"/>
        <v>65.035446032621067</v>
      </c>
      <c r="H63" s="465">
        <f t="shared" ca="1" si="5"/>
        <v>5.0699182347281309E-4</v>
      </c>
      <c r="I63" s="465">
        <f t="shared" ca="1" si="6"/>
        <v>5.5574904699738582E-4</v>
      </c>
      <c r="J63" s="465">
        <f t="shared" ca="1" si="7"/>
        <v>640.06348499266005</v>
      </c>
      <c r="K63" s="472">
        <f t="shared" ca="1" si="8"/>
        <v>247.47629943640433</v>
      </c>
      <c r="L63" s="475">
        <f t="shared" ca="1" si="9"/>
        <v>1987.1593768788732</v>
      </c>
      <c r="M63" s="478">
        <f t="shared" ca="1" si="10"/>
        <v>19.281044512164758</v>
      </c>
    </row>
    <row r="64" spans="2:13" x14ac:dyDescent="0.25">
      <c r="B64" s="490">
        <f t="shared" si="12"/>
        <v>150</v>
      </c>
      <c r="C64" s="465">
        <f t="shared" si="1"/>
        <v>5.4118842196605428E-3</v>
      </c>
      <c r="D64" s="462">
        <f ca="1">MpropuPlein+1.25*MasseSans</f>
        <v>13.635999999999999</v>
      </c>
      <c r="E64" s="462">
        <f t="shared" ca="1" si="2"/>
        <v>12.699499999999999</v>
      </c>
      <c r="F64" s="462">
        <f t="shared" ca="1" si="3"/>
        <v>11.762999999999998</v>
      </c>
      <c r="G64" s="469">
        <f t="shared" ca="1" si="4"/>
        <v>53.100958201127099</v>
      </c>
      <c r="H64" s="465">
        <f t="shared" ca="1" si="5"/>
        <v>4.2614939325647021E-4</v>
      </c>
      <c r="I64" s="465">
        <f t="shared" ca="1" si="6"/>
        <v>4.6007686981726972E-4</v>
      </c>
      <c r="J64" s="465">
        <f t="shared" ca="1" si="7"/>
        <v>539.00814592884956</v>
      </c>
      <c r="K64" s="472">
        <f t="shared" ca="1" si="8"/>
        <v>214.23562889973834</v>
      </c>
      <c r="L64" s="475">
        <f t="shared" ca="1" si="9"/>
        <v>1786.8413087716021</v>
      </c>
      <c r="M64" s="478">
        <f t="shared" ca="1" si="10"/>
        <v>19.156135433757512</v>
      </c>
    </row>
    <row r="65" spans="2:13" x14ac:dyDescent="0.25">
      <c r="B65" s="490">
        <f t="shared" si="12"/>
        <v>150</v>
      </c>
      <c r="C65" s="465">
        <f t="shared" si="1"/>
        <v>5.4118842196605428E-3</v>
      </c>
      <c r="D65" s="462">
        <f ca="1">MpropuPlein+1.5*MasseSans</f>
        <v>15.660999999999998</v>
      </c>
      <c r="E65" s="462">
        <f t="shared" ca="1" si="2"/>
        <v>14.724499999999997</v>
      </c>
      <c r="F65" s="462">
        <f t="shared" ca="1" si="3"/>
        <v>13.787999999999997</v>
      </c>
      <c r="G65" s="469">
        <f t="shared" ca="1" si="4"/>
        <v>44.449072544073729</v>
      </c>
      <c r="H65" s="465">
        <f t="shared" ca="1" si="5"/>
        <v>3.6754281772967119E-4</v>
      </c>
      <c r="I65" s="465">
        <f t="shared" ca="1" si="6"/>
        <v>3.9250683345376736E-4</v>
      </c>
      <c r="J65" s="465">
        <f t="shared" ca="1" si="7"/>
        <v>460.24164078102069</v>
      </c>
      <c r="K65" s="472">
        <f t="shared" ca="1" si="8"/>
        <v>186.31233623096807</v>
      </c>
      <c r="L65" s="475">
        <f t="shared" ca="1" si="9"/>
        <v>1569.5474713343565</v>
      </c>
      <c r="M65" s="478">
        <f t="shared" ca="1" si="10"/>
        <v>18.654558052919189</v>
      </c>
    </row>
    <row r="66" spans="2:13" x14ac:dyDescent="0.25">
      <c r="B66" s="490">
        <f t="shared" si="12"/>
        <v>150</v>
      </c>
      <c r="C66" s="465">
        <f t="shared" si="1"/>
        <v>5.4118842196605428E-3</v>
      </c>
      <c r="D66" s="462">
        <f ca="1">MpropuPlein+1.75*MasseSans</f>
        <v>17.686</v>
      </c>
      <c r="E66" s="462">
        <f t="shared" ca="1" si="2"/>
        <v>16.749500000000001</v>
      </c>
      <c r="F66" s="462">
        <f t="shared" ca="1" si="3"/>
        <v>15.812999999999999</v>
      </c>
      <c r="G66" s="469">
        <f t="shared" ca="1" si="4"/>
        <v>37.889197807409978</v>
      </c>
      <c r="H66" s="465">
        <f t="shared" ca="1" si="5"/>
        <v>3.2310721034422174E-4</v>
      </c>
      <c r="I66" s="465">
        <f t="shared" ca="1" si="6"/>
        <v>3.4224272558404752E-4</v>
      </c>
      <c r="J66" s="465">
        <f t="shared" ca="1" si="7"/>
        <v>397.61575238187248</v>
      </c>
      <c r="K66" s="472">
        <f t="shared" ca="1" si="8"/>
        <v>163.00617463647359</v>
      </c>
      <c r="L66" s="475">
        <f t="shared" ca="1" si="9"/>
        <v>1355.9375027059409</v>
      </c>
      <c r="M66" s="478">
        <f t="shared" ca="1" si="10"/>
        <v>17.907610888307552</v>
      </c>
    </row>
    <row r="67" spans="2:13" x14ac:dyDescent="0.25">
      <c r="B67" s="491">
        <f t="shared" si="12"/>
        <v>150</v>
      </c>
      <c r="C67" s="466">
        <f t="shared" si="1"/>
        <v>5.4118842196605428E-3</v>
      </c>
      <c r="D67" s="463">
        <f ca="1">MpropuPlein+2*MasseSans</f>
        <v>19.710999999999999</v>
      </c>
      <c r="E67" s="463">
        <f t="shared" ca="1" si="2"/>
        <v>18.7745</v>
      </c>
      <c r="F67" s="463">
        <f t="shared" ca="1" si="3"/>
        <v>17.837999999999997</v>
      </c>
      <c r="G67" s="470">
        <f t="shared" ca="1" si="4"/>
        <v>32.744406970902745</v>
      </c>
      <c r="H67" s="466">
        <f t="shared" ca="1" si="5"/>
        <v>2.8825716901438348E-4</v>
      </c>
      <c r="I67" s="466">
        <f t="shared" ca="1" si="6"/>
        <v>3.0339075118626213E-4</v>
      </c>
      <c r="J67" s="466">
        <f t="shared" ca="1" si="7"/>
        <v>346.8762252300773</v>
      </c>
      <c r="K67" s="473">
        <f t="shared" ca="1" si="8"/>
        <v>143.48948899695833</v>
      </c>
      <c r="L67" s="476">
        <f t="shared" ca="1" si="9"/>
        <v>1158.8928176357633</v>
      </c>
      <c r="M67" s="479">
        <f t="shared" ca="1" si="10"/>
        <v>17.025346882958033</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9:D9"/>
    <mergeCell ref="C2:D3"/>
    <mergeCell ref="C4:D4"/>
    <mergeCell ref="C5:D5"/>
    <mergeCell ref="C7:D7"/>
    <mergeCell ref="C8:D8"/>
    <mergeCell ref="C10:D10"/>
    <mergeCell ref="C12:D12"/>
    <mergeCell ref="C14:D14"/>
    <mergeCell ref="C15:D15"/>
    <mergeCell ref="C16:D16"/>
    <mergeCell ref="C11:D11"/>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01" t="s">
        <v>179</v>
      </c>
      <c r="D2" s="701"/>
    </row>
    <row r="3" spans="3:8" x14ac:dyDescent="0.25">
      <c r="C3" s="701"/>
      <c r="D3" s="701"/>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Orignal (Pro75-3G C)</v>
      </c>
      <c r="F5" s="81"/>
      <c r="G5" s="81" t="s">
        <v>461</v>
      </c>
      <c r="H5" s="81">
        <f>MasseSans</f>
        <v>8.1</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0.64</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8.1</v>
      </c>
      <c r="F11" s="610" t="s">
        <v>124</v>
      </c>
      <c r="G11" s="610" t="s">
        <v>126</v>
      </c>
      <c r="H11" s="787">
        <f ca="1">Vsortie_de_rampe</f>
        <v>26.069893034762604</v>
      </c>
      <c r="I11" s="788"/>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89">
        <f>Finesse</f>
        <v>18</v>
      </c>
      <c r="I12" s="790"/>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89">
        <f>Cn</f>
        <v>19.135014339693754</v>
      </c>
      <c r="I13" s="790"/>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4.0935633310723798</v>
      </c>
      <c r="I14" s="612">
        <f ca="1">MS_max</f>
        <v>4.908027704600511</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78.330393040514522</v>
      </c>
      <c r="I15" s="612">
        <f ca="1">MS_Cn_max</f>
        <v>93.915180507144996</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15.610842974271021</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89">
        <f>T_para</f>
        <v>20</v>
      </c>
      <c r="I17" s="790"/>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1314</v>
      </c>
      <c r="F18" s="608" t="s">
        <v>131</v>
      </c>
      <c r="G18" s="608" t="s">
        <v>429</v>
      </c>
      <c r="H18" s="791">
        <f ca="1">T_para-Combustion-Depotage</f>
        <v>20</v>
      </c>
      <c r="I18" s="792"/>
      <c r="J18" s="81"/>
      <c r="K18" s="81"/>
      <c r="L18" s="81"/>
      <c r="M18" s="81"/>
      <c r="N18" s="97"/>
      <c r="O18" s="81"/>
      <c r="P18" s="499"/>
      <c r="Q18" s="505"/>
      <c r="R18" s="499"/>
      <c r="S18" s="499"/>
    </row>
    <row r="19" spans="2:21" x14ac:dyDescent="0.25">
      <c r="B19" s="96"/>
      <c r="C19" s="642"/>
      <c r="D19" s="317"/>
      <c r="E19" s="319"/>
      <c r="F19" s="615" t="s">
        <v>133</v>
      </c>
      <c r="G19" s="613" t="s">
        <v>428</v>
      </c>
      <c r="H19" s="793">
        <f ca="1">Portee_balistique</f>
        <v>1783.0236932133373</v>
      </c>
      <c r="I19" s="794"/>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950</v>
      </c>
      <c r="E23" s="631" t="s">
        <v>39</v>
      </c>
      <c r="F23" s="636">
        <f>m_ail</f>
        <v>220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1800</v>
      </c>
      <c r="E24" s="631" t="s">
        <v>445</v>
      </c>
      <c r="F24" s="636">
        <f>n_ail</f>
        <v>100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1800</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150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1800</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84" t="s">
        <v>142</v>
      </c>
      <c r="D29" s="784" t="s">
        <v>134</v>
      </c>
      <c r="E29" s="784" t="s">
        <v>135</v>
      </c>
      <c r="F29" s="784"/>
      <c r="G29" s="784"/>
      <c r="H29" s="785" t="s">
        <v>136</v>
      </c>
      <c r="I29" s="785"/>
      <c r="J29" s="785"/>
      <c r="K29" s="785"/>
      <c r="L29" s="784" t="s">
        <v>137</v>
      </c>
      <c r="M29" s="784" t="s">
        <v>138</v>
      </c>
      <c r="N29" s="97"/>
      <c r="O29" s="620" t="s">
        <v>432</v>
      </c>
      <c r="P29" s="511">
        <f>n_ail</f>
        <v>100</v>
      </c>
      <c r="Q29" s="2"/>
      <c r="R29" s="499"/>
      <c r="S29" s="499"/>
      <c r="T29" s="499"/>
      <c r="U29" s="609" t="s">
        <v>436</v>
      </c>
    </row>
    <row r="30" spans="2:21" ht="13.8" thickBot="1" x14ac:dyDescent="0.3">
      <c r="B30" s="96"/>
      <c r="C30" s="784"/>
      <c r="D30" s="784"/>
      <c r="E30" s="784"/>
      <c r="F30" s="784"/>
      <c r="G30" s="784"/>
      <c r="H30" s="785" t="s">
        <v>139</v>
      </c>
      <c r="I30" s="785"/>
      <c r="J30" s="91" t="s">
        <v>140</v>
      </c>
      <c r="K30" s="92" t="s">
        <v>141</v>
      </c>
      <c r="L30" s="784"/>
      <c r="M30" s="784"/>
      <c r="N30" s="97"/>
      <c r="P30" s="512"/>
      <c r="R30" s="499"/>
      <c r="S30" s="499"/>
      <c r="T30" s="619" t="s">
        <v>434</v>
      </c>
      <c r="U30" s="625">
        <f>[0]!p_can</f>
        <v>40</v>
      </c>
    </row>
    <row r="31" spans="2:21" ht="13.8" thickBot="1" x14ac:dyDescent="0.3">
      <c r="B31" s="96"/>
      <c r="C31" s="107">
        <f>Beta_rampe</f>
        <v>80</v>
      </c>
      <c r="D31" s="108">
        <f ca="1">Portee_balistique</f>
        <v>1783.0236932133373</v>
      </c>
      <c r="E31" s="783">
        <f ca="1">T_para+Dt_para</f>
        <v>189.59607945550385</v>
      </c>
      <c r="F31" s="783"/>
      <c r="G31" s="783"/>
      <c r="H31" s="786">
        <f ca="1">Altitude_culmi</f>
        <v>2690.3927303966475</v>
      </c>
      <c r="I31" s="786"/>
      <c r="J31" s="109">
        <f ca="1">Temps_culmi</f>
        <v>22.899999999999995</v>
      </c>
      <c r="K31" s="110">
        <f ca="1">Vit_culmi</f>
        <v>37.875213163727757</v>
      </c>
      <c r="L31" s="108">
        <f ca="1">Acc_max</f>
        <v>100.89733970828591</v>
      </c>
      <c r="M31" s="110">
        <f ca="1">Vit_max</f>
        <v>268.96092147040719</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150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8.1</v>
      </c>
      <c r="I41" s="8">
        <f ca="1">MasseVide</f>
        <v>9.7379999999999995</v>
      </c>
      <c r="J41" s="288">
        <f ca="1">MassePlein</f>
        <v>11.611000000000001</v>
      </c>
      <c r="K41" s="81"/>
      <c r="L41" s="81"/>
      <c r="M41" s="81"/>
      <c r="N41" s="97"/>
    </row>
    <row r="42" spans="2:21" x14ac:dyDescent="0.25">
      <c r="B42" s="96"/>
      <c r="C42" s="81"/>
      <c r="D42" s="324" t="s">
        <v>151</v>
      </c>
      <c r="E42" s="8">
        <f>X_ail-m_ail</f>
        <v>1580</v>
      </c>
      <c r="F42" s="299"/>
      <c r="G42" s="299" t="s">
        <v>219</v>
      </c>
      <c r="H42" s="311">
        <f>XcgSans</f>
        <v>950</v>
      </c>
      <c r="I42" s="311">
        <f ca="1">XcgVide</f>
        <v>1052.1016635859519</v>
      </c>
      <c r="J42" s="289">
        <f ca="1">XcgPlein</f>
        <v>1133.5481009387649</v>
      </c>
      <c r="K42" s="81"/>
      <c r="L42" s="81"/>
      <c r="M42" s="81"/>
      <c r="N42" s="97"/>
    </row>
    <row r="43" spans="2:21" x14ac:dyDescent="0.25">
      <c r="B43" s="96"/>
      <c r="C43" s="81"/>
      <c r="D43" s="324" t="str">
        <f>IF(Lang="Français","Emplanture 'm'",IF(Lang="English","Root edge  'm'",""))</f>
        <v>Emplanture 'm'</v>
      </c>
      <c r="E43" s="288">
        <f>m_ail</f>
        <v>220</v>
      </c>
      <c r="F43" s="81"/>
      <c r="G43" s="81"/>
      <c r="H43" s="81"/>
      <c r="I43" s="81"/>
      <c r="J43" s="81"/>
      <c r="K43" s="81"/>
      <c r="L43" s="81"/>
      <c r="M43" s="81"/>
      <c r="N43" s="97"/>
    </row>
    <row r="44" spans="2:21" x14ac:dyDescent="0.25">
      <c r="B44" s="96"/>
      <c r="C44" s="81"/>
      <c r="D44" s="324" t="str">
        <f>IF(Lang="Français","Saumon      'n'",IF(Lang="English","Tip edge    'n'",""))</f>
        <v>Saumon      'n'</v>
      </c>
      <c r="E44" s="288">
        <f>n_ail</f>
        <v>100</v>
      </c>
      <c r="F44" s="290" t="s">
        <v>203</v>
      </c>
      <c r="G44" s="290" t="s">
        <v>208</v>
      </c>
      <c r="H44" s="779">
        <f ca="1">Vsortie_de_rampe</f>
        <v>26.069893034762604</v>
      </c>
      <c r="I44" s="780"/>
      <c r="J44" s="81"/>
      <c r="K44" s="81"/>
      <c r="L44" s="81"/>
      <c r="M44" s="81"/>
      <c r="N44" s="97"/>
    </row>
    <row r="45" spans="2:21" x14ac:dyDescent="0.25">
      <c r="B45" s="96"/>
      <c r="C45" s="81"/>
      <c r="D45" s="324" t="str">
        <f>IF(Lang="Français","Flèche        'p'",IF(Lang="English","Offset         'p'",""))</f>
        <v>Flèche        'p'</v>
      </c>
      <c r="E45" s="288">
        <f>p_ail</f>
        <v>200</v>
      </c>
      <c r="F45" s="8" t="s">
        <v>204</v>
      </c>
      <c r="G45" s="8" t="s">
        <v>209</v>
      </c>
      <c r="H45" s="781">
        <f>Finesse</f>
        <v>18</v>
      </c>
      <c r="I45" s="782"/>
      <c r="J45" s="81"/>
      <c r="K45" s="81"/>
      <c r="L45" s="81"/>
      <c r="M45" s="81"/>
      <c r="N45" s="97"/>
    </row>
    <row r="46" spans="2:21" x14ac:dyDescent="0.25">
      <c r="B46" s="96"/>
      <c r="C46" s="81"/>
      <c r="D46" s="324" t="str">
        <f>IF(Lang="Français","Envergure   'E'",IF(Lang="English","Span          'E'",""))</f>
        <v>Envergure   'E'</v>
      </c>
      <c r="E46" s="288">
        <f>E_ail</f>
        <v>150</v>
      </c>
      <c r="F46" s="8" t="s">
        <v>205</v>
      </c>
      <c r="G46" s="8" t="s">
        <v>210</v>
      </c>
      <c r="H46" s="781">
        <f>Cn</f>
        <v>19.135014339693754</v>
      </c>
      <c r="I46" s="782"/>
      <c r="J46" s="81"/>
      <c r="K46" s="81"/>
      <c r="L46" s="81"/>
      <c r="M46" s="81"/>
      <c r="N46" s="97"/>
    </row>
    <row r="47" spans="2:21" x14ac:dyDescent="0.25">
      <c r="B47" s="96"/>
      <c r="C47" s="81"/>
      <c r="D47" s="324" t="s">
        <v>145</v>
      </c>
      <c r="E47" s="288">
        <f>ep_ail</f>
        <v>2</v>
      </c>
      <c r="F47" s="8" t="s">
        <v>206</v>
      </c>
      <c r="G47" s="8" t="s">
        <v>211</v>
      </c>
      <c r="H47" s="291">
        <f ca="1">MS_min</f>
        <v>4.0935633310723798</v>
      </c>
      <c r="I47" s="298">
        <f ca="1">MS_max</f>
        <v>4.908027704600511</v>
      </c>
      <c r="J47" s="81"/>
      <c r="K47" s="81"/>
      <c r="L47" s="81"/>
      <c r="M47" s="81"/>
      <c r="N47" s="97"/>
    </row>
    <row r="48" spans="2:21" x14ac:dyDescent="0.25">
      <c r="B48" s="96"/>
      <c r="C48" s="81"/>
      <c r="D48" s="324" t="s">
        <v>146</v>
      </c>
      <c r="E48" s="288">
        <f>Q_ail</f>
        <v>4</v>
      </c>
      <c r="F48" s="322" t="s">
        <v>207</v>
      </c>
      <c r="G48" s="322" t="s">
        <v>212</v>
      </c>
      <c r="H48" s="300">
        <f ca="1">MS_Cn_min</f>
        <v>78.330393040514522</v>
      </c>
      <c r="I48" s="312">
        <f ca="1">MS_Cn_max</f>
        <v>93.915180507144996</v>
      </c>
      <c r="J48" s="81"/>
      <c r="K48" s="81"/>
      <c r="L48" s="81"/>
      <c r="M48" s="81"/>
      <c r="N48" s="97"/>
    </row>
    <row r="49" spans="2:14" x14ac:dyDescent="0.25">
      <c r="B49" s="96"/>
      <c r="C49" s="81"/>
      <c r="D49" s="324" t="s">
        <v>149</v>
      </c>
      <c r="E49" s="288">
        <f ca="1">XpropuRef-Long_propu</f>
        <v>1314</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1800</v>
      </c>
      <c r="F51" s="81"/>
      <c r="G51" s="324" t="s">
        <v>213</v>
      </c>
      <c r="H51" s="8">
        <f>Sref</f>
        <v>9.0539816339744832E-3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400</v>
      </c>
      <c r="F53" s="81"/>
      <c r="G53" s="327" t="s">
        <v>216</v>
      </c>
      <c r="H53" s="304">
        <f ca="1">Temps_culmi</f>
        <v>22.899999999999995</v>
      </c>
      <c r="I53" s="305"/>
      <c r="J53" s="316"/>
      <c r="K53" s="81"/>
      <c r="L53" s="81"/>
      <c r="M53" s="81"/>
      <c r="N53" s="97"/>
    </row>
    <row r="54" spans="2:14" x14ac:dyDescent="0.25">
      <c r="B54" s="96"/>
      <c r="C54" s="81"/>
      <c r="D54" s="81"/>
      <c r="E54" s="81"/>
      <c r="F54" s="81"/>
      <c r="G54" s="327" t="s">
        <v>217</v>
      </c>
      <c r="H54" s="286">
        <f ca="1">Altitude_culmi</f>
        <v>2690.3927303966475</v>
      </c>
      <c r="I54" s="305"/>
      <c r="J54" s="316"/>
      <c r="K54" s="81"/>
      <c r="L54" s="81"/>
      <c r="M54" s="81"/>
      <c r="N54" s="97"/>
    </row>
    <row r="55" spans="2:14" x14ac:dyDescent="0.25">
      <c r="B55" s="96"/>
      <c r="C55" s="323" t="s">
        <v>234</v>
      </c>
      <c r="D55" s="293" t="s">
        <v>61</v>
      </c>
      <c r="E55" s="287">
        <f>Long_tot</f>
        <v>1800</v>
      </c>
      <c r="F55" s="81"/>
      <c r="G55" s="327" t="s">
        <v>218</v>
      </c>
      <c r="H55" s="306">
        <f ca="1">Vit_culmi</f>
        <v>37.875213163727757</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1783.0236932133373</v>
      </c>
      <c r="I56" s="305"/>
      <c r="J56" s="316"/>
      <c r="K56" s="81"/>
      <c r="L56" s="81"/>
      <c r="M56" s="81"/>
      <c r="N56" s="97"/>
    </row>
    <row r="57" spans="2:14" x14ac:dyDescent="0.25">
      <c r="B57" s="96"/>
      <c r="C57" s="324"/>
      <c r="D57" s="2" t="s">
        <v>221</v>
      </c>
      <c r="E57" s="288">
        <f>E_ail*2+D_ail</f>
        <v>400</v>
      </c>
      <c r="F57" s="81"/>
      <c r="G57" s="327" t="s">
        <v>215</v>
      </c>
      <c r="H57" s="307">
        <f ca="1">T_balistique</f>
        <v>49.200000000000365</v>
      </c>
      <c r="I57" s="305"/>
      <c r="J57" s="316"/>
      <c r="K57" s="81"/>
      <c r="L57" s="81"/>
      <c r="M57" s="81"/>
      <c r="N57" s="97"/>
    </row>
    <row r="58" spans="2:14" x14ac:dyDescent="0.25">
      <c r="B58" s="96"/>
      <c r="C58" s="324"/>
      <c r="D58" s="2" t="s">
        <v>222</v>
      </c>
      <c r="E58" s="288">
        <f ca="1">MassePlein</f>
        <v>11.611000000000001</v>
      </c>
      <c r="F58" s="81"/>
      <c r="G58" s="327" t="s">
        <v>138</v>
      </c>
      <c r="H58" s="306">
        <f ca="1">Vit_max</f>
        <v>268.96092147040719</v>
      </c>
      <c r="I58" s="305"/>
      <c r="J58" s="316"/>
      <c r="K58" s="81"/>
      <c r="L58" s="81"/>
      <c r="M58" s="81"/>
      <c r="N58" s="97"/>
    </row>
    <row r="59" spans="2:14" x14ac:dyDescent="0.25">
      <c r="B59" s="96"/>
      <c r="C59" s="325" t="s">
        <v>235</v>
      </c>
      <c r="D59" s="299" t="s">
        <v>146</v>
      </c>
      <c r="E59" s="308">
        <f>Q_ail</f>
        <v>4</v>
      </c>
      <c r="F59" s="81"/>
      <c r="G59" s="327" t="s">
        <v>137</v>
      </c>
      <c r="H59" s="307">
        <f ca="1">Acc_max</f>
        <v>100.89733970828591</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2343.0380227058154</v>
      </c>
      <c r="F62" s="330">
        <f ca="1">E62/9.81</f>
        <v>238.84179640222376</v>
      </c>
      <c r="H62" s="19"/>
      <c r="I62" s="19"/>
      <c r="J62" s="19"/>
      <c r="K62" s="2"/>
      <c r="L62" s="81"/>
      <c r="M62" s="81"/>
      <c r="N62" s="97"/>
    </row>
    <row r="63" spans="2:14" x14ac:dyDescent="0.25">
      <c r="B63" s="96"/>
      <c r="C63" s="324"/>
      <c r="D63" s="2" t="s">
        <v>224</v>
      </c>
      <c r="E63" s="286">
        <f ca="1">2*Acc_max*Masse_ail</f>
        <v>19.372289223990897</v>
      </c>
      <c r="F63" s="292">
        <f ca="1">E63/9.81</f>
        <v>1.974749156370122</v>
      </c>
      <c r="G63" s="290" t="s">
        <v>230</v>
      </c>
      <c r="H63" s="338">
        <f>S_ail*(ep_ail/1000)*2000</f>
        <v>9.6000000000000002E-2</v>
      </c>
      <c r="I63" s="19"/>
      <c r="J63" s="19"/>
      <c r="K63" s="2"/>
      <c r="L63" s="81"/>
      <c r="M63" s="81"/>
      <c r="N63" s="97"/>
    </row>
    <row r="64" spans="2:14" x14ac:dyDescent="0.25">
      <c r="B64" s="96"/>
      <c r="C64" s="325"/>
      <c r="D64" s="299" t="s">
        <v>225</v>
      </c>
      <c r="E64" s="311">
        <f ca="1">0.104*S_ail*Vit_max^2</f>
        <v>180.5605832864135</v>
      </c>
      <c r="F64" s="331">
        <f ca="1">E64/9.81</f>
        <v>18.405767919104331</v>
      </c>
      <c r="G64" s="322" t="s">
        <v>229</v>
      </c>
      <c r="H64" s="339">
        <f>(E_ail*(m_ail+n_ail)/2)/10^6</f>
        <v>2.4E-2</v>
      </c>
      <c r="I64" s="19"/>
      <c r="J64" s="19"/>
      <c r="K64" s="19"/>
      <c r="L64" s="81"/>
      <c r="M64" s="81"/>
      <c r="N64" s="97"/>
    </row>
    <row r="65" spans="2:14" x14ac:dyDescent="0.25">
      <c r="B65" s="96"/>
      <c r="C65" s="332" t="s">
        <v>243</v>
      </c>
      <c r="D65" s="335" t="s">
        <v>241</v>
      </c>
      <c r="E65" s="336">
        <f ca="1">2*Acc_max*H65</f>
        <v>1171.5190113529077</v>
      </c>
      <c r="F65" s="336">
        <f ca="1">E65/9.81</f>
        <v>119.42089820111188</v>
      </c>
      <c r="G65" s="337" t="s">
        <v>242</v>
      </c>
      <c r="H65" s="328">
        <f ca="1">E58/2</f>
        <v>5.8055000000000003</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20</v>
      </c>
      <c r="I67" s="295">
        <f ca="1">Temps_culmi</f>
        <v>22.899999999999995</v>
      </c>
      <c r="J67" s="19"/>
      <c r="K67" s="19"/>
      <c r="L67" s="81"/>
      <c r="M67" s="81"/>
      <c r="N67" s="97"/>
    </row>
    <row r="68" spans="2:14" x14ac:dyDescent="0.25">
      <c r="B68" s="96"/>
      <c r="C68" s="326"/>
      <c r="D68" s="19"/>
      <c r="E68" s="19"/>
      <c r="F68" s="323" t="s">
        <v>232</v>
      </c>
      <c r="G68" s="293" t="s">
        <v>130</v>
      </c>
      <c r="H68" s="294">
        <f ca="1">V_para</f>
        <v>15.610842974271021</v>
      </c>
      <c r="I68" s="295">
        <f>V_satellite</f>
        <v>12.655562623057198</v>
      </c>
      <c r="J68" s="19"/>
      <c r="K68" s="19"/>
      <c r="L68" s="81"/>
      <c r="M68" s="81"/>
      <c r="N68" s="97"/>
    </row>
    <row r="69" spans="2:14" x14ac:dyDescent="0.25">
      <c r="B69" s="96"/>
      <c r="C69" s="326"/>
      <c r="D69" s="19"/>
      <c r="E69" s="19"/>
      <c r="F69" s="324"/>
      <c r="G69" s="2" t="s">
        <v>238</v>
      </c>
      <c r="H69" s="291">
        <f>S_para</f>
        <v>0.64</v>
      </c>
      <c r="I69" s="297">
        <f>S_satellite</f>
        <v>0.1</v>
      </c>
      <c r="J69" s="19"/>
      <c r="K69" s="19"/>
      <c r="L69" s="81"/>
      <c r="M69" s="81"/>
      <c r="N69" s="97"/>
    </row>
    <row r="70" spans="2:14" x14ac:dyDescent="0.25">
      <c r="B70" s="96"/>
      <c r="C70" s="285"/>
      <c r="D70" s="2"/>
      <c r="E70" s="81"/>
      <c r="F70" s="324"/>
      <c r="G70" s="2" t="s">
        <v>237</v>
      </c>
      <c r="H70" s="291">
        <f ca="1">V_ouverture</f>
        <v>48.684789210097016</v>
      </c>
      <c r="I70" s="297">
        <f ca="1">V_ouv_sat</f>
        <v>240.08443214469884</v>
      </c>
      <c r="L70" s="81"/>
      <c r="M70" s="81"/>
      <c r="N70" s="97"/>
    </row>
    <row r="71" spans="2:14" x14ac:dyDescent="0.25">
      <c r="B71" s="96"/>
      <c r="C71" s="265"/>
      <c r="E71" s="81"/>
      <c r="F71" s="324"/>
      <c r="G71" s="2" t="s">
        <v>202</v>
      </c>
      <c r="H71" s="291">
        <f ca="1">m_vide</f>
        <v>9.7379999999999995</v>
      </c>
      <c r="I71" s="297">
        <f>m_satellite</f>
        <v>1</v>
      </c>
      <c r="J71" s="81"/>
      <c r="K71" s="81"/>
      <c r="L71" s="81"/>
      <c r="M71" s="81"/>
      <c r="N71" s="97"/>
    </row>
    <row r="72" spans="2:14" x14ac:dyDescent="0.25">
      <c r="B72" s="96"/>
      <c r="C72" s="265"/>
      <c r="E72" s="81"/>
      <c r="F72" s="324"/>
      <c r="G72" s="2" t="s">
        <v>239</v>
      </c>
      <c r="H72" s="333">
        <f ca="1">1/2*Rho_moyen*S_para*V_ouverture^2</f>
        <v>929.12181056917905</v>
      </c>
      <c r="I72" s="334">
        <f ca="1">1/2*Rho_moyen*S_satellite*V_ouv_sat^2</f>
        <v>3530.4827416923536</v>
      </c>
      <c r="J72" s="81"/>
      <c r="K72" s="81"/>
      <c r="L72" s="81"/>
      <c r="M72" s="81"/>
      <c r="N72" s="97"/>
    </row>
    <row r="73" spans="2:14" x14ac:dyDescent="0.25">
      <c r="B73" s="96"/>
      <c r="C73" s="81"/>
      <c r="D73" s="2"/>
      <c r="E73" s="81"/>
      <c r="F73" s="325"/>
      <c r="G73" s="299" t="s">
        <v>240</v>
      </c>
      <c r="H73" s="300">
        <f ca="1">H72/9.81</f>
        <v>94.711703421934658</v>
      </c>
      <c r="I73" s="301">
        <f ca="1">I72/9.81</f>
        <v>359.88611026425622</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44882</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Orignal (Pro75-3G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1580</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220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1314</v>
      </c>
      <c r="F101" s="296"/>
      <c r="G101" s="499"/>
      <c r="H101" s="499"/>
      <c r="I101" s="499"/>
      <c r="J101" s="511">
        <f>n_ail</f>
        <v>100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150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8.1</v>
      </c>
      <c r="F107" s="288">
        <f ca="1">MassePlein</f>
        <v>11.611000000000001</v>
      </c>
      <c r="G107" s="81"/>
      <c r="H107" s="81"/>
      <c r="I107" s="81"/>
      <c r="J107" s="81"/>
      <c r="K107" s="81"/>
      <c r="L107" s="81"/>
      <c r="M107" s="81"/>
      <c r="N107" s="97"/>
    </row>
    <row r="108" spans="2:14" x14ac:dyDescent="0.25">
      <c r="B108" s="96"/>
      <c r="C108" s="81"/>
      <c r="D108" s="496" t="s">
        <v>354</v>
      </c>
      <c r="E108" s="322">
        <f>XcgSans</f>
        <v>950</v>
      </c>
      <c r="F108" s="308">
        <f ca="1">XcgPlein</f>
        <v>1133.5481009387649</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9.7379999999999995</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22.899999999999995</v>
      </c>
      <c r="I112" s="305"/>
      <c r="J112" s="316"/>
      <c r="K112" s="81"/>
      <c r="L112" s="81"/>
      <c r="M112" s="81"/>
      <c r="N112" s="97"/>
    </row>
    <row r="113" spans="2:14" ht="12.75" customHeight="1" x14ac:dyDescent="0.3">
      <c r="B113" s="96"/>
      <c r="C113" s="81"/>
      <c r="D113" s="504" t="s">
        <v>359</v>
      </c>
      <c r="E113" s="499"/>
      <c r="F113" s="81"/>
      <c r="G113" s="327" t="s">
        <v>217</v>
      </c>
      <c r="H113" s="286">
        <f ca="1">Altitude_culmi</f>
        <v>2690.3927303966475</v>
      </c>
      <c r="I113" s="305"/>
      <c r="J113" s="316"/>
      <c r="K113" s="81"/>
      <c r="L113" s="81"/>
      <c r="M113" s="81"/>
      <c r="N113" s="97"/>
    </row>
    <row r="114" spans="2:14" ht="12.75" customHeight="1" x14ac:dyDescent="0.3">
      <c r="B114" s="96"/>
      <c r="C114" s="81"/>
      <c r="D114" s="499"/>
      <c r="E114" s="499"/>
      <c r="F114" s="504"/>
      <c r="G114" s="327" t="s">
        <v>218</v>
      </c>
      <c r="H114" s="306">
        <f ca="1">Vit_culmi</f>
        <v>37.875213163727757</v>
      </c>
      <c r="I114" s="305"/>
      <c r="J114" s="316"/>
      <c r="K114" s="81"/>
      <c r="L114" s="81"/>
      <c r="M114" s="81"/>
      <c r="N114" s="97"/>
    </row>
    <row r="115" spans="2:14" x14ac:dyDescent="0.25">
      <c r="B115" s="96"/>
      <c r="C115" s="518" t="s">
        <v>360</v>
      </c>
      <c r="D115" s="519"/>
      <c r="E115" s="520">
        <v>0.1</v>
      </c>
      <c r="F115" s="81"/>
      <c r="G115" s="327" t="s">
        <v>134</v>
      </c>
      <c r="H115" s="307">
        <f ca="1">Portee_balistique</f>
        <v>1783.0236932133373</v>
      </c>
      <c r="I115" s="305"/>
      <c r="J115" s="316"/>
      <c r="K115" s="81"/>
      <c r="L115" s="81"/>
      <c r="M115" s="81"/>
      <c r="N115" s="97"/>
    </row>
    <row r="116" spans="2:14" ht="12.75" customHeight="1" x14ac:dyDescent="0.25">
      <c r="B116" s="96"/>
      <c r="C116" s="521" t="s">
        <v>361</v>
      </c>
      <c r="D116" s="522"/>
      <c r="E116" s="523">
        <f>E_ail*(m_ail+n_ail)/2</f>
        <v>24000</v>
      </c>
      <c r="F116" s="81"/>
      <c r="G116" s="327" t="s">
        <v>138</v>
      </c>
      <c r="H116" s="306">
        <f ca="1">Vit_max</f>
        <v>268.96092147040719</v>
      </c>
      <c r="I116" s="305"/>
      <c r="J116" s="316"/>
      <c r="K116" s="81"/>
      <c r="L116" s="81"/>
      <c r="M116" s="81"/>
      <c r="N116" s="97"/>
    </row>
    <row r="117" spans="2:14" ht="12.75" customHeight="1" x14ac:dyDescent="0.25">
      <c r="B117" s="96"/>
      <c r="C117" s="81"/>
      <c r="D117" s="499"/>
      <c r="E117" s="499"/>
      <c r="F117" s="499"/>
      <c r="G117" s="327" t="s">
        <v>137</v>
      </c>
      <c r="H117" s="307">
        <f ca="1">Acc_max</f>
        <v>100.89733970828591</v>
      </c>
      <c r="I117" s="305"/>
      <c r="J117" s="316"/>
      <c r="K117" s="81"/>
      <c r="L117" s="81"/>
      <c r="M117" s="81"/>
      <c r="N117" s="97"/>
    </row>
    <row r="118" spans="2:14" x14ac:dyDescent="0.25">
      <c r="B118" s="96"/>
      <c r="C118" s="525" t="s">
        <v>362</v>
      </c>
      <c r="D118" s="526"/>
      <c r="E118" s="539"/>
      <c r="F118" s="540">
        <f>J90/100</f>
        <v>15.8</v>
      </c>
      <c r="G118" s="324" t="s">
        <v>5</v>
      </c>
      <c r="H118" s="8">
        <f>Cx</f>
        <v>0.5</v>
      </c>
      <c r="I118" s="305"/>
      <c r="J118" s="316"/>
      <c r="K118" s="81"/>
      <c r="L118" s="81"/>
      <c r="M118" s="81"/>
      <c r="N118" s="97"/>
    </row>
    <row r="119" spans="2:14" x14ac:dyDescent="0.25">
      <c r="B119" s="96"/>
      <c r="C119" s="527" t="s">
        <v>363</v>
      </c>
      <c r="D119" s="528"/>
      <c r="E119" s="541">
        <f ca="1">2*Acc_max*MasseSans</f>
        <v>1634.5369032742317</v>
      </c>
      <c r="F119" s="542">
        <f ca="1">E119/g</f>
        <v>166.61946006872901</v>
      </c>
      <c r="G119" s="317" t="s">
        <v>223</v>
      </c>
      <c r="H119" s="318"/>
      <c r="I119" s="318"/>
      <c r="J119" s="319"/>
      <c r="K119" s="81"/>
      <c r="L119" s="81"/>
      <c r="M119" s="81"/>
      <c r="N119" s="97"/>
    </row>
    <row r="120" spans="2:14" x14ac:dyDescent="0.25">
      <c r="B120" s="96"/>
      <c r="C120" s="527" t="s">
        <v>364</v>
      </c>
      <c r="D120" s="528"/>
      <c r="E120" s="541">
        <f ca="1">2*Acc_max*E115</f>
        <v>20.179467941657183</v>
      </c>
      <c r="F120" s="542">
        <f ca="1">E120/g</f>
        <v>2.0570303712188767</v>
      </c>
      <c r="G120" s="81"/>
      <c r="H120" s="81"/>
      <c r="I120" s="81"/>
      <c r="J120" s="81"/>
      <c r="K120" s="81"/>
      <c r="L120" s="81"/>
      <c r="M120" s="81"/>
      <c r="N120" s="97"/>
    </row>
    <row r="121" spans="2:14" x14ac:dyDescent="0.25">
      <c r="B121" s="96"/>
      <c r="C121" s="529" t="s">
        <v>365</v>
      </c>
      <c r="D121" s="530"/>
      <c r="E121" s="534">
        <f ca="1">0.104*E116/1000000*Vit_max^2</f>
        <v>180.5605832864135</v>
      </c>
      <c r="F121" s="535">
        <f ca="1">E121/g</f>
        <v>18.405767919104331</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0.64</v>
      </c>
      <c r="F127" s="509"/>
      <c r="G127" s="499"/>
      <c r="H127" s="81"/>
      <c r="I127" s="81"/>
      <c r="J127" s="499"/>
      <c r="K127" s="81"/>
      <c r="L127" s="81"/>
      <c r="M127" s="81"/>
      <c r="N127" s="97"/>
    </row>
    <row r="128" spans="2:14" x14ac:dyDescent="0.25">
      <c r="B128" s="96"/>
      <c r="C128" s="775" t="s">
        <v>370</v>
      </c>
      <c r="D128" s="776"/>
      <c r="E128" s="532">
        <f ca="1">0.5*Rho_moyen*S_para*Vit_culmi^2</f>
        <v>562.33645470154397</v>
      </c>
      <c r="F128" s="533">
        <f ca="1">E128/g</f>
        <v>57.322778257038117</v>
      </c>
      <c r="G128" s="509"/>
      <c r="H128" s="499"/>
      <c r="I128" s="499"/>
      <c r="J128" s="499"/>
      <c r="K128" s="499"/>
      <c r="L128" s="81"/>
      <c r="M128" s="81"/>
      <c r="N128" s="97"/>
    </row>
    <row r="129" spans="2:14" x14ac:dyDescent="0.25">
      <c r="B129" s="96"/>
      <c r="C129" s="777" t="s">
        <v>371</v>
      </c>
      <c r="D129" s="778"/>
      <c r="E129" s="534">
        <f ca="1">E128/E126*2</f>
        <v>281.16822735077199</v>
      </c>
      <c r="F129" s="535">
        <f ca="1">E129/g</f>
        <v>28.661389128519058</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75" t="s">
        <v>373</v>
      </c>
      <c r="D132" s="776"/>
      <c r="E132" s="536">
        <v>1</v>
      </c>
      <c r="F132" s="499"/>
      <c r="G132" s="499"/>
      <c r="H132" s="499"/>
      <c r="I132" s="499"/>
      <c r="J132" s="513"/>
      <c r="K132" s="499"/>
      <c r="L132" s="81"/>
      <c r="M132" s="81"/>
      <c r="N132" s="97"/>
    </row>
    <row r="133" spans="2:14" x14ac:dyDescent="0.25">
      <c r="B133" s="96"/>
      <c r="C133" s="773" t="s">
        <v>374</v>
      </c>
      <c r="D133" s="774"/>
      <c r="E133" s="537">
        <f ca="1">2*E132*Acc_max/g</f>
        <v>20.570303712188768</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2022-11-17T13:39:25Z</dcterms:modified>
</cp:coreProperties>
</file>