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_DesktopReal\152.AJUSTES_XLS_UX\templates\"/>
    </mc:Choice>
  </mc:AlternateContent>
  <xr:revisionPtr revIDLastSave="0" documentId="13_ncr:1_{82304215-DF5E-4894-B0B7-90A1E65A1F0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_DETALHE" sheetId="15" state="hidden" r:id="rId15"/>
    <sheet name="RESULTADOS" sheetId="20" r:id="rId16"/>
  </sheets>
  <definedNames>
    <definedName name="AJUSTE_MANUAL_VTA">MEMORIA_RESULTADOS!$B$24</definedName>
    <definedName name="AJUSTES_DEVIDOS">RESULTADOS_DETALHE!$B$84</definedName>
    <definedName name="_xlnm.Print_Area" localSheetId="15">RESULTADOS!$B$1:$G$71</definedName>
    <definedName name="_xlnm.Print_Area" localSheetId="14">RESULTADOS_DETALHE!$A$1:$H$50</definedName>
    <definedName name="AUDITORIA_ABERTURA_STATUS">RESULTADOS_DETALHE!$H$11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RESULTADOS_DETALHE!$H$10</definedName>
    <definedName name="AUDITORIA_ULTIMA_REFERENCIA_ABERTURA">MEMORIA_RESULTADOS!$W$48</definedName>
    <definedName name="CONFERENCIA_FORMACAO_VTA">RESULTADOS_DETALHE!$B$87</definedName>
    <definedName name="EXECUCAO_ATUALIZADA_CICLO">RESULTADOS_DETALHE!$B$36</definedName>
    <definedName name="EXECUTADO_APURADO">RESULTADOS_DETALHE!$B$83</definedName>
    <definedName name="JUSTIFICATIVA_RETRO">MEMORIA_RESULTADOS!$D$5</definedName>
    <definedName name="METODO_RETROATIVO">MEMORIA_RESULTADOS!$B$4</definedName>
    <definedName name="OPCOES_APLICAR_MANUAL">RESULTADOS_DETALHE!$J$2:$J$3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RESULTADOS_DETALHE!$B$38</definedName>
    <definedName name="STATUS_RESULTADOS">RESULTADOS_DETALHE!$B$3</definedName>
    <definedName name="TOLERANCIA_DIVERGENCIA">MEMORIA_RESULTADOS!$D$4</definedName>
    <definedName name="VALOR_MANUAL_RETRO">MEMORIA_RESULTADOS!$B$5</definedName>
    <definedName name="VTA_ATUALIZACAO_CHEIA">RESULTADOS_DETALHE!$B$12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3" l="1"/>
  <c r="G39" i="20"/>
  <c r="F39" i="20"/>
  <c r="E39" i="20"/>
  <c r="D39" i="20"/>
  <c r="C39" i="20"/>
  <c r="B39" i="20"/>
  <c r="G38" i="20"/>
  <c r="F38" i="20"/>
  <c r="E38" i="20"/>
  <c r="D38" i="20"/>
  <c r="C38" i="20"/>
  <c r="B38" i="20"/>
  <c r="G37" i="20"/>
  <c r="F37" i="20"/>
  <c r="E37" i="20"/>
  <c r="D37" i="20"/>
  <c r="C37" i="20"/>
  <c r="B37" i="20"/>
  <c r="G36" i="20"/>
  <c r="F36" i="20"/>
  <c r="E36" i="20"/>
  <c r="D36" i="20"/>
  <c r="C36" i="20"/>
  <c r="B36" i="20"/>
  <c r="G35" i="20"/>
  <c r="F35" i="20"/>
  <c r="E35" i="20"/>
  <c r="D35" i="20"/>
  <c r="C35" i="20"/>
  <c r="B35" i="20"/>
  <c r="C31" i="20"/>
  <c r="B20" i="20"/>
  <c r="B19" i="20"/>
  <c r="B18" i="20"/>
  <c r="D17" i="20"/>
  <c r="E10" i="20"/>
  <c r="C10" i="20"/>
  <c r="E6" i="20"/>
  <c r="D6" i="20"/>
  <c r="C6" i="20"/>
  <c r="W82" i="14"/>
  <c r="W95" i="14" s="1"/>
  <c r="W81" i="14"/>
  <c r="W80" i="14"/>
  <c r="V82" i="14"/>
  <c r="V81" i="14"/>
  <c r="V80" i="14"/>
  <c r="U82" i="14"/>
  <c r="U95" i="14" s="1"/>
  <c r="U81" i="14"/>
  <c r="U80" i="14"/>
  <c r="T82" i="14"/>
  <c r="T81" i="14"/>
  <c r="T80" i="14"/>
  <c r="AG6" i="6"/>
  <c r="AF6" i="6" s="1"/>
  <c r="Y6" i="6"/>
  <c r="AG5" i="6"/>
  <c r="AB5" i="6" s="1"/>
  <c r="Y5" i="6"/>
  <c r="AG4" i="6"/>
  <c r="AE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E48" i="20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AD2" i="6" s="1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D15" i="20" l="1"/>
  <c r="B66" i="20"/>
  <c r="C66" i="20"/>
  <c r="D16" i="20"/>
  <c r="D66" i="20"/>
  <c r="B68" i="20"/>
  <c r="C68" i="20"/>
  <c r="C18" i="20"/>
  <c r="B62" i="20"/>
  <c r="D68" i="20"/>
  <c r="B6" i="20"/>
  <c r="B64" i="20"/>
  <c r="B69" i="20"/>
  <c r="D19" i="20"/>
  <c r="C64" i="20"/>
  <c r="C69" i="20"/>
  <c r="D64" i="20"/>
  <c r="D69" i="20"/>
  <c r="B65" i="20"/>
  <c r="B70" i="20"/>
  <c r="C65" i="20"/>
  <c r="C70" i="20"/>
  <c r="D10" i="20"/>
  <c r="D65" i="20"/>
  <c r="D70" i="20"/>
  <c r="D9" i="20"/>
  <c r="D14" i="20"/>
  <c r="D18" i="20"/>
  <c r="B63" i="20"/>
  <c r="B67" i="20"/>
  <c r="B71" i="20"/>
  <c r="C63" i="20"/>
  <c r="C67" i="20"/>
  <c r="C71" i="20"/>
  <c r="C19" i="20"/>
  <c r="D63" i="20"/>
  <c r="D67" i="20"/>
  <c r="D71" i="20"/>
  <c r="U84" i="14"/>
  <c r="U93" i="14" s="1"/>
  <c r="T84" i="14"/>
  <c r="T93" i="14" s="1"/>
  <c r="U90" i="14"/>
  <c r="V84" i="14"/>
  <c r="V87" i="14" s="1"/>
  <c r="W84" i="14"/>
  <c r="W85" i="14" s="1"/>
  <c r="W90" i="14"/>
  <c r="T83" i="14"/>
  <c r="T95" i="14"/>
  <c r="V83" i="14"/>
  <c r="V95" i="14"/>
  <c r="U83" i="14"/>
  <c r="W83" i="14"/>
  <c r="T90" i="14"/>
  <c r="V90" i="14"/>
  <c r="AE3" i="6"/>
  <c r="AB6" i="6"/>
  <c r="AC2" i="6"/>
  <c r="AB2" i="6"/>
  <c r="AF4" i="6"/>
  <c r="AC6" i="6"/>
  <c r="AE6" i="6"/>
  <c r="AC5" i="6"/>
  <c r="T75" i="14"/>
  <c r="T74" i="14" s="1"/>
  <c r="AE5" i="6"/>
  <c r="AF5" i="6"/>
  <c r="AF3" i="6"/>
  <c r="AB4" i="6"/>
  <c r="AC4" i="6"/>
  <c r="D10" i="14"/>
  <c r="E10" i="14" s="1"/>
  <c r="AF2" i="6"/>
  <c r="AB3" i="6"/>
  <c r="T46" i="14"/>
  <c r="T45" i="14"/>
  <c r="T44" i="14"/>
  <c r="T43" i="14"/>
  <c r="T42" i="14"/>
  <c r="A81" i="15"/>
  <c r="D8" i="15"/>
  <c r="C8" i="15"/>
  <c r="A8" i="15"/>
  <c r="A6" i="15"/>
  <c r="A4" i="15"/>
  <c r="B84" i="15"/>
  <c r="C15" i="20" s="1"/>
  <c r="A84" i="15"/>
  <c r="B15" i="20" s="1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26" i="20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F6" i="20" s="1"/>
  <c r="F9" i="20" s="1"/>
  <c r="F10" i="20" s="1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B5" i="15"/>
  <c r="C84" i="15" s="1"/>
  <c r="D261" i="14"/>
  <c r="C261" i="14"/>
  <c r="D35" i="14"/>
  <c r="D259" i="14"/>
  <c r="D260" i="14"/>
  <c r="C258" i="14"/>
  <c r="C260" i="14"/>
  <c r="F35" i="14"/>
  <c r="H4" i="14"/>
  <c r="D262" i="14"/>
  <c r="D16" i="14"/>
  <c r="L96" i="14"/>
  <c r="N96" i="14"/>
  <c r="M96" i="14"/>
  <c r="Q96" i="14"/>
  <c r="P96" i="14"/>
  <c r="O96" i="14"/>
  <c r="K96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W89" i="12"/>
  <c r="U89" i="12"/>
  <c r="Q89" i="12"/>
  <c r="P89" i="12"/>
  <c r="V91" i="12"/>
  <c r="N91" i="12"/>
  <c r="A144" i="14"/>
  <c r="P92" i="12"/>
  <c r="U92" i="12"/>
  <c r="T92" i="12"/>
  <c r="B92" i="12"/>
  <c r="B93" i="11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AB164" i="5" l="1"/>
  <c r="Q64" i="5"/>
  <c r="E89" i="12"/>
  <c r="H90" i="11" s="1"/>
  <c r="C135" i="14"/>
  <c r="Q163" i="5"/>
  <c r="BB163" i="5" s="1"/>
  <c r="D171" i="11"/>
  <c r="D107" i="11"/>
  <c r="F125" i="12"/>
  <c r="K126" i="11" s="1"/>
  <c r="E183" i="12"/>
  <c r="H184" i="11" s="1"/>
  <c r="J184" i="11" s="1"/>
  <c r="D118" i="12"/>
  <c r="E119" i="11" s="1"/>
  <c r="G119" i="11" s="1"/>
  <c r="Q75" i="5"/>
  <c r="BB75" i="5" s="1"/>
  <c r="E34" i="12"/>
  <c r="H35" i="11" s="1"/>
  <c r="J35" i="11" s="1"/>
  <c r="E168" i="12"/>
  <c r="H169" i="11" s="1"/>
  <c r="J169" i="11" s="1"/>
  <c r="E115" i="12"/>
  <c r="H116" i="11" s="1"/>
  <c r="J116" i="11" s="1"/>
  <c r="U88" i="14"/>
  <c r="U94" i="14"/>
  <c r="U85" i="14"/>
  <c r="U86" i="14"/>
  <c r="U87" i="14"/>
  <c r="T94" i="14"/>
  <c r="U92" i="14"/>
  <c r="U91" i="14"/>
  <c r="U97" i="14" s="1"/>
  <c r="W93" i="14"/>
  <c r="W86" i="14"/>
  <c r="V94" i="14"/>
  <c r="V85" i="14"/>
  <c r="T85" i="14"/>
  <c r="V91" i="14"/>
  <c r="H19" i="15" s="1"/>
  <c r="E56" i="20" s="1"/>
  <c r="T86" i="14"/>
  <c r="V92" i="14"/>
  <c r="T87" i="14"/>
  <c r="T88" i="14"/>
  <c r="T91" i="14"/>
  <c r="T96" i="14" s="1"/>
  <c r="T92" i="14"/>
  <c r="W88" i="14"/>
  <c r="V93" i="14"/>
  <c r="W91" i="14"/>
  <c r="G20" i="15" s="1"/>
  <c r="D57" i="20" s="1"/>
  <c r="W92" i="14"/>
  <c r="W87" i="14"/>
  <c r="V86" i="14"/>
  <c r="V88" i="14"/>
  <c r="V89" i="14" s="1"/>
  <c r="W94" i="14"/>
  <c r="T73" i="14"/>
  <c r="B83" i="15"/>
  <c r="C14" i="20" s="1"/>
  <c r="C83" i="15"/>
  <c r="T72" i="14"/>
  <c r="T70" i="14"/>
  <c r="T71" i="14"/>
  <c r="T39" i="14"/>
  <c r="B10" i="20" s="1"/>
  <c r="T41" i="14"/>
  <c r="B61" i="15"/>
  <c r="B58" i="15"/>
  <c r="B59" i="15"/>
  <c r="B56" i="15"/>
  <c r="B57" i="15"/>
  <c r="C15" i="15"/>
  <c r="D42" i="20" s="1"/>
  <c r="B55" i="15"/>
  <c r="T8" i="7"/>
  <c r="T9" i="7" s="1"/>
  <c r="B15" i="15"/>
  <c r="C42" i="20" s="1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C16" i="20" s="1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C44" i="20" s="1"/>
  <c r="B19" i="15"/>
  <c r="C46" i="20" s="1"/>
  <c r="B18" i="15"/>
  <c r="C45" i="20" s="1"/>
  <c r="B20" i="15"/>
  <c r="C47" i="20" s="1"/>
  <c r="B16" i="15"/>
  <c r="C43" i="20" s="1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R75" i="5" l="1"/>
  <c r="R163" i="5"/>
  <c r="H34" i="5"/>
  <c r="R125" i="5"/>
  <c r="H115" i="5"/>
  <c r="H183" i="5"/>
  <c r="E18" i="15"/>
  <c r="F18" i="15"/>
  <c r="C55" i="20" s="1"/>
  <c r="G18" i="15"/>
  <c r="D55" i="20" s="1"/>
  <c r="H18" i="15"/>
  <c r="E55" i="20" s="1"/>
  <c r="U96" i="14"/>
  <c r="U89" i="14"/>
  <c r="W97" i="14"/>
  <c r="H20" i="15"/>
  <c r="E57" i="20" s="1"/>
  <c r="T89" i="14"/>
  <c r="V97" i="14"/>
  <c r="W96" i="14"/>
  <c r="E20" i="15"/>
  <c r="V96" i="14"/>
  <c r="E19" i="15"/>
  <c r="T97" i="14"/>
  <c r="F19" i="15"/>
  <c r="C56" i="20" s="1"/>
  <c r="E17" i="15"/>
  <c r="G19" i="15"/>
  <c r="D56" i="20" s="1"/>
  <c r="F17" i="15"/>
  <c r="C54" i="20" s="1"/>
  <c r="T99" i="14"/>
  <c r="G17" i="15"/>
  <c r="D54" i="20" s="1"/>
  <c r="T100" i="14"/>
  <c r="G15" i="15" s="1"/>
  <c r="D53" i="20" s="1"/>
  <c r="H17" i="15"/>
  <c r="E54" i="20" s="1"/>
  <c r="W89" i="14"/>
  <c r="T101" i="14"/>
  <c r="F20" i="15"/>
  <c r="C57" i="20" s="1"/>
  <c r="I262" i="14"/>
  <c r="BG26" i="5" s="1"/>
  <c r="AD6" i="6"/>
  <c r="D14" i="14"/>
  <c r="E14" i="14" s="1"/>
  <c r="I261" i="14"/>
  <c r="BC72" i="5" s="1"/>
  <c r="AD5" i="6"/>
  <c r="D13" i="14"/>
  <c r="F20" i="14"/>
  <c r="I260" i="14"/>
  <c r="L260" i="14" s="1"/>
  <c r="AD4" i="6"/>
  <c r="D12" i="14"/>
  <c r="E12" i="14" s="1"/>
  <c r="I259" i="14"/>
  <c r="AU160" i="5" s="1"/>
  <c r="AD3" i="6"/>
  <c r="D11" i="14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T85" i="5"/>
  <c r="J29" i="5"/>
  <c r="AP26" i="5"/>
  <c r="AR26" i="5" s="1"/>
  <c r="H139" i="5"/>
  <c r="AP136" i="5"/>
  <c r="AR136" i="5" s="1"/>
  <c r="AC31" i="5"/>
  <c r="AQ136" i="5"/>
  <c r="AP31" i="5"/>
  <c r="AR31" i="5" s="1"/>
  <c r="R83" i="5"/>
  <c r="AQ149" i="5"/>
  <c r="L54" i="5"/>
  <c r="T20" i="5"/>
  <c r="F124" i="5"/>
  <c r="T73" i="5"/>
  <c r="T130" i="5"/>
  <c r="L125" i="5"/>
  <c r="F77" i="5"/>
  <c r="R39" i="5"/>
  <c r="L13" i="5"/>
  <c r="H196" i="5"/>
  <c r="R29" i="5"/>
  <c r="L59" i="5"/>
  <c r="AT13" i="5"/>
  <c r="J50" i="5"/>
  <c r="BB25" i="5"/>
  <c r="H86" i="5"/>
  <c r="L163" i="5"/>
  <c r="N185" i="11"/>
  <c r="P185" i="11" s="1"/>
  <c r="R109" i="5"/>
  <c r="T184" i="5"/>
  <c r="H13" i="5"/>
  <c r="N49" i="5"/>
  <c r="H121" i="5"/>
  <c r="J60" i="5"/>
  <c r="AP76" i="5"/>
  <c r="AR76" i="5" s="1"/>
  <c r="H130" i="5"/>
  <c r="BB179" i="5"/>
  <c r="AC45" i="5"/>
  <c r="AP45" i="5"/>
  <c r="AR45" i="5" s="1"/>
  <c r="L121" i="5"/>
  <c r="T151" i="5"/>
  <c r="AC33" i="5"/>
  <c r="F79" i="5"/>
  <c r="H184" i="5"/>
  <c r="AP33" i="5"/>
  <c r="AR33" i="5" s="1"/>
  <c r="BB125" i="5"/>
  <c r="AT126" i="5"/>
  <c r="H54" i="11"/>
  <c r="J54" i="11" s="1"/>
  <c r="E81" i="11"/>
  <c r="G81" i="11" s="1"/>
  <c r="H146" i="11"/>
  <c r="J146" i="11" s="1"/>
  <c r="F174" i="5"/>
  <c r="H54" i="5"/>
  <c r="H57" i="5"/>
  <c r="P41" i="5"/>
  <c r="J124" i="5"/>
  <c r="J113" i="5"/>
  <c r="J100" i="5"/>
  <c r="T139" i="5"/>
  <c r="AX55" i="5"/>
  <c r="F25" i="5"/>
  <c r="BB81" i="5"/>
  <c r="J54" i="5"/>
  <c r="H97" i="5"/>
  <c r="AQ26" i="5"/>
  <c r="N43" i="11"/>
  <c r="P43" i="11" s="1"/>
  <c r="J121" i="5"/>
  <c r="L83" i="5"/>
  <c r="L48" i="5"/>
  <c r="H30" i="11"/>
  <c r="J30" i="11" s="1"/>
  <c r="F54" i="5"/>
  <c r="N25" i="5"/>
  <c r="L6" i="5"/>
  <c r="H74" i="5"/>
  <c r="F133" i="5"/>
  <c r="F65" i="5"/>
  <c r="R26" i="5"/>
  <c r="H81" i="5"/>
  <c r="AT115" i="5"/>
  <c r="AP131" i="5"/>
  <c r="AR131" i="5" s="1"/>
  <c r="H104" i="5"/>
  <c r="AQ96" i="5"/>
  <c r="L140" i="5"/>
  <c r="F85" i="5"/>
  <c r="BB192" i="5"/>
  <c r="N141" i="11"/>
  <c r="P141" i="11" s="1"/>
  <c r="L29" i="5"/>
  <c r="J13" i="5"/>
  <c r="H161" i="5"/>
  <c r="J57" i="5"/>
  <c r="BB96" i="5"/>
  <c r="N55" i="11"/>
  <c r="P55" i="11" s="1"/>
  <c r="L130" i="5"/>
  <c r="J160" i="5"/>
  <c r="F113" i="5"/>
  <c r="H192" i="5"/>
  <c r="E40" i="11"/>
  <c r="G40" i="11" s="1"/>
  <c r="J103" i="5"/>
  <c r="K185" i="11"/>
  <c r="M185" i="11" s="1"/>
  <c r="AQ183" i="5"/>
  <c r="H124" i="5"/>
  <c r="AC183" i="5"/>
  <c r="R150" i="5"/>
  <c r="H113" i="5"/>
  <c r="AQ129" i="5"/>
  <c r="H105" i="5"/>
  <c r="R45" i="5"/>
  <c r="L151" i="5"/>
  <c r="L177" i="5"/>
  <c r="L60" i="5"/>
  <c r="L86" i="5"/>
  <c r="H180" i="11"/>
  <c r="J180" i="11" s="1"/>
  <c r="N80" i="11"/>
  <c r="P80" i="11" s="1"/>
  <c r="H25" i="5"/>
  <c r="L79" i="5"/>
  <c r="T121" i="5"/>
  <c r="F182" i="5"/>
  <c r="F45" i="5"/>
  <c r="F86" i="5"/>
  <c r="L65" i="5"/>
  <c r="H103" i="5"/>
  <c r="R190" i="5"/>
  <c r="N66" i="11"/>
  <c r="P66" i="11" s="1"/>
  <c r="J140" i="5"/>
  <c r="N74" i="11"/>
  <c r="P74" i="11" s="1"/>
  <c r="J6" i="5"/>
  <c r="E22" i="11"/>
  <c r="G22" i="11" s="1"/>
  <c r="L91" i="5"/>
  <c r="H66" i="11"/>
  <c r="J66" i="11" s="1"/>
  <c r="T59" i="5"/>
  <c r="P74" i="5"/>
  <c r="J130" i="5"/>
  <c r="R118" i="5"/>
  <c r="J131" i="5"/>
  <c r="R20" i="5"/>
  <c r="N63" i="11"/>
  <c r="P63" i="11" s="1"/>
  <c r="L53" i="5"/>
  <c r="AC14" i="5"/>
  <c r="E141" i="11"/>
  <c r="G141" i="11" s="1"/>
  <c r="H59" i="5"/>
  <c r="L21" i="5"/>
  <c r="F164" i="5"/>
  <c r="P105" i="5"/>
  <c r="N165" i="11"/>
  <c r="P165" i="11" s="1"/>
  <c r="F180" i="5"/>
  <c r="R113" i="5"/>
  <c r="F151" i="5"/>
  <c r="H160" i="5"/>
  <c r="F146" i="5"/>
  <c r="T183" i="5"/>
  <c r="AP189" i="5"/>
  <c r="AR189" i="5" s="1"/>
  <c r="L77" i="5"/>
  <c r="R157" i="5"/>
  <c r="J16" i="5"/>
  <c r="R81" i="5"/>
  <c r="AC130" i="5"/>
  <c r="N40" i="11"/>
  <c r="P40" i="11" s="1"/>
  <c r="L181" i="5"/>
  <c r="BB30" i="5"/>
  <c r="L179" i="5"/>
  <c r="AP22" i="5"/>
  <c r="AR22" i="5" s="1"/>
  <c r="N201" i="11"/>
  <c r="P201" i="11" s="1"/>
  <c r="T173" i="5"/>
  <c r="L39" i="5"/>
  <c r="N180" i="11"/>
  <c r="P180" i="11" s="1"/>
  <c r="AQ22" i="5"/>
  <c r="K174" i="11"/>
  <c r="M174" i="11" s="1"/>
  <c r="N174" i="11"/>
  <c r="P174" i="11" s="1"/>
  <c r="J89" i="5"/>
  <c r="F11" i="5"/>
  <c r="H182" i="5"/>
  <c r="F78" i="5"/>
  <c r="AQ130" i="5"/>
  <c r="R153" i="5"/>
  <c r="T78" i="5"/>
  <c r="AX123" i="5"/>
  <c r="N87" i="11"/>
  <c r="P87" i="11" s="1"/>
  <c r="T53" i="5"/>
  <c r="L183" i="5"/>
  <c r="H158" i="11"/>
  <c r="J158" i="11" s="1"/>
  <c r="L63" i="5"/>
  <c r="F41" i="5"/>
  <c r="AQ133" i="5"/>
  <c r="J181" i="5"/>
  <c r="K147" i="11"/>
  <c r="M147" i="11" s="1"/>
  <c r="L78" i="5"/>
  <c r="AC63" i="5"/>
  <c r="AQ106" i="5"/>
  <c r="R137" i="5"/>
  <c r="N80" i="5"/>
  <c r="L69" i="5"/>
  <c r="N60" i="5"/>
  <c r="F104" i="5"/>
  <c r="AQ69" i="5"/>
  <c r="T200" i="5"/>
  <c r="E83" i="11"/>
  <c r="G83" i="11" s="1"/>
  <c r="J188" i="5"/>
  <c r="E180" i="11"/>
  <c r="G180" i="11" s="1"/>
  <c r="K36" i="11"/>
  <c r="M36" i="11" s="1"/>
  <c r="N64" i="11"/>
  <c r="P64" i="11" s="1"/>
  <c r="H78" i="5"/>
  <c r="J197" i="5"/>
  <c r="L96" i="5"/>
  <c r="P90" i="5"/>
  <c r="H99" i="5"/>
  <c r="F125" i="5"/>
  <c r="F6" i="5"/>
  <c r="J99" i="5"/>
  <c r="T62" i="5"/>
  <c r="J77" i="5"/>
  <c r="L45" i="5"/>
  <c r="AP14" i="5"/>
  <c r="AR14" i="5" s="1"/>
  <c r="J81" i="5"/>
  <c r="J41" i="5"/>
  <c r="N82" i="5"/>
  <c r="F192" i="5"/>
  <c r="J63" i="5"/>
  <c r="J91" i="5"/>
  <c r="J67" i="5"/>
  <c r="J126" i="5"/>
  <c r="BB156" i="5"/>
  <c r="N126" i="11"/>
  <c r="P126" i="11" s="1"/>
  <c r="AC43" i="5"/>
  <c r="L141" i="5"/>
  <c r="J120" i="5"/>
  <c r="H16" i="5"/>
  <c r="L99" i="5"/>
  <c r="AT143" i="5"/>
  <c r="AC189" i="5"/>
  <c r="T21" i="5"/>
  <c r="R97" i="5"/>
  <c r="J94" i="5"/>
  <c r="P99" i="5"/>
  <c r="N50" i="11"/>
  <c r="P50" i="11" s="1"/>
  <c r="P39" i="5"/>
  <c r="AT95" i="5"/>
  <c r="J74" i="5"/>
  <c r="N133" i="5"/>
  <c r="AQ172" i="5"/>
  <c r="AP141" i="5"/>
  <c r="AR141" i="5" s="1"/>
  <c r="F163" i="5"/>
  <c r="H49" i="5"/>
  <c r="AP104" i="5"/>
  <c r="AR104" i="5" s="1"/>
  <c r="J26" i="5"/>
  <c r="N61" i="11"/>
  <c r="P61" i="11" s="1"/>
  <c r="T34" i="5"/>
  <c r="L196" i="5"/>
  <c r="J165" i="5"/>
  <c r="F74" i="5"/>
  <c r="AQ88" i="5"/>
  <c r="K140" i="11"/>
  <c r="M140" i="11" s="1"/>
  <c r="AQ104" i="5"/>
  <c r="T69" i="5"/>
  <c r="AC148" i="5"/>
  <c r="L192" i="5"/>
  <c r="L34" i="5"/>
  <c r="K120" i="11"/>
  <c r="M120" i="11" s="1"/>
  <c r="H39" i="5"/>
  <c r="AQ93" i="5"/>
  <c r="AC25" i="5"/>
  <c r="BB22" i="5"/>
  <c r="H26" i="5"/>
  <c r="AC66" i="5"/>
  <c r="F177" i="5"/>
  <c r="AP148" i="5"/>
  <c r="AR148" i="5" s="1"/>
  <c r="L41" i="5"/>
  <c r="J12" i="5"/>
  <c r="R196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N42" i="11"/>
  <c r="P42" i="11" s="1"/>
  <c r="F9" i="5"/>
  <c r="N99" i="11"/>
  <c r="P99" i="11" s="1"/>
  <c r="R67" i="5"/>
  <c r="BB97" i="5"/>
  <c r="H119" i="5"/>
  <c r="N7" i="11"/>
  <c r="P7" i="11" s="1"/>
  <c r="K31" i="11"/>
  <c r="M31" i="11" s="1"/>
  <c r="H12" i="5"/>
  <c r="AQ159" i="5"/>
  <c r="H67" i="5"/>
  <c r="P81" i="5"/>
  <c r="H91" i="5"/>
  <c r="J174" i="5"/>
  <c r="AC133" i="5"/>
  <c r="H198" i="5"/>
  <c r="T31" i="5"/>
  <c r="N17" i="11"/>
  <c r="P17" i="11" s="1"/>
  <c r="AC96" i="5"/>
  <c r="R19" i="5"/>
  <c r="F198" i="5"/>
  <c r="T77" i="5"/>
  <c r="AC48" i="5"/>
  <c r="AQ20" i="5"/>
  <c r="R100" i="5"/>
  <c r="N49" i="11"/>
  <c r="P49" i="11" s="1"/>
  <c r="H100" i="5"/>
  <c r="P65" i="5"/>
  <c r="E61" i="11"/>
  <c r="G61" i="11" s="1"/>
  <c r="BB42" i="5"/>
  <c r="AP51" i="5"/>
  <c r="AR51" i="5" s="1"/>
  <c r="F187" i="5"/>
  <c r="AQ51" i="5"/>
  <c r="H126" i="5"/>
  <c r="F181" i="5"/>
  <c r="E52" i="11"/>
  <c r="G52" i="11" s="1"/>
  <c r="N109" i="11"/>
  <c r="P109" i="11" s="1"/>
  <c r="AQ65" i="5"/>
  <c r="T83" i="5"/>
  <c r="P124" i="5"/>
  <c r="R124" i="5"/>
  <c r="AQ194" i="5"/>
  <c r="H88" i="5"/>
  <c r="P77" i="5"/>
  <c r="AQ170" i="5"/>
  <c r="AP170" i="5"/>
  <c r="AR170" i="5" s="1"/>
  <c r="K54" i="11"/>
  <c r="M54" i="11" s="1"/>
  <c r="H180" i="5"/>
  <c r="J49" i="5"/>
  <c r="AC37" i="5"/>
  <c r="P110" i="5"/>
  <c r="R5" i="5"/>
  <c r="H175" i="11"/>
  <c r="J175" i="11" s="1"/>
  <c r="T109" i="5"/>
  <c r="R10" i="5"/>
  <c r="AC131" i="5"/>
  <c r="T145" i="5"/>
  <c r="BB116" i="5"/>
  <c r="L15" i="5"/>
  <c r="L108" i="5"/>
  <c r="T42" i="5"/>
  <c r="D42" i="14"/>
  <c r="F42" i="14" s="1"/>
  <c r="H42" i="14" s="1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C69" i="5"/>
  <c r="R169" i="5"/>
  <c r="R53" i="5"/>
  <c r="H158" i="5"/>
  <c r="AX114" i="5"/>
  <c r="AT4" i="5"/>
  <c r="L129" i="5"/>
  <c r="AQ35" i="5"/>
  <c r="J79" i="5"/>
  <c r="J142" i="5"/>
  <c r="AP37" i="5"/>
  <c r="AR37" i="5" s="1"/>
  <c r="R174" i="5"/>
  <c r="J98" i="5"/>
  <c r="L145" i="5"/>
  <c r="F183" i="5"/>
  <c r="T164" i="5"/>
  <c r="N32" i="11"/>
  <c r="P32" i="11" s="1"/>
  <c r="H164" i="5"/>
  <c r="T129" i="5"/>
  <c r="AT176" i="5"/>
  <c r="F63" i="5"/>
  <c r="L180" i="5"/>
  <c r="AP43" i="5"/>
  <c r="AR43" i="5" s="1"/>
  <c r="J173" i="5"/>
  <c r="N63" i="5"/>
  <c r="T99" i="5"/>
  <c r="E58" i="11"/>
  <c r="G58" i="11" s="1"/>
  <c r="R63" i="5"/>
  <c r="N193" i="11"/>
  <c r="P193" i="11" s="1"/>
  <c r="F119" i="5"/>
  <c r="L126" i="5"/>
  <c r="J115" i="5"/>
  <c r="N21" i="11"/>
  <c r="P21" i="11" s="1"/>
  <c r="J45" i="5"/>
  <c r="AX125" i="5"/>
  <c r="AQ124" i="5"/>
  <c r="BB147" i="5"/>
  <c r="F48" i="5"/>
  <c r="L139" i="5"/>
  <c r="AT47" i="5"/>
  <c r="R119" i="5"/>
  <c r="AT167" i="5"/>
  <c r="F73" i="5"/>
  <c r="H73" i="5"/>
  <c r="T35" i="5"/>
  <c r="P125" i="5"/>
  <c r="T75" i="5"/>
  <c r="BB150" i="5"/>
  <c r="H35" i="5"/>
  <c r="P185" i="5"/>
  <c r="L35" i="5"/>
  <c r="AX185" i="5"/>
  <c r="BB106" i="5"/>
  <c r="N167" i="5"/>
  <c r="P113" i="5"/>
  <c r="P100" i="5"/>
  <c r="AT101" i="5"/>
  <c r="F33" i="5"/>
  <c r="T126" i="5"/>
  <c r="H118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R68" i="5"/>
  <c r="F83" i="5"/>
  <c r="E195" i="11"/>
  <c r="G195" i="11" s="1"/>
  <c r="F106" i="5"/>
  <c r="E110" i="11"/>
  <c r="G110" i="11" s="1"/>
  <c r="E158" i="11"/>
  <c r="G158" i="11" s="1"/>
  <c r="F100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T152" i="5"/>
  <c r="N124" i="11"/>
  <c r="P124" i="11" s="1"/>
  <c r="H137" i="5"/>
  <c r="AQ9" i="5"/>
  <c r="J8" i="5"/>
  <c r="L82" i="5"/>
  <c r="P145" i="5"/>
  <c r="AC178" i="5"/>
  <c r="R99" i="5"/>
  <c r="AC102" i="5"/>
  <c r="F50" i="5"/>
  <c r="L25" i="5"/>
  <c r="N26" i="11"/>
  <c r="P26" i="11" s="1"/>
  <c r="T82" i="5"/>
  <c r="AX25" i="5"/>
  <c r="AP101" i="5"/>
  <c r="AR101" i="5" s="1"/>
  <c r="AP178" i="5"/>
  <c r="AR178" i="5" s="1"/>
  <c r="BB99" i="5"/>
  <c r="N12" i="5"/>
  <c r="H11" i="5"/>
  <c r="AP102" i="5"/>
  <c r="AR102" i="5" s="1"/>
  <c r="R42" i="5"/>
  <c r="F12" i="5"/>
  <c r="H149" i="5"/>
  <c r="AC101" i="5"/>
  <c r="AP191" i="5"/>
  <c r="AR191" i="5" s="1"/>
  <c r="AQ91" i="5"/>
  <c r="P25" i="5"/>
  <c r="R8" i="5"/>
  <c r="AC91" i="5"/>
  <c r="AX171" i="5"/>
  <c r="T197" i="5"/>
  <c r="J108" i="5"/>
  <c r="AC9" i="5"/>
  <c r="AQ160" i="5"/>
  <c r="AT26" i="5"/>
  <c r="L75" i="5"/>
  <c r="N141" i="5"/>
  <c r="AQ190" i="5"/>
  <c r="N26" i="5"/>
  <c r="R151" i="5"/>
  <c r="L161" i="5"/>
  <c r="T161" i="5"/>
  <c r="AT113" i="5"/>
  <c r="AC190" i="5"/>
  <c r="J157" i="5"/>
  <c r="H42" i="5"/>
  <c r="R139" i="5"/>
  <c r="AC12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H9" i="5"/>
  <c r="N178" i="11"/>
  <c r="P178" i="11" s="1"/>
  <c r="AX119" i="5"/>
  <c r="J198" i="5"/>
  <c r="AC23" i="5"/>
  <c r="N51" i="11"/>
  <c r="P51" i="11" s="1"/>
  <c r="AP23" i="5"/>
  <c r="AR23" i="5" s="1"/>
  <c r="J105" i="5"/>
  <c r="L50" i="5"/>
  <c r="H165" i="5"/>
  <c r="AQ63" i="5"/>
  <c r="AC143" i="5"/>
  <c r="AP143" i="5"/>
  <c r="AR143" i="5" s="1"/>
  <c r="J149" i="5"/>
  <c r="H122" i="5"/>
  <c r="P26" i="5"/>
  <c r="BB180" i="5"/>
  <c r="N92" i="5"/>
  <c r="AP12" i="5"/>
  <c r="AR12" i="5" s="1"/>
  <c r="AT92" i="5"/>
  <c r="BB77" i="5"/>
  <c r="H141" i="5"/>
  <c r="AQ15" i="5"/>
  <c r="AP97" i="5"/>
  <c r="AR97" i="5" s="1"/>
  <c r="F108" i="5"/>
  <c r="AP15" i="5"/>
  <c r="AR15" i="5" s="1"/>
  <c r="F93" i="5"/>
  <c r="N124" i="5"/>
  <c r="AT89" i="5"/>
  <c r="N143" i="5"/>
  <c r="F143" i="5"/>
  <c r="R140" i="5"/>
  <c r="AT36" i="5"/>
  <c r="BB136" i="5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P142" i="5"/>
  <c r="AR142" i="5" s="1"/>
  <c r="H46" i="5"/>
  <c r="AC142" i="5"/>
  <c r="AC129" i="5"/>
  <c r="AQ141" i="5"/>
  <c r="H197" i="5"/>
  <c r="BB24" i="5"/>
  <c r="AC79" i="5"/>
  <c r="AQ79" i="5"/>
  <c r="AQ114" i="5"/>
  <c r="AT37" i="5"/>
  <c r="P107" i="5"/>
  <c r="P146" i="5"/>
  <c r="AQ48" i="5"/>
  <c r="R88" i="5"/>
  <c r="R94" i="5"/>
  <c r="J51" i="5"/>
  <c r="K201" i="11"/>
  <c r="M201" i="11" s="1"/>
  <c r="H114" i="5"/>
  <c r="AX146" i="5"/>
  <c r="AQ44" i="5"/>
  <c r="AP44" i="5"/>
  <c r="AR44" i="5" s="1"/>
  <c r="F15" i="5"/>
  <c r="R141" i="5"/>
  <c r="N182" i="5"/>
  <c r="N200" i="5"/>
  <c r="R27" i="5"/>
  <c r="R177" i="5"/>
  <c r="F169" i="5"/>
  <c r="R129" i="5"/>
  <c r="J93" i="5"/>
  <c r="J62" i="5"/>
  <c r="R57" i="5"/>
  <c r="H146" i="5"/>
  <c r="P171" i="5"/>
  <c r="N95" i="5"/>
  <c r="F95" i="5"/>
  <c r="F8" i="5"/>
  <c r="P55" i="5"/>
  <c r="R108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R82" i="5"/>
  <c r="R182" i="5"/>
  <c r="AX5" i="5"/>
  <c r="R78" i="5"/>
  <c r="F55" i="5"/>
  <c r="AQ28" i="5"/>
  <c r="J47" i="5"/>
  <c r="AP28" i="5"/>
  <c r="AR28" i="5" s="1"/>
  <c r="BB86" i="5"/>
  <c r="J23" i="5"/>
  <c r="F56" i="5"/>
  <c r="P50" i="5"/>
  <c r="R14" i="5"/>
  <c r="J106" i="5"/>
  <c r="R147" i="5"/>
  <c r="R184" i="5"/>
  <c r="R164" i="5"/>
  <c r="J122" i="5"/>
  <c r="F51" i="5"/>
  <c r="AT78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H109" i="5"/>
  <c r="J33" i="5"/>
  <c r="AC62" i="5"/>
  <c r="AP62" i="5"/>
  <c r="AR62" i="5" s="1"/>
  <c r="AX53" i="5"/>
  <c r="N177" i="5"/>
  <c r="AX128" i="5"/>
  <c r="AX27" i="5"/>
  <c r="P102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T141" i="5"/>
  <c r="L72" i="5"/>
  <c r="F28" i="5"/>
  <c r="BB104" i="5"/>
  <c r="AX46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C177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R146" i="5"/>
  <c r="N191" i="5"/>
  <c r="AC92" i="5"/>
  <c r="AQ191" i="5"/>
  <c r="AQ135" i="5"/>
  <c r="R165" i="5"/>
  <c r="BB165" i="5"/>
  <c r="H56" i="5"/>
  <c r="P94" i="5"/>
  <c r="R166" i="5"/>
  <c r="R50" i="5"/>
  <c r="AT52" i="5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R105" i="5"/>
  <c r="AT17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X58" i="5"/>
  <c r="AX117" i="5"/>
  <c r="H107" i="5"/>
  <c r="H47" i="5"/>
  <c r="F171" i="5"/>
  <c r="F159" i="5"/>
  <c r="N122" i="5"/>
  <c r="P106" i="5"/>
  <c r="BB76" i="5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N148" i="11"/>
  <c r="P148" i="11" s="1"/>
  <c r="AQ115" i="5"/>
  <c r="AC114" i="5"/>
  <c r="AC198" i="5"/>
  <c r="AP198" i="5"/>
  <c r="AR198" i="5" s="1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T88" i="5"/>
  <c r="N87" i="5"/>
  <c r="F116" i="5"/>
  <c r="AQ146" i="5"/>
  <c r="N88" i="5"/>
  <c r="AC64" i="5"/>
  <c r="AT172" i="5"/>
  <c r="AP29" i="5"/>
  <c r="AR29" i="5" s="1"/>
  <c r="AC29" i="5"/>
  <c r="F44" i="5"/>
  <c r="P48" i="5"/>
  <c r="AP199" i="5"/>
  <c r="AR199" i="5" s="1"/>
  <c r="F87" i="5"/>
  <c r="AC175" i="5"/>
  <c r="F185" i="5"/>
  <c r="BB102" i="5"/>
  <c r="AX64" i="5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C192" i="5"/>
  <c r="J159" i="5"/>
  <c r="N78" i="5"/>
  <c r="F153" i="5"/>
  <c r="F101" i="5"/>
  <c r="AX7" i="5"/>
  <c r="P186" i="5"/>
  <c r="F156" i="5"/>
  <c r="AX96" i="5"/>
  <c r="F52" i="5"/>
  <c r="AC162" i="5"/>
  <c r="AP162" i="5"/>
  <c r="AR162" i="5" s="1"/>
  <c r="J22" i="5"/>
  <c r="N148" i="5"/>
  <c r="AT148" i="5"/>
  <c r="F2" i="5"/>
  <c r="J87" i="5"/>
  <c r="AT2" i="5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AX134" i="5"/>
  <c r="N54" i="5"/>
  <c r="J128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AP179" i="5"/>
  <c r="AR179" i="5" s="1"/>
  <c r="AC179" i="5"/>
  <c r="H152" i="5"/>
  <c r="J2" i="5"/>
  <c r="D45" i="14"/>
  <c r="AT91" i="5"/>
  <c r="N91" i="5"/>
  <c r="J152" i="5"/>
  <c r="P17" i="5"/>
  <c r="R64" i="5"/>
  <c r="H138" i="5"/>
  <c r="AX70" i="5"/>
  <c r="AX151" i="5"/>
  <c r="T97" i="5"/>
  <c r="N98" i="11"/>
  <c r="P98" i="11" s="1"/>
  <c r="AX154" i="5"/>
  <c r="AX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P127" i="5"/>
  <c r="J195" i="5"/>
  <c r="J7" i="5"/>
  <c r="R178" i="5"/>
  <c r="AP19" i="5"/>
  <c r="AR19" i="5" s="1"/>
  <c r="AC19" i="5"/>
  <c r="AC100" i="5"/>
  <c r="AP100" i="5"/>
  <c r="AR100" i="5" s="1"/>
  <c r="AT130" i="5"/>
  <c r="AX69" i="5"/>
  <c r="R134" i="5"/>
  <c r="F199" i="5"/>
  <c r="BB65" i="5"/>
  <c r="AP85" i="5"/>
  <c r="AR85" i="5" s="1"/>
  <c r="AC85" i="5"/>
  <c r="AQ85" i="5"/>
  <c r="AT103" i="5"/>
  <c r="AX102" i="5"/>
  <c r="BB41" i="5"/>
  <c r="AX65" i="5"/>
  <c r="AX160" i="5"/>
  <c r="AT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B61" i="5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N97" i="5"/>
  <c r="N156" i="11"/>
  <c r="P156" i="11" s="1"/>
  <c r="T155" i="5"/>
  <c r="BB59" i="5"/>
  <c r="R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B23" i="5"/>
  <c r="AC112" i="5"/>
  <c r="AP112" i="5"/>
  <c r="AR112" i="5" s="1"/>
  <c r="AQ112" i="5"/>
  <c r="P52" i="5"/>
  <c r="AX52" i="5"/>
  <c r="BB74" i="5"/>
  <c r="R74" i="5"/>
  <c r="N103" i="11"/>
  <c r="P103" i="11" s="1"/>
  <c r="T102" i="5"/>
  <c r="AQ40" i="5"/>
  <c r="AC40" i="5"/>
  <c r="AP40" i="5"/>
  <c r="AR40" i="5" s="1"/>
  <c r="AT163" i="5"/>
  <c r="N163" i="5"/>
  <c r="J175" i="5"/>
  <c r="AC27" i="5"/>
  <c r="AP27" i="5"/>
  <c r="AR27" i="5" s="1"/>
  <c r="AQ27" i="5"/>
  <c r="P198" i="9"/>
  <c r="AX54" i="5"/>
  <c r="P54" i="5"/>
  <c r="AT74" i="5"/>
  <c r="N74" i="5"/>
  <c r="P181" i="9"/>
  <c r="AT76" i="5"/>
  <c r="N76" i="5"/>
  <c r="AP50" i="5"/>
  <c r="AR50" i="5" s="1"/>
  <c r="AC50" i="5"/>
  <c r="AQ50" i="5"/>
  <c r="P16" i="9"/>
  <c r="N190" i="11"/>
  <c r="P190" i="11" s="1"/>
  <c r="T189" i="5"/>
  <c r="AT81" i="5"/>
  <c r="N81" i="5"/>
  <c r="R123" i="5"/>
  <c r="K124" i="11"/>
  <c r="M124" i="11" s="1"/>
  <c r="AX197" i="5"/>
  <c r="P197" i="5"/>
  <c r="N137" i="5"/>
  <c r="AT137" i="5"/>
  <c r="AX24" i="5"/>
  <c r="P24" i="5"/>
  <c r="N153" i="11"/>
  <c r="P153" i="11" s="1"/>
  <c r="T152" i="5"/>
  <c r="N29" i="5"/>
  <c r="AT29" i="5"/>
  <c r="AP167" i="5"/>
  <c r="AR167" i="5" s="1"/>
  <c r="AC167" i="5"/>
  <c r="AQ167" i="5"/>
  <c r="P37" i="9"/>
  <c r="R16" i="5"/>
  <c r="BB16" i="5"/>
  <c r="T144" i="5"/>
  <c r="L144" i="5"/>
  <c r="N145" i="11"/>
  <c r="P145" i="11" s="1"/>
  <c r="AT178" i="5"/>
  <c r="N178" i="5"/>
  <c r="AT174" i="5"/>
  <c r="N174" i="5"/>
  <c r="AX21" i="5"/>
  <c r="P21" i="5"/>
  <c r="AQ145" i="5"/>
  <c r="AP145" i="5"/>
  <c r="AR145" i="5" s="1"/>
  <c r="AC145" i="5"/>
  <c r="AT134" i="5"/>
  <c r="N134" i="5"/>
  <c r="E261" i="14"/>
  <c r="BB2" i="5"/>
  <c r="R2" i="5"/>
  <c r="P197" i="9"/>
  <c r="P136" i="5"/>
  <c r="AX136" i="5"/>
  <c r="AC99" i="5"/>
  <c r="AQ99" i="5"/>
  <c r="AP99" i="5"/>
  <c r="AR99" i="5" s="1"/>
  <c r="AT169" i="5"/>
  <c r="N169" i="5"/>
  <c r="E41" i="11"/>
  <c r="G41" i="11" s="1"/>
  <c r="F40" i="5"/>
  <c r="P108" i="5"/>
  <c r="AX108" i="5"/>
  <c r="AX198" i="5"/>
  <c r="P198" i="5"/>
  <c r="AT199" i="5"/>
  <c r="N199" i="5"/>
  <c r="N44" i="5"/>
  <c r="AT44" i="5"/>
  <c r="J155" i="5"/>
  <c r="AX168" i="5"/>
  <c r="P168" i="5"/>
  <c r="H102" i="11"/>
  <c r="J102" i="11" s="1"/>
  <c r="H101" i="5"/>
  <c r="T84" i="5"/>
  <c r="N85" i="11"/>
  <c r="P85" i="11" s="1"/>
  <c r="AT139" i="5"/>
  <c r="N139" i="5"/>
  <c r="BB199" i="5"/>
  <c r="R199" i="5"/>
  <c r="D19" i="15"/>
  <c r="E46" i="20" s="1"/>
  <c r="H156" i="5"/>
  <c r="AT16" i="5"/>
  <c r="N16" i="5"/>
  <c r="L102" i="5"/>
  <c r="E173" i="11"/>
  <c r="G173" i="11" s="1"/>
  <c r="N172" i="5"/>
  <c r="K5" i="11"/>
  <c r="M5" i="11" s="1"/>
  <c r="J4" i="5"/>
  <c r="N84" i="5"/>
  <c r="AT84" i="5"/>
  <c r="B29" i="14"/>
  <c r="B12" i="15"/>
  <c r="AT67" i="5"/>
  <c r="N67" i="5"/>
  <c r="J90" i="5"/>
  <c r="K91" i="11"/>
  <c r="M91" i="11" s="1"/>
  <c r="N161" i="5"/>
  <c r="AT161" i="5"/>
  <c r="AT187" i="5"/>
  <c r="N187" i="5"/>
  <c r="AT196" i="5"/>
  <c r="N196" i="5"/>
  <c r="P130" i="5"/>
  <c r="AX130" i="5"/>
  <c r="R92" i="5"/>
  <c r="AC116" i="5"/>
  <c r="AQ116" i="5"/>
  <c r="AP116" i="5"/>
  <c r="AR116" i="5" s="1"/>
  <c r="BB38" i="5"/>
  <c r="R38" i="5"/>
  <c r="N3" i="5"/>
  <c r="AT3" i="5"/>
  <c r="AC113" i="5"/>
  <c r="AQ113" i="5"/>
  <c r="AP113" i="5"/>
  <c r="AR113" i="5" s="1"/>
  <c r="P177" i="5"/>
  <c r="AX177" i="5"/>
  <c r="H4" i="11"/>
  <c r="J4" i="11" s="1"/>
  <c r="H3" i="5"/>
  <c r="BB17" i="5"/>
  <c r="R17" i="5"/>
  <c r="N113" i="11"/>
  <c r="P113" i="11" s="1"/>
  <c r="T112" i="5"/>
  <c r="F37" i="5"/>
  <c r="BB54" i="5"/>
  <c r="R54" i="5"/>
  <c r="P87" i="5"/>
  <c r="AX87" i="5"/>
  <c r="P64" i="9"/>
  <c r="AC81" i="5"/>
  <c r="AQ81" i="5"/>
  <c r="AP81" i="5"/>
  <c r="AR81" i="5" s="1"/>
  <c r="R197" i="5"/>
  <c r="BB197" i="5"/>
  <c r="AT153" i="5"/>
  <c r="N153" i="5"/>
  <c r="R161" i="5"/>
  <c r="BB161" i="5"/>
  <c r="AX29" i="5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N21" i="5"/>
  <c r="AT21" i="5"/>
  <c r="R195" i="5"/>
  <c r="BB195" i="5"/>
  <c r="N145" i="5"/>
  <c r="AT145" i="5"/>
  <c r="AP134" i="5"/>
  <c r="AR134" i="5" s="1"/>
  <c r="AC134" i="5"/>
  <c r="AQ134" i="5"/>
  <c r="AT106" i="5"/>
  <c r="N106" i="5"/>
  <c r="AT123" i="5"/>
  <c r="N123" i="5"/>
  <c r="P116" i="5"/>
  <c r="AX116" i="5"/>
  <c r="AT198" i="5"/>
  <c r="N198" i="5"/>
  <c r="N48" i="11"/>
  <c r="P48" i="11" s="1"/>
  <c r="T47" i="5"/>
  <c r="P179" i="9"/>
  <c r="P101" i="5"/>
  <c r="AX101" i="5"/>
  <c r="P44" i="5"/>
  <c r="AX44" i="5"/>
  <c r="L155" i="5"/>
  <c r="K72" i="11"/>
  <c r="M72" i="11" s="1"/>
  <c r="J71" i="5"/>
  <c r="BB114" i="5"/>
  <c r="R114" i="5"/>
  <c r="T156" i="5"/>
  <c r="N157" i="11"/>
  <c r="P157" i="11" s="1"/>
  <c r="R168" i="5"/>
  <c r="BB168" i="5"/>
  <c r="AT190" i="5"/>
  <c r="N190" i="5"/>
  <c r="P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B66" i="5"/>
  <c r="R66" i="5"/>
  <c r="AT165" i="5"/>
  <c r="N165" i="5"/>
  <c r="P187" i="5"/>
  <c r="AX187" i="5"/>
  <c r="N112" i="5"/>
  <c r="BB142" i="5"/>
  <c r="R142" i="5"/>
  <c r="F150" i="5"/>
  <c r="AP89" i="5"/>
  <c r="AR89" i="5" s="1"/>
  <c r="AC89" i="5"/>
  <c r="AQ89" i="5"/>
  <c r="R76" i="5"/>
  <c r="BB34" i="5"/>
  <c r="R34" i="5"/>
  <c r="AX196" i="5"/>
  <c r="P196" i="5"/>
  <c r="BB130" i="5"/>
  <c r="R130" i="5"/>
  <c r="N136" i="5"/>
  <c r="P135" i="5"/>
  <c r="AX135" i="5"/>
  <c r="BB175" i="5"/>
  <c r="R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P121" i="5"/>
  <c r="AX121" i="5"/>
  <c r="P195" i="5"/>
  <c r="AX195" i="5"/>
  <c r="AT184" i="5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R36" i="5"/>
  <c r="AQ155" i="5"/>
  <c r="AP155" i="5"/>
  <c r="AR155" i="5" s="1"/>
  <c r="AC155" i="5"/>
  <c r="N72" i="11"/>
  <c r="P72" i="11" s="1"/>
  <c r="T71" i="5"/>
  <c r="AT111" i="5"/>
  <c r="N111" i="5"/>
  <c r="W53" i="14"/>
  <c r="H11" i="15"/>
  <c r="B11" i="15"/>
  <c r="K85" i="11"/>
  <c r="M85" i="11" s="1"/>
  <c r="J84" i="5"/>
  <c r="P190" i="5"/>
  <c r="AX190" i="5"/>
  <c r="F127" i="5"/>
  <c r="AT194" i="5"/>
  <c r="N194" i="5"/>
  <c r="AX138" i="5"/>
  <c r="P138" i="5"/>
  <c r="AP182" i="5"/>
  <c r="AR182" i="5" s="1"/>
  <c r="AC182" i="5"/>
  <c r="AQ182" i="5"/>
  <c r="AT11" i="5"/>
  <c r="N11" i="5"/>
  <c r="R176" i="5"/>
  <c r="BB176" i="5"/>
  <c r="N154" i="5"/>
  <c r="E155" i="11"/>
  <c r="G155" i="11" s="1"/>
  <c r="D204" i="1"/>
  <c r="BB51" i="5"/>
  <c r="R51" i="5"/>
  <c r="H170" i="5"/>
  <c r="H171" i="11"/>
  <c r="J171" i="11" s="1"/>
  <c r="AX66" i="5"/>
  <c r="P66" i="5"/>
  <c r="K57" i="11"/>
  <c r="M57" i="11" s="1"/>
  <c r="R56" i="5"/>
  <c r="AT164" i="5"/>
  <c r="N164" i="5"/>
  <c r="F76" i="5"/>
  <c r="N105" i="5"/>
  <c r="N71" i="5"/>
  <c r="AT71" i="5"/>
  <c r="P58" i="5"/>
  <c r="N93" i="11"/>
  <c r="P93" i="11" s="1"/>
  <c r="T92" i="5"/>
  <c r="P34" i="5"/>
  <c r="AX34" i="5"/>
  <c r="N52" i="5"/>
  <c r="N144" i="11"/>
  <c r="P144" i="11" s="1"/>
  <c r="T143" i="5"/>
  <c r="AT23" i="5"/>
  <c r="N23" i="5"/>
  <c r="P46" i="9"/>
  <c r="BB131" i="5"/>
  <c r="R131" i="5"/>
  <c r="N31" i="5"/>
  <c r="AT31" i="5"/>
  <c r="P158" i="5"/>
  <c r="AX158" i="5"/>
  <c r="AQ13" i="5"/>
  <c r="AP13" i="5"/>
  <c r="AR13" i="5" s="1"/>
  <c r="AC13" i="5"/>
  <c r="H2" i="5"/>
  <c r="E260" i="14"/>
  <c r="P2" i="5"/>
  <c r="AX2" i="5"/>
  <c r="T18" i="5"/>
  <c r="N19" i="11"/>
  <c r="P19" i="11" s="1"/>
  <c r="N64" i="5"/>
  <c r="AT64" i="5"/>
  <c r="R6" i="5"/>
  <c r="BB6" i="5"/>
  <c r="AX126" i="5"/>
  <c r="P126" i="5"/>
  <c r="AT155" i="5"/>
  <c r="N155" i="5"/>
  <c r="P132" i="9"/>
  <c r="N151" i="5"/>
  <c r="AT151" i="5"/>
  <c r="R121" i="5"/>
  <c r="BB121" i="5"/>
  <c r="AX57" i="5"/>
  <c r="P57" i="5"/>
  <c r="P184" i="5"/>
  <c r="AX184" i="5"/>
  <c r="T61" i="5"/>
  <c r="N62" i="11"/>
  <c r="P62" i="11" s="1"/>
  <c r="AX122" i="5"/>
  <c r="P122" i="5"/>
  <c r="AX156" i="5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N34" i="5"/>
  <c r="P36" i="5"/>
  <c r="AX36" i="5"/>
  <c r="P104" i="5"/>
  <c r="AX104" i="5"/>
  <c r="E72" i="11"/>
  <c r="G72" i="11" s="1"/>
  <c r="F71" i="5"/>
  <c r="P111" i="5"/>
  <c r="AX111" i="5"/>
  <c r="AX93" i="5"/>
  <c r="P93" i="5"/>
  <c r="H193" i="5"/>
  <c r="AX109" i="5"/>
  <c r="P109" i="5"/>
  <c r="N154" i="11"/>
  <c r="P154" i="11" s="1"/>
  <c r="L153" i="5"/>
  <c r="T153" i="5"/>
  <c r="AX9" i="5"/>
  <c r="P9" i="5"/>
  <c r="H127" i="5"/>
  <c r="P194" i="5"/>
  <c r="AX194" i="5"/>
  <c r="BB138" i="5"/>
  <c r="R138" i="5"/>
  <c r="AT86" i="5"/>
  <c r="N86" i="5"/>
  <c r="N88" i="11"/>
  <c r="P88" i="11" s="1"/>
  <c r="T87" i="5"/>
  <c r="AP5" i="5"/>
  <c r="AR5" i="5" s="1"/>
  <c r="AQ5" i="5"/>
  <c r="AC5" i="5"/>
  <c r="AX11" i="5"/>
  <c r="P11" i="5"/>
  <c r="R198" i="5"/>
  <c r="BB198" i="5"/>
  <c r="E204" i="1"/>
  <c r="P60" i="5"/>
  <c r="AX60" i="5"/>
  <c r="AX89" i="5"/>
  <c r="P89" i="5"/>
  <c r="F84" i="5"/>
  <c r="AX164" i="5"/>
  <c r="P164" i="5"/>
  <c r="AX71" i="5"/>
  <c r="P71" i="5"/>
  <c r="R167" i="5"/>
  <c r="BB167" i="5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N114" i="5"/>
  <c r="P62" i="5"/>
  <c r="AX62" i="5"/>
  <c r="AX23" i="5"/>
  <c r="P23" i="5"/>
  <c r="AX14" i="5"/>
  <c r="P14" i="5"/>
  <c r="AC8" i="5"/>
  <c r="AQ8" i="5"/>
  <c r="AP8" i="5"/>
  <c r="AR8" i="5" s="1"/>
  <c r="N48" i="5"/>
  <c r="AT48" i="5"/>
  <c r="AX95" i="5"/>
  <c r="P95" i="5"/>
  <c r="P143" i="9"/>
  <c r="AX31" i="5"/>
  <c r="P31" i="5"/>
  <c r="N176" i="11"/>
  <c r="P176" i="11" s="1"/>
  <c r="T175" i="5"/>
  <c r="BB158" i="5"/>
  <c r="R158" i="5"/>
  <c r="N37" i="5"/>
  <c r="P76" i="5"/>
  <c r="AX76" i="5"/>
  <c r="L22" i="5"/>
  <c r="BB79" i="5"/>
  <c r="R79" i="5"/>
  <c r="AT175" i="5"/>
  <c r="N175" i="5"/>
  <c r="P6" i="5"/>
  <c r="AX6" i="5"/>
  <c r="R126" i="5"/>
  <c r="BB126" i="5"/>
  <c r="R188" i="5"/>
  <c r="BB188" i="5"/>
  <c r="P76" i="9"/>
  <c r="AP151" i="5"/>
  <c r="AR151" i="5" s="1"/>
  <c r="AC151" i="5"/>
  <c r="AQ151" i="5"/>
  <c r="N77" i="11"/>
  <c r="P77" i="11" s="1"/>
  <c r="T76" i="5"/>
  <c r="L76" i="5"/>
  <c r="P35" i="9"/>
  <c r="AT57" i="5"/>
  <c r="N57" i="5"/>
  <c r="H41" i="11"/>
  <c r="J41" i="11" s="1"/>
  <c r="H40" i="5"/>
  <c r="AX42" i="5"/>
  <c r="P42" i="5"/>
  <c r="N197" i="5"/>
  <c r="AT197" i="5"/>
  <c r="AX98" i="5"/>
  <c r="P98" i="5"/>
  <c r="N179" i="11"/>
  <c r="P179" i="11" s="1"/>
  <c r="T178" i="5"/>
  <c r="AT107" i="5"/>
  <c r="N107" i="5"/>
  <c r="N41" i="5"/>
  <c r="AT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T104" i="5"/>
  <c r="R185" i="5"/>
  <c r="BB185" i="5"/>
  <c r="K117" i="11"/>
  <c r="M117" i="11" s="1"/>
  <c r="J116" i="5"/>
  <c r="N93" i="5"/>
  <c r="AT93" i="5"/>
  <c r="J193" i="5"/>
  <c r="N109" i="5"/>
  <c r="AT109" i="5"/>
  <c r="AT9" i="5"/>
  <c r="N9" i="5"/>
  <c r="L127" i="5"/>
  <c r="D17" i="15"/>
  <c r="E44" i="20" s="1"/>
  <c r="N151" i="11"/>
  <c r="P151" i="11" s="1"/>
  <c r="T150" i="5"/>
  <c r="N5" i="5"/>
  <c r="AT5" i="5"/>
  <c r="BB186" i="5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R60" i="5"/>
  <c r="J178" i="5"/>
  <c r="R116" i="5"/>
  <c r="P193" i="5"/>
  <c r="AX173" i="5"/>
  <c r="P173" i="5"/>
  <c r="BB35" i="5"/>
  <c r="R35" i="5"/>
  <c r="AX167" i="5"/>
  <c r="P167" i="5"/>
  <c r="H168" i="11"/>
  <c r="J168" i="11" s="1"/>
  <c r="H167" i="5"/>
  <c r="N168" i="11"/>
  <c r="P168" i="11" s="1"/>
  <c r="T167" i="5"/>
  <c r="AT118" i="5"/>
  <c r="N118" i="5"/>
  <c r="N123" i="11"/>
  <c r="P123" i="11" s="1"/>
  <c r="T122" i="5"/>
  <c r="N168" i="5"/>
  <c r="AT168" i="5"/>
  <c r="F189" i="5"/>
  <c r="P79" i="5"/>
  <c r="AX79" i="5"/>
  <c r="AT62" i="5"/>
  <c r="N62" i="5"/>
  <c r="K144" i="11"/>
  <c r="M144" i="11" s="1"/>
  <c r="R143" i="5"/>
  <c r="F134" i="5"/>
  <c r="R112" i="5"/>
  <c r="AT14" i="5"/>
  <c r="N14" i="5"/>
  <c r="AT42" i="5"/>
  <c r="N42" i="5"/>
  <c r="K62" i="11"/>
  <c r="M62" i="11" s="1"/>
  <c r="R61" i="5"/>
  <c r="R85" i="5"/>
  <c r="BB85" i="5"/>
  <c r="N98" i="5"/>
  <c r="AT98" i="5"/>
  <c r="BB183" i="5"/>
  <c r="R183" i="5"/>
  <c r="AC41" i="5"/>
  <c r="AP41" i="5"/>
  <c r="AR41" i="5" s="1"/>
  <c r="AQ41" i="5"/>
  <c r="BB89" i="5"/>
  <c r="R89" i="5"/>
  <c r="E258" i="14"/>
  <c r="AP2" i="5"/>
  <c r="AR2" i="5" s="1"/>
  <c r="AQ2" i="5"/>
  <c r="AC2" i="5"/>
  <c r="N120" i="5"/>
  <c r="AT120" i="5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H176" i="5"/>
  <c r="AT129" i="5"/>
  <c r="N129" i="5"/>
  <c r="P189" i="5"/>
  <c r="AX189" i="5"/>
  <c r="P200" i="9"/>
  <c r="G204" i="1"/>
  <c r="AT94" i="5"/>
  <c r="N94" i="5"/>
  <c r="H178" i="5"/>
  <c r="N163" i="11"/>
  <c r="P163" i="11" s="1"/>
  <c r="T162" i="5"/>
  <c r="N173" i="5"/>
  <c r="AT173" i="5"/>
  <c r="AX35" i="5"/>
  <c r="P35" i="5"/>
  <c r="P64" i="5"/>
  <c r="P151" i="9"/>
  <c r="P118" i="5"/>
  <c r="AX118" i="5"/>
  <c r="F191" i="5"/>
  <c r="R90" i="5"/>
  <c r="AX103" i="5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N79" i="5"/>
  <c r="P195" i="9"/>
  <c r="AX91" i="5"/>
  <c r="P91" i="5"/>
  <c r="R191" i="5"/>
  <c r="BB191" i="5"/>
  <c r="P136" i="9"/>
  <c r="AX152" i="5"/>
  <c r="P152" i="5"/>
  <c r="H117" i="11"/>
  <c r="J117" i="11" s="1"/>
  <c r="H116" i="5"/>
  <c r="AT193" i="5"/>
  <c r="N193" i="5"/>
  <c r="H155" i="11"/>
  <c r="J155" i="11" s="1"/>
  <c r="P154" i="5"/>
  <c r="AX155" i="5"/>
  <c r="P155" i="5"/>
  <c r="H199" i="5"/>
  <c r="B22" i="15"/>
  <c r="C49" i="20" s="1"/>
  <c r="D16" i="15"/>
  <c r="E43" i="20" s="1"/>
  <c r="R33" i="5"/>
  <c r="BB33" i="5"/>
  <c r="P129" i="5"/>
  <c r="AX129" i="5"/>
  <c r="P120" i="9"/>
  <c r="BB189" i="5"/>
  <c r="R189" i="5"/>
  <c r="H36" i="5"/>
  <c r="P194" i="9"/>
  <c r="N125" i="5"/>
  <c r="AT125" i="5"/>
  <c r="N149" i="5"/>
  <c r="AT149" i="5"/>
  <c r="B6" i="15"/>
  <c r="F16" i="3"/>
  <c r="N24" i="5"/>
  <c r="AT24" i="5"/>
  <c r="AQ83" i="5"/>
  <c r="AC83" i="5"/>
  <c r="AP83" i="5"/>
  <c r="AR83" i="5" s="1"/>
  <c r="F178" i="5"/>
  <c r="L71" i="5"/>
  <c r="AT159" i="5"/>
  <c r="N159" i="5"/>
  <c r="E163" i="11"/>
  <c r="G163" i="11" s="1"/>
  <c r="N162" i="5"/>
  <c r="AT117" i="5"/>
  <c r="N117" i="5"/>
  <c r="J138" i="5"/>
  <c r="N179" i="5"/>
  <c r="AT179" i="5"/>
  <c r="BB103" i="5"/>
  <c r="R103" i="5"/>
  <c r="P184" i="9"/>
  <c r="J134" i="5"/>
  <c r="BB91" i="5"/>
  <c r="R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P45" i="5"/>
  <c r="H8" i="11"/>
  <c r="J8" i="11" s="1"/>
  <c r="P7" i="5"/>
  <c r="AC188" i="5"/>
  <c r="AP188" i="5"/>
  <c r="AR188" i="5" s="1"/>
  <c r="AQ188" i="5"/>
  <c r="P11" i="9"/>
  <c r="R73" i="5"/>
  <c r="BB73" i="5"/>
  <c r="R152" i="5"/>
  <c r="BB152" i="5"/>
  <c r="BB148" i="5"/>
  <c r="R148" i="5"/>
  <c r="P19" i="5"/>
  <c r="AX19" i="5"/>
  <c r="N144" i="5"/>
  <c r="AT144" i="5"/>
  <c r="N119" i="5"/>
  <c r="AT119" i="5"/>
  <c r="AQ77" i="5"/>
  <c r="AP77" i="5"/>
  <c r="AR77" i="5" s="1"/>
  <c r="AC77" i="5"/>
  <c r="J170" i="5"/>
  <c r="N41" i="11"/>
  <c r="P41" i="11" s="1"/>
  <c r="T40" i="5"/>
  <c r="L40" i="5"/>
  <c r="R4" i="5"/>
  <c r="BB4" i="5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T20" i="5"/>
  <c r="N20" i="5"/>
  <c r="D20" i="15"/>
  <c r="E47" i="20" s="1"/>
  <c r="N160" i="11"/>
  <c r="P160" i="11" s="1"/>
  <c r="L159" i="5"/>
  <c r="T159" i="5"/>
  <c r="AT70" i="5"/>
  <c r="N70" i="5"/>
  <c r="J176" i="5"/>
  <c r="AX86" i="5"/>
  <c r="P86" i="5"/>
  <c r="J36" i="5"/>
  <c r="AQ156" i="5"/>
  <c r="AC156" i="5"/>
  <c r="AP156" i="5"/>
  <c r="AR156" i="5" s="1"/>
  <c r="J156" i="5"/>
  <c r="P149" i="5"/>
  <c r="AX149" i="5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P179" i="5"/>
  <c r="N72" i="5"/>
  <c r="R111" i="5"/>
  <c r="P170" i="5"/>
  <c r="AX170" i="5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T38" i="5"/>
  <c r="N38" i="5"/>
  <c r="E8" i="11"/>
  <c r="G8" i="11" s="1"/>
  <c r="N7" i="5"/>
  <c r="AX191" i="5"/>
  <c r="P191" i="5"/>
  <c r="P138" i="9"/>
  <c r="BB115" i="5"/>
  <c r="R115" i="5"/>
  <c r="N4" i="11"/>
  <c r="P4" i="11" s="1"/>
  <c r="T3" i="5"/>
  <c r="L3" i="5"/>
  <c r="P183" i="5"/>
  <c r="AX183" i="5"/>
  <c r="B10" i="15"/>
  <c r="W51" i="14"/>
  <c r="B13" i="15" s="1"/>
  <c r="C30" i="20" s="1"/>
  <c r="W52" i="14"/>
  <c r="H13" i="15" s="1"/>
  <c r="C29" i="20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T45" i="5"/>
  <c r="N45" i="5"/>
  <c r="AQ186" i="5"/>
  <c r="AP186" i="5"/>
  <c r="AR186" i="5" s="1"/>
  <c r="AC186" i="5"/>
  <c r="AX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T77" i="5"/>
  <c r="P103" i="9"/>
  <c r="AX4" i="5"/>
  <c r="P4" i="5"/>
  <c r="AX20" i="5"/>
  <c r="P20" i="5"/>
  <c r="AP70" i="5"/>
  <c r="AR70" i="5" s="1"/>
  <c r="AC70" i="5"/>
  <c r="AQ70" i="5"/>
  <c r="R84" i="5"/>
  <c r="AT171" i="5"/>
  <c r="N171" i="5"/>
  <c r="P43" i="9"/>
  <c r="F36" i="5"/>
  <c r="N4" i="5"/>
  <c r="N156" i="5"/>
  <c r="AT156" i="5"/>
  <c r="AC195" i="5"/>
  <c r="AQ195" i="5"/>
  <c r="AP195" i="5"/>
  <c r="AR195" i="5" s="1"/>
  <c r="N91" i="11"/>
  <c r="P91" i="11" s="1"/>
  <c r="T90" i="5"/>
  <c r="BB3" i="5"/>
  <c r="R3" i="5"/>
  <c r="K163" i="11"/>
  <c r="M163" i="11" s="1"/>
  <c r="R162" i="5"/>
  <c r="BB135" i="5"/>
  <c r="R135" i="5"/>
  <c r="BB170" i="5"/>
  <c r="R170" i="5"/>
  <c r="N36" i="5"/>
  <c r="L191" i="5"/>
  <c r="AX43" i="5"/>
  <c r="P43" i="5"/>
  <c r="R46" i="5"/>
  <c r="BB46" i="5"/>
  <c r="BB117" i="5"/>
  <c r="R117" i="5"/>
  <c r="AP165" i="5"/>
  <c r="AR165" i="5" s="1"/>
  <c r="AC165" i="5"/>
  <c r="AQ165" i="5"/>
  <c r="P100" i="9"/>
  <c r="R37" i="5"/>
  <c r="BB37" i="5"/>
  <c r="P85" i="5"/>
  <c r="AX85" i="5"/>
  <c r="N19" i="5"/>
  <c r="AT19" i="5"/>
  <c r="H153" i="5"/>
  <c r="H154" i="11"/>
  <c r="J154" i="11" s="1"/>
  <c r="P107" i="9"/>
  <c r="K41" i="11"/>
  <c r="M41" i="11" s="1"/>
  <c r="J40" i="5"/>
  <c r="BB48" i="5"/>
  <c r="R48" i="5"/>
  <c r="BB12" i="5"/>
  <c r="R12" i="5"/>
  <c r="N38" i="11"/>
  <c r="P38" i="11" s="1"/>
  <c r="T37" i="5"/>
  <c r="BB95" i="5"/>
  <c r="R95" i="5"/>
  <c r="H18" i="5"/>
  <c r="P174" i="9"/>
  <c r="AX92" i="5"/>
  <c r="P92" i="5"/>
  <c r="AP122" i="5"/>
  <c r="AR122" i="5" s="1"/>
  <c r="AQ122" i="5"/>
  <c r="AC122" i="5"/>
  <c r="P12" i="5"/>
  <c r="AX12" i="5"/>
  <c r="J18" i="5"/>
  <c r="AT22" i="5"/>
  <c r="N22" i="5"/>
  <c r="AC95" i="5"/>
  <c r="AQ95" i="5"/>
  <c r="AP95" i="5"/>
  <c r="AR95" i="5" s="1"/>
  <c r="N189" i="5"/>
  <c r="H195" i="5"/>
  <c r="J112" i="5"/>
  <c r="N17" i="5"/>
  <c r="AT17" i="5"/>
  <c r="H17" i="5"/>
  <c r="P109" i="9"/>
  <c r="AT127" i="5"/>
  <c r="N127" i="5"/>
  <c r="P72" i="5"/>
  <c r="H73" i="11"/>
  <c r="J73" i="11" s="1"/>
  <c r="N65" i="11"/>
  <c r="P65" i="11" s="1"/>
  <c r="T64" i="5"/>
  <c r="AX47" i="5"/>
  <c r="P47" i="5"/>
  <c r="L18" i="5"/>
  <c r="AX112" i="5"/>
  <c r="P112" i="5"/>
  <c r="H64" i="5"/>
  <c r="P7" i="9"/>
  <c r="AT15" i="5"/>
  <c r="N15" i="5"/>
  <c r="P154" i="9"/>
  <c r="E103" i="11"/>
  <c r="G103" i="11" s="1"/>
  <c r="N102" i="5"/>
  <c r="F195" i="5"/>
  <c r="AT140" i="5"/>
  <c r="N140" i="5"/>
  <c r="AT166" i="5"/>
  <c r="N166" i="5"/>
  <c r="J111" i="5"/>
  <c r="AT40" i="5"/>
  <c r="N40" i="5"/>
  <c r="P47" i="9"/>
  <c r="L112" i="5"/>
  <c r="P149" i="9"/>
  <c r="N186" i="5"/>
  <c r="AT186" i="5"/>
  <c r="N30" i="5"/>
  <c r="AT30" i="5"/>
  <c r="H7" i="5"/>
  <c r="AX192" i="5"/>
  <c r="P192" i="5"/>
  <c r="N8" i="11"/>
  <c r="P8" i="11" s="1"/>
  <c r="T7" i="5"/>
  <c r="AT46" i="5"/>
  <c r="N46" i="5"/>
  <c r="AX13" i="5"/>
  <c r="P13" i="5"/>
  <c r="J76" i="5"/>
  <c r="AX78" i="5"/>
  <c r="P78" i="5"/>
  <c r="J3" i="5"/>
  <c r="N157" i="5"/>
  <c r="AT157" i="5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N135" i="5"/>
  <c r="F58" i="5"/>
  <c r="AQ6" i="5"/>
  <c r="AP6" i="5"/>
  <c r="AR6" i="5" s="1"/>
  <c r="AC6" i="5"/>
  <c r="R133" i="5"/>
  <c r="BB133" i="5"/>
  <c r="AC171" i="5"/>
  <c r="AQ171" i="5"/>
  <c r="AP171" i="5"/>
  <c r="AR171" i="5" s="1"/>
  <c r="R49" i="5"/>
  <c r="BB49" i="5"/>
  <c r="H76" i="5"/>
  <c r="P26" i="9"/>
  <c r="P3" i="5"/>
  <c r="AX3" i="5"/>
  <c r="R106" i="5"/>
  <c r="AT39" i="5"/>
  <c r="N39" i="5"/>
  <c r="N9" i="11"/>
  <c r="P9" i="11" s="1"/>
  <c r="T8" i="5"/>
  <c r="N61" i="5"/>
  <c r="P167" i="9"/>
  <c r="AX68" i="5"/>
  <c r="P68" i="5"/>
  <c r="H66" i="5"/>
  <c r="F123" i="5"/>
  <c r="P75" i="5"/>
  <c r="AX75" i="5"/>
  <c r="E25" i="11"/>
  <c r="G25" i="11" s="1"/>
  <c r="F24" i="5"/>
  <c r="BB43" i="5"/>
  <c r="R43" i="5"/>
  <c r="N2" i="5"/>
  <c r="P90" i="9"/>
  <c r="P96" i="9"/>
  <c r="P45" i="9"/>
  <c r="N186" i="11"/>
  <c r="P186" i="11" s="1"/>
  <c r="T185" i="5"/>
  <c r="L185" i="5"/>
  <c r="N192" i="5"/>
  <c r="AT192" i="5"/>
  <c r="B273" i="14"/>
  <c r="P2" i="9"/>
  <c r="P133" i="9"/>
  <c r="R13" i="5"/>
  <c r="BB13" i="5"/>
  <c r="AT181" i="5"/>
  <c r="N181" i="5"/>
  <c r="AX32" i="5"/>
  <c r="P32" i="5"/>
  <c r="R200" i="5"/>
  <c r="BB200" i="5"/>
  <c r="R155" i="5"/>
  <c r="AQ90" i="5"/>
  <c r="AC90" i="5"/>
  <c r="AP90" i="5"/>
  <c r="AR90" i="5" s="1"/>
  <c r="AT10" i="5"/>
  <c r="N10" i="5"/>
  <c r="F155" i="5"/>
  <c r="N56" i="5"/>
  <c r="AT56" i="5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N6" i="5"/>
  <c r="P133" i="5"/>
  <c r="AX133" i="5"/>
  <c r="N173" i="11"/>
  <c r="P173" i="11" s="1"/>
  <c r="T172" i="5"/>
  <c r="P54" i="9"/>
  <c r="P24" i="9"/>
  <c r="AY49" i="5"/>
  <c r="P49" i="5"/>
  <c r="AX49" i="5"/>
  <c r="AT131" i="5"/>
  <c r="N131" i="5"/>
  <c r="N137" i="11"/>
  <c r="P137" i="11" s="1"/>
  <c r="T136" i="5"/>
  <c r="P163" i="9"/>
  <c r="AP55" i="5"/>
  <c r="AR55" i="5" s="1"/>
  <c r="AQ55" i="5"/>
  <c r="AC55" i="5"/>
  <c r="AX80" i="5"/>
  <c r="P80" i="5"/>
  <c r="H186" i="5"/>
  <c r="AC39" i="5"/>
  <c r="AQ39" i="5"/>
  <c r="AP39" i="5"/>
  <c r="AR39" i="5" s="1"/>
  <c r="J107" i="5"/>
  <c r="R18" i="5"/>
  <c r="J117" i="5"/>
  <c r="N68" i="5"/>
  <c r="AT68" i="5"/>
  <c r="AT75" i="5"/>
  <c r="N75" i="5"/>
  <c r="N96" i="11"/>
  <c r="P96" i="11" s="1"/>
  <c r="T95" i="5"/>
  <c r="H24" i="5"/>
  <c r="H25" i="11"/>
  <c r="J25" i="11" s="1"/>
  <c r="AT59" i="5"/>
  <c r="N59" i="5"/>
  <c r="P38" i="5"/>
  <c r="AX38" i="5"/>
  <c r="K151" i="11"/>
  <c r="M151" i="11" s="1"/>
  <c r="J150" i="5"/>
  <c r="AX115" i="5"/>
  <c r="P115" i="5"/>
  <c r="AP74" i="5"/>
  <c r="AR74" i="5" s="1"/>
  <c r="AQ74" i="5"/>
  <c r="AC74" i="5"/>
  <c r="P134" i="5"/>
  <c r="H135" i="11"/>
  <c r="J135" i="11" s="1"/>
  <c r="P27" i="9"/>
  <c r="AT58" i="5"/>
  <c r="N58" i="5"/>
  <c r="P21" i="9"/>
  <c r="AC185" i="5"/>
  <c r="AP185" i="5"/>
  <c r="AR185" i="5" s="1"/>
  <c r="AQ185" i="5"/>
  <c r="AX140" i="5"/>
  <c r="P140" i="5"/>
  <c r="P166" i="5"/>
  <c r="AX166" i="5"/>
  <c r="P55" i="9"/>
  <c r="BB62" i="5"/>
  <c r="R62" i="5"/>
  <c r="AT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B52" i="5"/>
  <c r="R52" i="5"/>
  <c r="AQ78" i="5"/>
  <c r="AC78" i="5"/>
  <c r="AP78" i="5"/>
  <c r="AR78" i="5" s="1"/>
  <c r="P80" i="9"/>
  <c r="BB15" i="5"/>
  <c r="R15" i="5"/>
  <c r="P104" i="9"/>
  <c r="N185" i="5"/>
  <c r="AT185" i="5"/>
  <c r="AQ137" i="5"/>
  <c r="AP137" i="5"/>
  <c r="AR137" i="5" s="1"/>
  <c r="AC137" i="5"/>
  <c r="E67" i="11"/>
  <c r="G67" i="11" s="1"/>
  <c r="N66" i="5"/>
  <c r="P142" i="5"/>
  <c r="AX142" i="5"/>
  <c r="K187" i="11"/>
  <c r="M187" i="11" s="1"/>
  <c r="J186" i="5"/>
  <c r="AT146" i="5"/>
  <c r="N146" i="5"/>
  <c r="P163" i="5"/>
  <c r="AX163" i="5"/>
  <c r="P9" i="9"/>
  <c r="P178" i="5"/>
  <c r="AX178" i="5"/>
  <c r="AX174" i="5"/>
  <c r="P174" i="5"/>
  <c r="BB58" i="5"/>
  <c r="R58" i="5"/>
  <c r="AC147" i="5"/>
  <c r="AQ147" i="5"/>
  <c r="AP147" i="5"/>
  <c r="AR147" i="5" s="1"/>
  <c r="AT99" i="5"/>
  <c r="N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T32" i="5"/>
  <c r="N108" i="5"/>
  <c r="AT108" i="5"/>
  <c r="AC176" i="5"/>
  <c r="AQ176" i="5"/>
  <c r="AP176" i="5"/>
  <c r="AR176" i="5" s="1"/>
  <c r="AT90" i="5"/>
  <c r="N90" i="5"/>
  <c r="AQ61" i="5"/>
  <c r="AP61" i="5"/>
  <c r="AR61" i="5" s="1"/>
  <c r="AC61" i="5"/>
  <c r="AT50" i="5"/>
  <c r="N50" i="5"/>
  <c r="AP10" i="5"/>
  <c r="AR10" i="5" s="1"/>
  <c r="AQ10" i="5"/>
  <c r="AC10" i="5"/>
  <c r="AX56" i="5"/>
  <c r="P56" i="5"/>
  <c r="N180" i="5"/>
  <c r="AT180" i="5"/>
  <c r="E171" i="11"/>
  <c r="G171" i="11" s="1"/>
  <c r="F170" i="5"/>
  <c r="N170" i="5"/>
  <c r="N200" i="11"/>
  <c r="P200" i="11" s="1"/>
  <c r="T199" i="5"/>
  <c r="D18" i="15"/>
  <c r="E45" i="20" s="1"/>
  <c r="L186" i="5"/>
  <c r="F102" i="5"/>
  <c r="K173" i="11"/>
  <c r="M173" i="11" s="1"/>
  <c r="R172" i="5"/>
  <c r="BB127" i="5"/>
  <c r="R127" i="5"/>
  <c r="AQ84" i="5"/>
  <c r="AC84" i="5"/>
  <c r="AP84" i="5"/>
  <c r="AR84" i="5" s="1"/>
  <c r="P94" i="9"/>
  <c r="AQ132" i="5"/>
  <c r="AP132" i="5"/>
  <c r="AR132" i="5" s="1"/>
  <c r="AC132" i="5"/>
  <c r="AT55" i="5"/>
  <c r="N55" i="5"/>
  <c r="R80" i="5"/>
  <c r="BB80" i="5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N116" i="5"/>
  <c r="P13" i="9"/>
  <c r="N25" i="11"/>
  <c r="P25" i="11" s="1"/>
  <c r="T24" i="5"/>
  <c r="L24" i="5"/>
  <c r="AX59" i="5"/>
  <c r="P59" i="5"/>
  <c r="P139" i="9"/>
  <c r="AY56" i="5" l="1"/>
  <c r="BD58" i="5"/>
  <c r="AU14" i="5"/>
  <c r="AU104" i="5"/>
  <c r="AU129" i="5"/>
  <c r="AV120" i="5"/>
  <c r="AU166" i="5"/>
  <c r="AV98" i="5"/>
  <c r="AU108" i="5"/>
  <c r="AU99" i="5"/>
  <c r="AV50" i="5"/>
  <c r="AV127" i="5"/>
  <c r="AV22" i="5"/>
  <c r="AV77" i="5"/>
  <c r="AU171" i="5"/>
  <c r="AZ163" i="5"/>
  <c r="F57" i="20"/>
  <c r="B57" i="20"/>
  <c r="AY142" i="5"/>
  <c r="B54" i="20"/>
  <c r="F54" i="20"/>
  <c r="B56" i="20"/>
  <c r="F56" i="20"/>
  <c r="F55" i="20"/>
  <c r="B55" i="20"/>
  <c r="BC15" i="5"/>
  <c r="AZ80" i="5"/>
  <c r="AZ68" i="5"/>
  <c r="BC12" i="5"/>
  <c r="AZ12" i="5"/>
  <c r="AU98" i="5"/>
  <c r="AU50" i="5"/>
  <c r="AV32" i="5"/>
  <c r="AV68" i="5"/>
  <c r="AU153" i="5"/>
  <c r="AV187" i="5"/>
  <c r="AU30" i="5"/>
  <c r="AV139" i="5"/>
  <c r="AU8" i="5"/>
  <c r="AU180" i="5"/>
  <c r="AU32" i="5"/>
  <c r="AV99" i="5"/>
  <c r="AV186" i="5"/>
  <c r="AU149" i="5"/>
  <c r="AV94" i="5"/>
  <c r="AV81" i="5"/>
  <c r="AU116" i="5"/>
  <c r="AV180" i="5"/>
  <c r="AU68" i="5"/>
  <c r="AU159" i="5"/>
  <c r="AU59" i="5"/>
  <c r="AU46" i="5"/>
  <c r="BH136" i="5"/>
  <c r="AV197" i="5"/>
  <c r="AU86" i="5"/>
  <c r="AU38" i="5"/>
  <c r="AU181" i="5"/>
  <c r="AV135" i="5"/>
  <c r="AV179" i="5"/>
  <c r="AU155" i="5"/>
  <c r="AV10" i="5"/>
  <c r="AV20" i="5"/>
  <c r="AU168" i="5"/>
  <c r="AU41" i="5"/>
  <c r="AV48" i="5"/>
  <c r="BH83" i="5"/>
  <c r="F15" i="15"/>
  <c r="C53" i="20" s="1"/>
  <c r="AY178" i="5"/>
  <c r="BG184" i="5"/>
  <c r="AY4" i="5"/>
  <c r="BG170" i="5"/>
  <c r="AZ85" i="5"/>
  <c r="BG28" i="5"/>
  <c r="AY38" i="5"/>
  <c r="BG72" i="5"/>
  <c r="AZ133" i="5"/>
  <c r="AZ118" i="5"/>
  <c r="BH32" i="5"/>
  <c r="AY47" i="5"/>
  <c r="AZ166" i="5"/>
  <c r="AZ135" i="5"/>
  <c r="AY166" i="5"/>
  <c r="BG111" i="5"/>
  <c r="BG52" i="5"/>
  <c r="BG152" i="5"/>
  <c r="BG119" i="5"/>
  <c r="BH158" i="5"/>
  <c r="BG156" i="5"/>
  <c r="BG180" i="5"/>
  <c r="BH167" i="5"/>
  <c r="BH59" i="5"/>
  <c r="BG12" i="5"/>
  <c r="BH5" i="5"/>
  <c r="BG104" i="5"/>
  <c r="BG97" i="5"/>
  <c r="BG138" i="5"/>
  <c r="BH192" i="5"/>
  <c r="BG38" i="5"/>
  <c r="BH19" i="5"/>
  <c r="BG83" i="5"/>
  <c r="BG76" i="5"/>
  <c r="BG31" i="5"/>
  <c r="BG78" i="5"/>
  <c r="BH6" i="5"/>
  <c r="BH73" i="5"/>
  <c r="BG65" i="5"/>
  <c r="BH161" i="5"/>
  <c r="BH104" i="5"/>
  <c r="BH15" i="5"/>
  <c r="BH18" i="5"/>
  <c r="BG173" i="5"/>
  <c r="BG157" i="5"/>
  <c r="BH178" i="5"/>
  <c r="BG163" i="5"/>
  <c r="BG112" i="5"/>
  <c r="BH7" i="5"/>
  <c r="BH17" i="5"/>
  <c r="BG61" i="5"/>
  <c r="BG110" i="5"/>
  <c r="AY163" i="5"/>
  <c r="AZ140" i="5"/>
  <c r="AU140" i="5"/>
  <c r="AU17" i="5"/>
  <c r="AU19" i="5"/>
  <c r="AZ159" i="5"/>
  <c r="AV119" i="5"/>
  <c r="AU94" i="5"/>
  <c r="AZ122" i="5"/>
  <c r="BG59" i="5"/>
  <c r="BG114" i="5"/>
  <c r="BH185" i="5"/>
  <c r="BH138" i="5"/>
  <c r="BG55" i="5"/>
  <c r="BG172" i="5"/>
  <c r="BG125" i="5"/>
  <c r="BH28" i="5"/>
  <c r="BH172" i="5"/>
  <c r="BH41" i="5"/>
  <c r="BH43" i="5"/>
  <c r="BH155" i="5"/>
  <c r="AV60" i="5"/>
  <c r="BH82" i="5"/>
  <c r="AV192" i="5"/>
  <c r="AY200" i="5"/>
  <c r="AU157" i="5"/>
  <c r="AZ47" i="5"/>
  <c r="AV171" i="5"/>
  <c r="AU77" i="5"/>
  <c r="AU119" i="5"/>
  <c r="AU179" i="5"/>
  <c r="AV125" i="5"/>
  <c r="AU118" i="5"/>
  <c r="AU107" i="5"/>
  <c r="BG46" i="5"/>
  <c r="BH46" i="5"/>
  <c r="BH148" i="5"/>
  <c r="BH8" i="5"/>
  <c r="BH173" i="5"/>
  <c r="BG164" i="5"/>
  <c r="BG161" i="5"/>
  <c r="BG167" i="5"/>
  <c r="BH151" i="5"/>
  <c r="BG200" i="5"/>
  <c r="BH62" i="5"/>
  <c r="BH33" i="5"/>
  <c r="AZ127" i="5"/>
  <c r="AU40" i="5"/>
  <c r="AV62" i="5"/>
  <c r="AV118" i="5"/>
  <c r="AY111" i="5"/>
  <c r="AU23" i="5"/>
  <c r="AZ29" i="5"/>
  <c r="BH117" i="5"/>
  <c r="BH79" i="5"/>
  <c r="BH53" i="5"/>
  <c r="BG117" i="5"/>
  <c r="BG67" i="5"/>
  <c r="BG183" i="5"/>
  <c r="BH124" i="5"/>
  <c r="BH122" i="5"/>
  <c r="BH70" i="5"/>
  <c r="BG90" i="5"/>
  <c r="BH135" i="5"/>
  <c r="BG42" i="5"/>
  <c r="BH45" i="5"/>
  <c r="BG182" i="5"/>
  <c r="BG193" i="5"/>
  <c r="BH190" i="5"/>
  <c r="BH112" i="5"/>
  <c r="BG145" i="5"/>
  <c r="BG15" i="5"/>
  <c r="BH98" i="5"/>
  <c r="AV146" i="5"/>
  <c r="AU6" i="5"/>
  <c r="AY75" i="5"/>
  <c r="AZ192" i="5"/>
  <c r="AU42" i="5"/>
  <c r="AU62" i="5"/>
  <c r="AV107" i="5"/>
  <c r="BH63" i="5"/>
  <c r="BH71" i="5"/>
  <c r="BH16" i="5"/>
  <c r="BG100" i="5"/>
  <c r="BG124" i="5"/>
  <c r="BH38" i="5"/>
  <c r="BH94" i="5"/>
  <c r="BH58" i="5"/>
  <c r="BG5" i="5"/>
  <c r="L262" i="14"/>
  <c r="BH74" i="5"/>
  <c r="BG142" i="5"/>
  <c r="BH85" i="5"/>
  <c r="AU39" i="5"/>
  <c r="AU185" i="5"/>
  <c r="AV142" i="5"/>
  <c r="AZ75" i="5"/>
  <c r="AU75" i="5"/>
  <c r="AV131" i="5"/>
  <c r="AV6" i="5"/>
  <c r="AZ32" i="5"/>
  <c r="AY78" i="5"/>
  <c r="AY192" i="5"/>
  <c r="AV40" i="5"/>
  <c r="AU173" i="5"/>
  <c r="BG150" i="5"/>
  <c r="BG181" i="5"/>
  <c r="BH141" i="5"/>
  <c r="BH118" i="5"/>
  <c r="BG128" i="5"/>
  <c r="BG13" i="5"/>
  <c r="BG143" i="5"/>
  <c r="BH11" i="5"/>
  <c r="BH200" i="5"/>
  <c r="BG122" i="5"/>
  <c r="BG160" i="5"/>
  <c r="BG37" i="5"/>
  <c r="AZ169" i="5"/>
  <c r="AY115" i="5"/>
  <c r="AY59" i="5"/>
  <c r="AU146" i="5"/>
  <c r="AU131" i="5"/>
  <c r="AU56" i="5"/>
  <c r="AY32" i="5"/>
  <c r="AV39" i="5"/>
  <c r="AZ174" i="5"/>
  <c r="AU58" i="5"/>
  <c r="AY80" i="5"/>
  <c r="AZ49" i="5"/>
  <c r="AU10" i="5"/>
  <c r="AY3" i="5"/>
  <c r="AZ78" i="5"/>
  <c r="AV15" i="5"/>
  <c r="AV117" i="5"/>
  <c r="AV24" i="5"/>
  <c r="AV173" i="5"/>
  <c r="BG11" i="5"/>
  <c r="BH84" i="5"/>
  <c r="BG50" i="5"/>
  <c r="BH188" i="5"/>
  <c r="BG154" i="5"/>
  <c r="BG165" i="5"/>
  <c r="BG51" i="5"/>
  <c r="BG18" i="5"/>
  <c r="BH180" i="5"/>
  <c r="BH36" i="5"/>
  <c r="BH179" i="5"/>
  <c r="AU90" i="5"/>
  <c r="AV185" i="5"/>
  <c r="AU142" i="5"/>
  <c r="AZ200" i="5"/>
  <c r="AZ178" i="5"/>
  <c r="AZ142" i="5"/>
  <c r="AZ38" i="5"/>
  <c r="AZ3" i="5"/>
  <c r="AU156" i="5"/>
  <c r="AU45" i="5"/>
  <c r="AV70" i="5"/>
  <c r="AU117" i="5"/>
  <c r="AU24" i="5"/>
  <c r="AU93" i="5"/>
  <c r="AU175" i="5"/>
  <c r="AZ101" i="5"/>
  <c r="AU196" i="5"/>
  <c r="BG177" i="5"/>
  <c r="BG33" i="5"/>
  <c r="BH153" i="5"/>
  <c r="BH22" i="5"/>
  <c r="BG77" i="5"/>
  <c r="BG29" i="5"/>
  <c r="BH14" i="5"/>
  <c r="BH23" i="5"/>
  <c r="BH183" i="5"/>
  <c r="AV108" i="5"/>
  <c r="AV58" i="5"/>
  <c r="AV75" i="5"/>
  <c r="AV181" i="5"/>
  <c r="AV144" i="5"/>
  <c r="AV175" i="5"/>
  <c r="AV86" i="5"/>
  <c r="AV198" i="5"/>
  <c r="AU145" i="5"/>
  <c r="AU178" i="5"/>
  <c r="BG199" i="5"/>
  <c r="BH157" i="5"/>
  <c r="BG105" i="5"/>
  <c r="BG194" i="5"/>
  <c r="BG196" i="5"/>
  <c r="BH131" i="5"/>
  <c r="BG60" i="5"/>
  <c r="BH156" i="5"/>
  <c r="BG56" i="5"/>
  <c r="BH175" i="5"/>
  <c r="BH102" i="5"/>
  <c r="BH96" i="5"/>
  <c r="BH2" i="5"/>
  <c r="BG54" i="5"/>
  <c r="BH91" i="5"/>
  <c r="BG75" i="5"/>
  <c r="BH126" i="5"/>
  <c r="BG82" i="5"/>
  <c r="BH119" i="5"/>
  <c r="BH77" i="5"/>
  <c r="BG66" i="5"/>
  <c r="BG187" i="5"/>
  <c r="BG144" i="5"/>
  <c r="BH194" i="5"/>
  <c r="BH67" i="5"/>
  <c r="BH42" i="5"/>
  <c r="BG84" i="5"/>
  <c r="BH150" i="5"/>
  <c r="BG169" i="5"/>
  <c r="BH181" i="5"/>
  <c r="BH72" i="5"/>
  <c r="BH186" i="5"/>
  <c r="BH129" i="5"/>
  <c r="BH75" i="5"/>
  <c r="BH66" i="5"/>
  <c r="BG96" i="5"/>
  <c r="BH110" i="5"/>
  <c r="BG92" i="5"/>
  <c r="BG189" i="5"/>
  <c r="BG99" i="5"/>
  <c r="BH147" i="5"/>
  <c r="BG45" i="5"/>
  <c r="BH99" i="5"/>
  <c r="BH78" i="5"/>
  <c r="BG32" i="5"/>
  <c r="BG192" i="5"/>
  <c r="BH134" i="5"/>
  <c r="BG133" i="5"/>
  <c r="BH182" i="5"/>
  <c r="BG6" i="5"/>
  <c r="BH60" i="5"/>
  <c r="BH159" i="5"/>
  <c r="BG185" i="5"/>
  <c r="BH123" i="5"/>
  <c r="BH160" i="5"/>
  <c r="BG129" i="5"/>
  <c r="BH196" i="5"/>
  <c r="BG89" i="5"/>
  <c r="BG113" i="5"/>
  <c r="BG48" i="5"/>
  <c r="AU9" i="5"/>
  <c r="AU31" i="5"/>
  <c r="AU97" i="5"/>
  <c r="AV47" i="5"/>
  <c r="BH97" i="5"/>
  <c r="BG17" i="5"/>
  <c r="BG147" i="5"/>
  <c r="BH133" i="5"/>
  <c r="BH130" i="5"/>
  <c r="BH107" i="5"/>
  <c r="BG8" i="5"/>
  <c r="BG63" i="5"/>
  <c r="J262" i="14"/>
  <c r="BH108" i="5"/>
  <c r="BH197" i="5"/>
  <c r="BG149" i="5"/>
  <c r="BH10" i="5"/>
  <c r="BH165" i="5"/>
  <c r="BG131" i="5"/>
  <c r="BH39" i="5"/>
  <c r="BG36" i="5"/>
  <c r="BG123" i="5"/>
  <c r="BG27" i="5"/>
  <c r="BG20" i="5"/>
  <c r="BG102" i="5"/>
  <c r="BG120" i="5"/>
  <c r="BH132" i="5"/>
  <c r="BH40" i="5"/>
  <c r="BH149" i="5"/>
  <c r="BH145" i="5"/>
  <c r="BG109" i="5"/>
  <c r="BH168" i="5"/>
  <c r="BG16" i="5"/>
  <c r="BH31" i="5"/>
  <c r="BG171" i="5"/>
  <c r="BG24" i="5"/>
  <c r="AU151" i="5"/>
  <c r="AU123" i="5"/>
  <c r="BH105" i="5"/>
  <c r="BH146" i="5"/>
  <c r="BG94" i="5"/>
  <c r="BG135" i="5"/>
  <c r="BG85" i="5"/>
  <c r="K262" i="14"/>
  <c r="BH48" i="5"/>
  <c r="BH34" i="5"/>
  <c r="BH191" i="5"/>
  <c r="BH142" i="5"/>
  <c r="BH76" i="5"/>
  <c r="BH3" i="5"/>
  <c r="BH164" i="5"/>
  <c r="BG35" i="5"/>
  <c r="BH198" i="5"/>
  <c r="BG126" i="5"/>
  <c r="BH144" i="5"/>
  <c r="BG73" i="5"/>
  <c r="BG168" i="5"/>
  <c r="BG14" i="5"/>
  <c r="BH143" i="5"/>
  <c r="BG178" i="5"/>
  <c r="BH125" i="5"/>
  <c r="BH12" i="5"/>
  <c r="BH174" i="5"/>
  <c r="BG139" i="5"/>
  <c r="BH170" i="5"/>
  <c r="BH27" i="5"/>
  <c r="BH163" i="5"/>
  <c r="BH106" i="5"/>
  <c r="BG10" i="5"/>
  <c r="BH21" i="5"/>
  <c r="BH54" i="5"/>
  <c r="BG146" i="5"/>
  <c r="BG49" i="5"/>
  <c r="AU11" i="5"/>
  <c r="AV184" i="5"/>
  <c r="AU165" i="5"/>
  <c r="BG115" i="5"/>
  <c r="BH9" i="5"/>
  <c r="BG25" i="5"/>
  <c r="BH114" i="5"/>
  <c r="BG198" i="5"/>
  <c r="BG148" i="5"/>
  <c r="BH56" i="5"/>
  <c r="BH13" i="5"/>
  <c r="BH189" i="5"/>
  <c r="BH137" i="5"/>
  <c r="BG95" i="5"/>
  <c r="BG22" i="5"/>
  <c r="BH86" i="5"/>
  <c r="BG23" i="5"/>
  <c r="BG98" i="5"/>
  <c r="BH100" i="5"/>
  <c r="BG175" i="5"/>
  <c r="BH35" i="5"/>
  <c r="BH166" i="5"/>
  <c r="BH152" i="5"/>
  <c r="BG44" i="5"/>
  <c r="BG134" i="5"/>
  <c r="BH162" i="5"/>
  <c r="BG43" i="5"/>
  <c r="BH44" i="5"/>
  <c r="BH52" i="5"/>
  <c r="BG74" i="5"/>
  <c r="BH68" i="5"/>
  <c r="BG39" i="5"/>
  <c r="BG91" i="5"/>
  <c r="BG62" i="5"/>
  <c r="BH30" i="5"/>
  <c r="BH93" i="5"/>
  <c r="BG80" i="5"/>
  <c r="BH29" i="5"/>
  <c r="AV116" i="5"/>
  <c r="AU55" i="5"/>
  <c r="AV59" i="5"/>
  <c r="AU135" i="5"/>
  <c r="AU186" i="5"/>
  <c r="AV166" i="5"/>
  <c r="AU22" i="5"/>
  <c r="AU193" i="5"/>
  <c r="AV42" i="5"/>
  <c r="AV5" i="5"/>
  <c r="AU109" i="5"/>
  <c r="AZ71" i="5"/>
  <c r="AY147" i="5"/>
  <c r="AU190" i="5"/>
  <c r="AV169" i="5"/>
  <c r="BH103" i="5"/>
  <c r="BG69" i="5"/>
  <c r="BG195" i="5"/>
  <c r="BG141" i="5"/>
  <c r="BH139" i="5"/>
  <c r="BH176" i="5"/>
  <c r="BG2" i="5"/>
  <c r="BG130" i="5"/>
  <c r="BG158" i="5"/>
  <c r="BG86" i="5"/>
  <c r="BG9" i="5"/>
  <c r="BH4" i="5"/>
  <c r="BG166" i="5"/>
  <c r="BG174" i="5"/>
  <c r="BG107" i="5"/>
  <c r="BG108" i="5"/>
  <c r="BG21" i="5"/>
  <c r="BG71" i="5"/>
  <c r="BG57" i="5"/>
  <c r="BG87" i="5"/>
  <c r="BH111" i="5"/>
  <c r="BG64" i="5"/>
  <c r="BG53" i="5"/>
  <c r="BG159" i="5"/>
  <c r="BG101" i="5"/>
  <c r="BH26" i="5"/>
  <c r="BG136" i="5"/>
  <c r="BG179" i="5"/>
  <c r="BG58" i="5"/>
  <c r="BH177" i="5"/>
  <c r="BG188" i="5"/>
  <c r="BG155" i="5"/>
  <c r="BG162" i="5"/>
  <c r="BG47" i="5"/>
  <c r="BH116" i="5"/>
  <c r="BG40" i="5"/>
  <c r="BG81" i="5"/>
  <c r="BG70" i="5"/>
  <c r="BH50" i="5"/>
  <c r="BH95" i="5"/>
  <c r="BH113" i="5"/>
  <c r="BH87" i="5"/>
  <c r="BH109" i="5"/>
  <c r="BG151" i="5"/>
  <c r="BG4" i="5"/>
  <c r="BH49" i="5"/>
  <c r="BH101" i="5"/>
  <c r="BH81" i="5"/>
  <c r="BH115" i="5"/>
  <c r="BH195" i="5"/>
  <c r="BH69" i="5"/>
  <c r="BG127" i="5"/>
  <c r="BG41" i="5"/>
  <c r="BH61" i="5"/>
  <c r="BG197" i="5"/>
  <c r="BH24" i="5"/>
  <c r="BH55" i="5"/>
  <c r="BH154" i="5"/>
  <c r="BH92" i="5"/>
  <c r="BH90" i="5"/>
  <c r="BG137" i="5"/>
  <c r="BG34" i="5"/>
  <c r="BG153" i="5"/>
  <c r="BH64" i="5"/>
  <c r="AV55" i="5"/>
  <c r="AV90" i="5"/>
  <c r="AV56" i="5"/>
  <c r="AU192" i="5"/>
  <c r="AV157" i="5"/>
  <c r="AV46" i="5"/>
  <c r="AV140" i="5"/>
  <c r="AV17" i="5"/>
  <c r="AV19" i="5"/>
  <c r="AV38" i="5"/>
  <c r="AV79" i="5"/>
  <c r="AU120" i="5"/>
  <c r="AU5" i="5"/>
  <c r="AV93" i="5"/>
  <c r="AU57" i="5"/>
  <c r="AU71" i="5"/>
  <c r="AY135" i="5"/>
  <c r="AV106" i="5"/>
  <c r="AV84" i="5"/>
  <c r="AU199" i="5"/>
  <c r="BH169" i="5"/>
  <c r="BH88" i="5"/>
  <c r="BH80" i="5"/>
  <c r="BG132" i="5"/>
  <c r="BG118" i="5"/>
  <c r="BH128" i="5"/>
  <c r="BG191" i="5"/>
  <c r="BG121" i="5"/>
  <c r="BG93" i="5"/>
  <c r="BH120" i="5"/>
  <c r="BH20" i="5"/>
  <c r="BG30" i="5"/>
  <c r="BH25" i="5"/>
  <c r="BG103" i="5"/>
  <c r="BH89" i="5"/>
  <c r="BH51" i="5"/>
  <c r="BG3" i="5"/>
  <c r="BG106" i="5"/>
  <c r="BH184" i="5"/>
  <c r="BH171" i="5"/>
  <c r="BG88" i="5"/>
  <c r="BH121" i="5"/>
  <c r="BH140" i="5"/>
  <c r="BG79" i="5"/>
  <c r="BH199" i="5"/>
  <c r="BG186" i="5"/>
  <c r="BG140" i="5"/>
  <c r="BG116" i="5"/>
  <c r="BH187" i="5"/>
  <c r="BH47" i="5"/>
  <c r="BG68" i="5"/>
  <c r="BG176" i="5"/>
  <c r="BH37" i="5"/>
  <c r="BH65" i="5"/>
  <c r="AY173" i="5"/>
  <c r="BD154" i="5"/>
  <c r="AZ149" i="5"/>
  <c r="AZ190" i="5"/>
  <c r="AZ171" i="5"/>
  <c r="AY156" i="5"/>
  <c r="AZ58" i="5"/>
  <c r="AZ93" i="5"/>
  <c r="AZ147" i="5"/>
  <c r="AZ16" i="5"/>
  <c r="AY117" i="5"/>
  <c r="AY155" i="5"/>
  <c r="AY152" i="5"/>
  <c r="AY121" i="5"/>
  <c r="AZ92" i="5"/>
  <c r="BH127" i="5"/>
  <c r="BH193" i="5"/>
  <c r="BG19" i="5"/>
  <c r="BG7" i="5"/>
  <c r="BG190" i="5"/>
  <c r="BH57" i="5"/>
  <c r="H15" i="15"/>
  <c r="AZ144" i="5"/>
  <c r="T102" i="14"/>
  <c r="E21" i="15" s="1"/>
  <c r="B58" i="20" s="1"/>
  <c r="AU127" i="5"/>
  <c r="AV156" i="5"/>
  <c r="AV45" i="5"/>
  <c r="AU70" i="5"/>
  <c r="AU144" i="5"/>
  <c r="AU125" i="5"/>
  <c r="AV14" i="5"/>
  <c r="AV168" i="5"/>
  <c r="AU48" i="5"/>
  <c r="AU114" i="5"/>
  <c r="AU34" i="5"/>
  <c r="AU64" i="5"/>
  <c r="AU111" i="5"/>
  <c r="AV190" i="5"/>
  <c r="AV123" i="5"/>
  <c r="AV21" i="5"/>
  <c r="AU139" i="5"/>
  <c r="AV137" i="5"/>
  <c r="AU162" i="5"/>
  <c r="AU91" i="5"/>
  <c r="AV151" i="5"/>
  <c r="AV64" i="5"/>
  <c r="AV164" i="5"/>
  <c r="AV194" i="5"/>
  <c r="AV111" i="5"/>
  <c r="AV199" i="5"/>
  <c r="AU137" i="5"/>
  <c r="AV57" i="5"/>
  <c r="AV114" i="5"/>
  <c r="AV34" i="5"/>
  <c r="AV31" i="5"/>
  <c r="AU164" i="5"/>
  <c r="AU194" i="5"/>
  <c r="AU106" i="5"/>
  <c r="AU21" i="5"/>
  <c r="AU67" i="5"/>
  <c r="AV122" i="5"/>
  <c r="AU73" i="5"/>
  <c r="AV67" i="5"/>
  <c r="AU16" i="5"/>
  <c r="AV174" i="5"/>
  <c r="AV76" i="5"/>
  <c r="AU133" i="5"/>
  <c r="AV11" i="5"/>
  <c r="AV153" i="5"/>
  <c r="AV3" i="5"/>
  <c r="AV196" i="5"/>
  <c r="AV16" i="5"/>
  <c r="AU174" i="5"/>
  <c r="AU76" i="5"/>
  <c r="AV163" i="5"/>
  <c r="BC89" i="5"/>
  <c r="AV9" i="5"/>
  <c r="BC185" i="5"/>
  <c r="AU197" i="5"/>
  <c r="AV155" i="5"/>
  <c r="AV71" i="5"/>
  <c r="AU198" i="5"/>
  <c r="AV145" i="5"/>
  <c r="AU3" i="5"/>
  <c r="AU84" i="5"/>
  <c r="AV128" i="5"/>
  <c r="AU78" i="5"/>
  <c r="BC27" i="5"/>
  <c r="AV143" i="5"/>
  <c r="AV30" i="5"/>
  <c r="AU15" i="5"/>
  <c r="AU20" i="5"/>
  <c r="AV159" i="5"/>
  <c r="AV149" i="5"/>
  <c r="AV193" i="5"/>
  <c r="AU79" i="5"/>
  <c r="AV129" i="5"/>
  <c r="AV109" i="5"/>
  <c r="AV104" i="5"/>
  <c r="AV41" i="5"/>
  <c r="AV23" i="5"/>
  <c r="AU184" i="5"/>
  <c r="AV165" i="5"/>
  <c r="AU187" i="5"/>
  <c r="AU44" i="5"/>
  <c r="AU169" i="5"/>
  <c r="AY195" i="5"/>
  <c r="AZ65" i="5"/>
  <c r="AY22" i="5"/>
  <c r="AY41" i="5"/>
  <c r="AZ55" i="5"/>
  <c r="AZ59" i="5"/>
  <c r="AY174" i="5"/>
  <c r="AZ112" i="5"/>
  <c r="AZ115" i="5"/>
  <c r="AY112" i="5"/>
  <c r="AY8" i="5"/>
  <c r="AY45" i="5"/>
  <c r="AZ155" i="5"/>
  <c r="E15" i="15"/>
  <c r="E16" i="15"/>
  <c r="AY137" i="5"/>
  <c r="AZ39" i="5"/>
  <c r="AZ137" i="5"/>
  <c r="AZ143" i="5"/>
  <c r="AY31" i="5"/>
  <c r="AY14" i="5"/>
  <c r="AZ79" i="5"/>
  <c r="AY150" i="5"/>
  <c r="AY103" i="5"/>
  <c r="AY42" i="5"/>
  <c r="AZ31" i="5"/>
  <c r="AZ14" i="5"/>
  <c r="AZ154" i="5"/>
  <c r="AZ50" i="5"/>
  <c r="AY67" i="5"/>
  <c r="AY143" i="5"/>
  <c r="AY43" i="5"/>
  <c r="AZ170" i="5"/>
  <c r="AY140" i="5"/>
  <c r="AZ13" i="5"/>
  <c r="AY85" i="5"/>
  <c r="AY30" i="5"/>
  <c r="AY170" i="5"/>
  <c r="AY149" i="5"/>
  <c r="AZ56" i="5"/>
  <c r="AY133" i="5"/>
  <c r="AY92" i="5"/>
  <c r="AZ43" i="5"/>
  <c r="AZ30" i="5"/>
  <c r="AY19" i="5"/>
  <c r="AZ152" i="5"/>
  <c r="AY176" i="5"/>
  <c r="AZ69" i="5"/>
  <c r="AY65" i="5"/>
  <c r="AY69" i="5"/>
  <c r="AZ20" i="5"/>
  <c r="AY73" i="5"/>
  <c r="AZ179" i="5"/>
  <c r="AZ45" i="5"/>
  <c r="AY62" i="5"/>
  <c r="AY60" i="5"/>
  <c r="AY130" i="5"/>
  <c r="AY141" i="5"/>
  <c r="AY162" i="5"/>
  <c r="AY188" i="5"/>
  <c r="AZ132" i="5"/>
  <c r="AZ99" i="5"/>
  <c r="AY68" i="5"/>
  <c r="AY12" i="5"/>
  <c r="AY191" i="5"/>
  <c r="AZ187" i="5"/>
  <c r="AZ141" i="5"/>
  <c r="AY82" i="5"/>
  <c r="AZ48" i="5"/>
  <c r="AY13" i="5"/>
  <c r="AZ4" i="5"/>
  <c r="B66" i="15"/>
  <c r="AZ191" i="5"/>
  <c r="AZ86" i="5"/>
  <c r="AZ173" i="5"/>
  <c r="AZ98" i="5"/>
  <c r="AZ196" i="5"/>
  <c r="AZ153" i="5"/>
  <c r="AZ197" i="5"/>
  <c r="AZ82" i="5"/>
  <c r="AY53" i="5"/>
  <c r="AZ145" i="5"/>
  <c r="AY113" i="5"/>
  <c r="AY189" i="5"/>
  <c r="AY71" i="5"/>
  <c r="AY36" i="5"/>
  <c r="AZ182" i="5"/>
  <c r="AZ176" i="5"/>
  <c r="AZ15" i="5"/>
  <c r="AZ41" i="5"/>
  <c r="AY39" i="5"/>
  <c r="AZ123" i="5"/>
  <c r="AY123" i="5"/>
  <c r="AY154" i="5"/>
  <c r="AZ7" i="5"/>
  <c r="AZ125" i="5"/>
  <c r="AY110" i="5"/>
  <c r="AZ10" i="5"/>
  <c r="AZ84" i="5"/>
  <c r="AZ131" i="5"/>
  <c r="AZ167" i="5"/>
  <c r="AZ89" i="5"/>
  <c r="AY9" i="5"/>
  <c r="AZ64" i="5"/>
  <c r="AY165" i="5"/>
  <c r="AZ27" i="5"/>
  <c r="AY169" i="5"/>
  <c r="AY161" i="5"/>
  <c r="AZ66" i="5"/>
  <c r="AY190" i="5"/>
  <c r="AY198" i="5"/>
  <c r="AZ52" i="5"/>
  <c r="AY88" i="5"/>
  <c r="AY90" i="5"/>
  <c r="AV63" i="5"/>
  <c r="BC133" i="5"/>
  <c r="BC199" i="5"/>
  <c r="BD2" i="5"/>
  <c r="BD127" i="5"/>
  <c r="BD13" i="5"/>
  <c r="BC130" i="5"/>
  <c r="BC126" i="5"/>
  <c r="BD167" i="5"/>
  <c r="BD158" i="5"/>
  <c r="BC167" i="5"/>
  <c r="BC156" i="5"/>
  <c r="BC10" i="5"/>
  <c r="BC13" i="5"/>
  <c r="BD170" i="5"/>
  <c r="BC124" i="5"/>
  <c r="BC50" i="5"/>
  <c r="BD179" i="5"/>
  <c r="BD95" i="5"/>
  <c r="BC135" i="5"/>
  <c r="BD115" i="5"/>
  <c r="BD61" i="5"/>
  <c r="BC31" i="5"/>
  <c r="BD174" i="5"/>
  <c r="BC123" i="5"/>
  <c r="BC58" i="5"/>
  <c r="BD200" i="5"/>
  <c r="BC61" i="5"/>
  <c r="BD31" i="5"/>
  <c r="BD129" i="5"/>
  <c r="BD52" i="5"/>
  <c r="BC52" i="5"/>
  <c r="BD80" i="5"/>
  <c r="BC200" i="5"/>
  <c r="BD117" i="5"/>
  <c r="BC148" i="5"/>
  <c r="BC39" i="5"/>
  <c r="BC105" i="5"/>
  <c r="BC80" i="5"/>
  <c r="BC62" i="5"/>
  <c r="BD46" i="5"/>
  <c r="BC91" i="5"/>
  <c r="BC197" i="5"/>
  <c r="BD182" i="5"/>
  <c r="BC127" i="5"/>
  <c r="BD15" i="5"/>
  <c r="BD62" i="5"/>
  <c r="BC49" i="5"/>
  <c r="BD12" i="5"/>
  <c r="BC152" i="5"/>
  <c r="BC195" i="5"/>
  <c r="BC38" i="5"/>
  <c r="BC83" i="5"/>
  <c r="BC21" i="5"/>
  <c r="BC134" i="5"/>
  <c r="BC174" i="5"/>
  <c r="BC98" i="5"/>
  <c r="BC35" i="5"/>
  <c r="BD168" i="5"/>
  <c r="BC82" i="5"/>
  <c r="BC60" i="5"/>
  <c r="BD186" i="5"/>
  <c r="BD51" i="5"/>
  <c r="BC36" i="5"/>
  <c r="BD23" i="5"/>
  <c r="BC102" i="5"/>
  <c r="BC136" i="5"/>
  <c r="BC160" i="5"/>
  <c r="BC180" i="5"/>
  <c r="BD50" i="5"/>
  <c r="BC129" i="5"/>
  <c r="BD3" i="5"/>
  <c r="BD189" i="5"/>
  <c r="BC191" i="5"/>
  <c r="BD138" i="5"/>
  <c r="BC51" i="5"/>
  <c r="BC161" i="5"/>
  <c r="BC23" i="5"/>
  <c r="BD102" i="5"/>
  <c r="BC71" i="5"/>
  <c r="BC14" i="5"/>
  <c r="BD27" i="5"/>
  <c r="BC32" i="5"/>
  <c r="BC37" i="5"/>
  <c r="BC73" i="5"/>
  <c r="BC189" i="5"/>
  <c r="BC79" i="5"/>
  <c r="BC65" i="5"/>
  <c r="BD178" i="5"/>
  <c r="BC147" i="5"/>
  <c r="BC53" i="5"/>
  <c r="BC163" i="5"/>
  <c r="BC113" i="5"/>
  <c r="BD35" i="5"/>
  <c r="BC188" i="5"/>
  <c r="BD65" i="5"/>
  <c r="BD153" i="5"/>
  <c r="BD105" i="5"/>
  <c r="BC175" i="5"/>
  <c r="BD165" i="5"/>
  <c r="BC166" i="5"/>
  <c r="BD34" i="5"/>
  <c r="BC54" i="5"/>
  <c r="BC16" i="5"/>
  <c r="BC92" i="5"/>
  <c r="BD33" i="5"/>
  <c r="BD175" i="5"/>
  <c r="BD197" i="5"/>
  <c r="BD112" i="5"/>
  <c r="BD90" i="5"/>
  <c r="BC128" i="5"/>
  <c r="BD71" i="5"/>
  <c r="BC107" i="5"/>
  <c r="BC100" i="5"/>
  <c r="BC78" i="5"/>
  <c r="BC172" i="5"/>
  <c r="BD144" i="5"/>
  <c r="BC40" i="5"/>
  <c r="BD109" i="5"/>
  <c r="BD28" i="5"/>
  <c r="BC144" i="5"/>
  <c r="BC190" i="5"/>
  <c r="BC81" i="5"/>
  <c r="AY107" i="5"/>
  <c r="AY181" i="5"/>
  <c r="AY84" i="5"/>
  <c r="AV66" i="5"/>
  <c r="AZ26" i="5"/>
  <c r="AU61" i="5"/>
  <c r="BD11" i="5"/>
  <c r="J261" i="14"/>
  <c r="AY50" i="5"/>
  <c r="BD5" i="5"/>
  <c r="BD22" i="5"/>
  <c r="AV80" i="5"/>
  <c r="BD166" i="5"/>
  <c r="AY193" i="5"/>
  <c r="BD93" i="5"/>
  <c r="AY40" i="5"/>
  <c r="AY148" i="5"/>
  <c r="AZ183" i="5"/>
  <c r="AZ35" i="5"/>
  <c r="AZ189" i="5"/>
  <c r="AZ42" i="5"/>
  <c r="AY89" i="5"/>
  <c r="AY93" i="5"/>
  <c r="AZ57" i="5"/>
  <c r="AY126" i="5"/>
  <c r="AY66" i="5"/>
  <c r="AY196" i="5"/>
  <c r="AY187" i="5"/>
  <c r="AZ130" i="5"/>
  <c r="AY197" i="5"/>
  <c r="AY160" i="5"/>
  <c r="AY124" i="5"/>
  <c r="AZ88" i="5"/>
  <c r="AZ117" i="5"/>
  <c r="AZ114" i="5"/>
  <c r="AY77" i="5"/>
  <c r="AY25" i="5"/>
  <c r="AZ113" i="5"/>
  <c r="AZ22" i="5"/>
  <c r="AZ148" i="5"/>
  <c r="AY183" i="5"/>
  <c r="AY86" i="5"/>
  <c r="AZ103" i="5"/>
  <c r="AZ60" i="5"/>
  <c r="AZ9" i="5"/>
  <c r="AZ111" i="5"/>
  <c r="AZ156" i="5"/>
  <c r="AY57" i="5"/>
  <c r="AZ126" i="5"/>
  <c r="AZ121" i="5"/>
  <c r="AY153" i="5"/>
  <c r="AY101" i="5"/>
  <c r="AY16" i="5"/>
  <c r="AZ160" i="5"/>
  <c r="AZ124" i="5"/>
  <c r="AY199" i="5"/>
  <c r="AY48" i="5"/>
  <c r="AY186" i="5"/>
  <c r="AY72" i="5"/>
  <c r="AY119" i="5"/>
  <c r="AY175" i="5"/>
  <c r="AY58" i="5"/>
  <c r="AZ186" i="5"/>
  <c r="AY185" i="5"/>
  <c r="AY10" i="5"/>
  <c r="AY122" i="5"/>
  <c r="AZ158" i="5"/>
  <c r="AZ139" i="5"/>
  <c r="AY29" i="5"/>
  <c r="AZ198" i="5"/>
  <c r="AZ136" i="5"/>
  <c r="AY21" i="5"/>
  <c r="AZ24" i="5"/>
  <c r="AY18" i="5"/>
  <c r="AZ162" i="5"/>
  <c r="AY102" i="5"/>
  <c r="AY97" i="5"/>
  <c r="AY27" i="5"/>
  <c r="AY106" i="5"/>
  <c r="AY83" i="5"/>
  <c r="AZ199" i="5"/>
  <c r="AY28" i="5"/>
  <c r="AY63" i="5"/>
  <c r="AY114" i="5"/>
  <c r="AZ165" i="5"/>
  <c r="AZ67" i="5"/>
  <c r="AZ81" i="5"/>
  <c r="AY98" i="5"/>
  <c r="AZ76" i="5"/>
  <c r="AY23" i="5"/>
  <c r="AZ104" i="5"/>
  <c r="AY139" i="5"/>
  <c r="AZ168" i="5"/>
  <c r="AZ108" i="5"/>
  <c r="AY136" i="5"/>
  <c r="AY24" i="5"/>
  <c r="AY54" i="5"/>
  <c r="AZ18" i="5"/>
  <c r="AZ102" i="5"/>
  <c r="AY151" i="5"/>
  <c r="AZ96" i="5"/>
  <c r="AY131" i="5"/>
  <c r="AY15" i="5"/>
  <c r="AY100" i="5"/>
  <c r="AY5" i="5"/>
  <c r="AZ146" i="5"/>
  <c r="AZ83" i="5"/>
  <c r="AY171" i="5"/>
  <c r="AY17" i="5"/>
  <c r="AZ193" i="5"/>
  <c r="AZ105" i="5"/>
  <c r="AY127" i="5"/>
  <c r="AY105" i="5"/>
  <c r="AY20" i="5"/>
  <c r="AZ73" i="5"/>
  <c r="AZ8" i="5"/>
  <c r="AY159" i="5"/>
  <c r="AZ150" i="5"/>
  <c r="AZ19" i="5"/>
  <c r="AZ129" i="5"/>
  <c r="AY118" i="5"/>
  <c r="AY33" i="5"/>
  <c r="AY79" i="5"/>
  <c r="AY76" i="5"/>
  <c r="AY95" i="5"/>
  <c r="AZ164" i="5"/>
  <c r="AZ109" i="5"/>
  <c r="AY158" i="5"/>
  <c r="AY51" i="5"/>
  <c r="AZ87" i="5"/>
  <c r="AY168" i="5"/>
  <c r="AY108" i="5"/>
  <c r="AZ21" i="5"/>
  <c r="AZ54" i="5"/>
  <c r="AY61" i="5"/>
  <c r="AZ151" i="5"/>
  <c r="AY180" i="5"/>
  <c r="AY96" i="5"/>
  <c r="AY157" i="5"/>
  <c r="AZ46" i="5"/>
  <c r="AY128" i="5"/>
  <c r="AZ5" i="5"/>
  <c r="AZ25" i="5"/>
  <c r="AY132" i="5"/>
  <c r="AZ90" i="5"/>
  <c r="AZ100" i="5"/>
  <c r="AZ77" i="5"/>
  <c r="K260" i="14"/>
  <c r="M260" i="14" s="1"/>
  <c r="O260" i="14" s="1"/>
  <c r="AY125" i="5"/>
  <c r="AY81" i="5"/>
  <c r="AZ181" i="5"/>
  <c r="AY74" i="5"/>
  <c r="AY129" i="5"/>
  <c r="AY6" i="5"/>
  <c r="AZ95" i="5"/>
  <c r="AZ23" i="5"/>
  <c r="AY164" i="5"/>
  <c r="AY11" i="5"/>
  <c r="AY194" i="5"/>
  <c r="AY109" i="5"/>
  <c r="AY104" i="5"/>
  <c r="AZ184" i="5"/>
  <c r="AZ34" i="5"/>
  <c r="AY138" i="5"/>
  <c r="AZ51" i="5"/>
  <c r="AZ44" i="5"/>
  <c r="AZ116" i="5"/>
  <c r="AY87" i="5"/>
  <c r="AY177" i="5"/>
  <c r="AZ37" i="5"/>
  <c r="AZ61" i="5"/>
  <c r="AZ97" i="5"/>
  <c r="AZ70" i="5"/>
  <c r="AZ134" i="5"/>
  <c r="AZ180" i="5"/>
  <c r="AZ157" i="5"/>
  <c r="AZ128" i="5"/>
  <c r="AZ28" i="5"/>
  <c r="AZ188" i="5"/>
  <c r="AZ120" i="5"/>
  <c r="AY46" i="5"/>
  <c r="J260" i="14"/>
  <c r="AZ175" i="5"/>
  <c r="AZ107" i="5"/>
  <c r="AZ74" i="5"/>
  <c r="AY94" i="5"/>
  <c r="AY179" i="5"/>
  <c r="AZ91" i="5"/>
  <c r="AZ33" i="5"/>
  <c r="AY167" i="5"/>
  <c r="AZ6" i="5"/>
  <c r="AZ62" i="5"/>
  <c r="AZ11" i="5"/>
  <c r="AZ194" i="5"/>
  <c r="AZ36" i="5"/>
  <c r="AY184" i="5"/>
  <c r="AZ2" i="5"/>
  <c r="AZ138" i="5"/>
  <c r="AY44" i="5"/>
  <c r="AZ177" i="5"/>
  <c r="AY37" i="5"/>
  <c r="AY70" i="5"/>
  <c r="AY172" i="5"/>
  <c r="AY134" i="5"/>
  <c r="AY144" i="5"/>
  <c r="AY26" i="5"/>
  <c r="AZ185" i="5"/>
  <c r="AY145" i="5"/>
  <c r="AZ106" i="5"/>
  <c r="AY64" i="5"/>
  <c r="AZ72" i="5"/>
  <c r="AY55" i="5"/>
  <c r="AY91" i="5"/>
  <c r="AY35" i="5"/>
  <c r="AY2" i="5"/>
  <c r="AY34" i="5"/>
  <c r="AZ195" i="5"/>
  <c r="AY182" i="5"/>
  <c r="AY116" i="5"/>
  <c r="AY52" i="5"/>
  <c r="AZ172" i="5"/>
  <c r="AZ161" i="5"/>
  <c r="AY7" i="5"/>
  <c r="AZ53" i="5"/>
  <c r="AZ119" i="5"/>
  <c r="AY120" i="5"/>
  <c r="AZ63" i="5"/>
  <c r="AZ110" i="5"/>
  <c r="AY146" i="5"/>
  <c r="AZ17" i="5"/>
  <c r="AZ40" i="5"/>
  <c r="AY99" i="5"/>
  <c r="AZ94" i="5"/>
  <c r="AU130" i="5"/>
  <c r="AV110" i="5"/>
  <c r="AU170" i="5"/>
  <c r="AV36" i="5"/>
  <c r="AU101" i="5"/>
  <c r="AU2" i="5"/>
  <c r="AU83" i="5"/>
  <c r="AU158" i="5"/>
  <c r="AV126" i="5"/>
  <c r="AU96" i="5"/>
  <c r="AV103" i="5"/>
  <c r="AU54" i="5"/>
  <c r="AV92" i="5"/>
  <c r="AV133" i="5"/>
  <c r="AV170" i="5"/>
  <c r="AU115" i="5"/>
  <c r="AV12" i="5"/>
  <c r="AV7" i="5"/>
  <c r="AU72" i="5"/>
  <c r="AU18" i="5"/>
  <c r="AV200" i="5"/>
  <c r="AU43" i="5"/>
  <c r="AU25" i="5"/>
  <c r="AU154" i="5"/>
  <c r="AV89" i="5"/>
  <c r="AV53" i="5"/>
  <c r="AV25" i="5"/>
  <c r="AV183" i="5"/>
  <c r="AV2" i="5"/>
  <c r="AU53" i="5"/>
  <c r="L259" i="14"/>
  <c r="AV95" i="5"/>
  <c r="AU82" i="5"/>
  <c r="AV26" i="5"/>
  <c r="J259" i="14"/>
  <c r="AV102" i="5"/>
  <c r="BC108" i="5"/>
  <c r="BC177" i="5"/>
  <c r="BC151" i="5"/>
  <c r="BC149" i="5"/>
  <c r="BC106" i="5"/>
  <c r="BD14" i="5"/>
  <c r="BD140" i="5"/>
  <c r="BD146" i="5"/>
  <c r="BD72" i="5"/>
  <c r="BC194" i="5"/>
  <c r="BC122" i="5"/>
  <c r="BD63" i="5"/>
  <c r="BC173" i="5"/>
  <c r="BD192" i="5"/>
  <c r="BD132" i="5"/>
  <c r="BD47" i="5"/>
  <c r="BD7" i="5"/>
  <c r="L261" i="14"/>
  <c r="BD187" i="5"/>
  <c r="BC43" i="5"/>
  <c r="BC95" i="5"/>
  <c r="BC3" i="5"/>
  <c r="BC103" i="5"/>
  <c r="BD191" i="5"/>
  <c r="BD188" i="5"/>
  <c r="BD36" i="5"/>
  <c r="BD66" i="5"/>
  <c r="BD114" i="5"/>
  <c r="BC41" i="5"/>
  <c r="BD124" i="5"/>
  <c r="BD76" i="5"/>
  <c r="BC11" i="5"/>
  <c r="BC141" i="5"/>
  <c r="BD180" i="5"/>
  <c r="AU200" i="5"/>
  <c r="AU121" i="5"/>
  <c r="AU89" i="5"/>
  <c r="BD39" i="5"/>
  <c r="AV138" i="5"/>
  <c r="AU167" i="5"/>
  <c r="AV96" i="5"/>
  <c r="BD116" i="5"/>
  <c r="AV160" i="5"/>
  <c r="BD55" i="5"/>
  <c r="BC94" i="5"/>
  <c r="AV43" i="5"/>
  <c r="AU177" i="5"/>
  <c r="BC57" i="5"/>
  <c r="BC87" i="5"/>
  <c r="BD98" i="5"/>
  <c r="BD163" i="5"/>
  <c r="BD9" i="5"/>
  <c r="BC165" i="5"/>
  <c r="BC132" i="5"/>
  <c r="BC171" i="5"/>
  <c r="BD173" i="5"/>
  <c r="BD69" i="5"/>
  <c r="BD40" i="5"/>
  <c r="AV49" i="5"/>
  <c r="AU51" i="5"/>
  <c r="AV158" i="5"/>
  <c r="BC64" i="5"/>
  <c r="BC7" i="5"/>
  <c r="BD103" i="5"/>
  <c r="BD79" i="5"/>
  <c r="BD130" i="5"/>
  <c r="BC66" i="5"/>
  <c r="BC114" i="5"/>
  <c r="AV134" i="5"/>
  <c r="AU29" i="5"/>
  <c r="BC74" i="5"/>
  <c r="BC59" i="5"/>
  <c r="BD41" i="5"/>
  <c r="AU69" i="5"/>
  <c r="BC18" i="5"/>
  <c r="AU147" i="5"/>
  <c r="AU105" i="5"/>
  <c r="AV112" i="5"/>
  <c r="AV78" i="5"/>
  <c r="BD86" i="5"/>
  <c r="AU132" i="5"/>
  <c r="BC88" i="5"/>
  <c r="AU87" i="5"/>
  <c r="BC196" i="5"/>
  <c r="AU85" i="5"/>
  <c r="BD150" i="5"/>
  <c r="BD147" i="5"/>
  <c r="AV4" i="5"/>
  <c r="BC90" i="5"/>
  <c r="AU176" i="5"/>
  <c r="AU152" i="5"/>
  <c r="AU148" i="5"/>
  <c r="BD151" i="5"/>
  <c r="BD123" i="5"/>
  <c r="BD29" i="5"/>
  <c r="BD42" i="5"/>
  <c r="AV188" i="5"/>
  <c r="AV85" i="5"/>
  <c r="BD160" i="5"/>
  <c r="AV83" i="5"/>
  <c r="AU191" i="5"/>
  <c r="BD107" i="5"/>
  <c r="BC109" i="5"/>
  <c r="BD84" i="5"/>
  <c r="AV182" i="5"/>
  <c r="AU33" i="5"/>
  <c r="AU12" i="5"/>
  <c r="BD56" i="5"/>
  <c r="BC45" i="5"/>
  <c r="AV82" i="5"/>
  <c r="BC56" i="5"/>
  <c r="BC28" i="5"/>
  <c r="BD113" i="5"/>
  <c r="BD43" i="5"/>
  <c r="BD49" i="5"/>
  <c r="BD183" i="5"/>
  <c r="BD126" i="5"/>
  <c r="BD121" i="5"/>
  <c r="BD131" i="5"/>
  <c r="BD176" i="5"/>
  <c r="BD142" i="5"/>
  <c r="BC17" i="5"/>
  <c r="AU134" i="5"/>
  <c r="AV178" i="5"/>
  <c r="AV29" i="5"/>
  <c r="AV69" i="5"/>
  <c r="AV148" i="5"/>
  <c r="AV88" i="5"/>
  <c r="AU136" i="5"/>
  <c r="AU80" i="5"/>
  <c r="AU27" i="5"/>
  <c r="BC164" i="5"/>
  <c r="AV113" i="5"/>
  <c r="BC181" i="5"/>
  <c r="BC159" i="5"/>
  <c r="BD118" i="5"/>
  <c r="BD196" i="5"/>
  <c r="AU4" i="5"/>
  <c r="AV33" i="5"/>
  <c r="BD194" i="5"/>
  <c r="BD120" i="5"/>
  <c r="BD164" i="5"/>
  <c r="AU124" i="5"/>
  <c r="BD83" i="5"/>
  <c r="AU95" i="5"/>
  <c r="BD78" i="5"/>
  <c r="AV54" i="5"/>
  <c r="AU63" i="5"/>
  <c r="BD10" i="5"/>
  <c r="BD122" i="5"/>
  <c r="BC84" i="5"/>
  <c r="BD190" i="5"/>
  <c r="BD68" i="5"/>
  <c r="BD44" i="5"/>
  <c r="BC154" i="5"/>
  <c r="BC47" i="5"/>
  <c r="AV28" i="5"/>
  <c r="BD45" i="5"/>
  <c r="AU189" i="5"/>
  <c r="BD25" i="5"/>
  <c r="BD67" i="5"/>
  <c r="BC157" i="5"/>
  <c r="BD64" i="5"/>
  <c r="BC117" i="5"/>
  <c r="BC170" i="5"/>
  <c r="BD148" i="5"/>
  <c r="BC33" i="5"/>
  <c r="BC183" i="5"/>
  <c r="BD185" i="5"/>
  <c r="BD198" i="5"/>
  <c r="BC121" i="5"/>
  <c r="BD6" i="5"/>
  <c r="BC131" i="5"/>
  <c r="BC176" i="5"/>
  <c r="BC142" i="5"/>
  <c r="BD161" i="5"/>
  <c r="BD17" i="5"/>
  <c r="BD74" i="5"/>
  <c r="BD59" i="5"/>
  <c r="AV130" i="5"/>
  <c r="AV91" i="5"/>
  <c r="AU88" i="5"/>
  <c r="AV177" i="5"/>
  <c r="AU188" i="5"/>
  <c r="BC155" i="5"/>
  <c r="BC86" i="5"/>
  <c r="AV37" i="5"/>
  <c r="BD136" i="5"/>
  <c r="AU66" i="5"/>
  <c r="BC110" i="5"/>
  <c r="AV101" i="5"/>
  <c r="AU102" i="5"/>
  <c r="BC112" i="5"/>
  <c r="BD110" i="5"/>
  <c r="AU52" i="5"/>
  <c r="BD172" i="5"/>
  <c r="BD159" i="5"/>
  <c r="BC5" i="5"/>
  <c r="BC20" i="5"/>
  <c r="AU138" i="5"/>
  <c r="BC19" i="5"/>
  <c r="AV87" i="5"/>
  <c r="AV72" i="5"/>
  <c r="BC22" i="5"/>
  <c r="BD143" i="5"/>
  <c r="AV136" i="5"/>
  <c r="AV162" i="5"/>
  <c r="BC153" i="5"/>
  <c r="BD30" i="5"/>
  <c r="BD96" i="5"/>
  <c r="BD108" i="5"/>
  <c r="BD81" i="5"/>
  <c r="AU28" i="5"/>
  <c r="AU195" i="5"/>
  <c r="AU13" i="5"/>
  <c r="AV189" i="5"/>
  <c r="BD26" i="5"/>
  <c r="BC137" i="5"/>
  <c r="BD57" i="5"/>
  <c r="BC145" i="5"/>
  <c r="BC162" i="5"/>
  <c r="BC104" i="5"/>
  <c r="BC9" i="5"/>
  <c r="BC184" i="5"/>
  <c r="AV152" i="5"/>
  <c r="BD162" i="5"/>
  <c r="BD149" i="5"/>
  <c r="AU92" i="5"/>
  <c r="AU47" i="5"/>
  <c r="AV147" i="5"/>
  <c r="BC99" i="5"/>
  <c r="BD92" i="5"/>
  <c r="AV124" i="5"/>
  <c r="AV100" i="5"/>
  <c r="BD20" i="5"/>
  <c r="AU143" i="5"/>
  <c r="BD32" i="5"/>
  <c r="AU182" i="5"/>
  <c r="AU37" i="5"/>
  <c r="BC139" i="5"/>
  <c r="BC118" i="5"/>
  <c r="AU60" i="5"/>
  <c r="BC97" i="5"/>
  <c r="BD119" i="5"/>
  <c r="AV51" i="5"/>
  <c r="AU183" i="5"/>
  <c r="AV13" i="5"/>
  <c r="BD100" i="5"/>
  <c r="BC29" i="5"/>
  <c r="BD152" i="5"/>
  <c r="BC198" i="5"/>
  <c r="BC6" i="5"/>
  <c r="BD38" i="5"/>
  <c r="AU103" i="5"/>
  <c r="BC55" i="5"/>
  <c r="AV150" i="5"/>
  <c r="AV52" i="5"/>
  <c r="BC146" i="5"/>
  <c r="BC24" i="5"/>
  <c r="BC140" i="5"/>
  <c r="BC44" i="5"/>
  <c r="AU128" i="5"/>
  <c r="BC120" i="5"/>
  <c r="BD169" i="5"/>
  <c r="BD21" i="5"/>
  <c r="AU150" i="5"/>
  <c r="BD193" i="5"/>
  <c r="BD184" i="5"/>
  <c r="BD18" i="5"/>
  <c r="BC70" i="5"/>
  <c r="AV121" i="5"/>
  <c r="BC42" i="5"/>
  <c r="BD141" i="5"/>
  <c r="AU110" i="5"/>
  <c r="BD53" i="5"/>
  <c r="BD101" i="5"/>
  <c r="BC75" i="5"/>
  <c r="AU35" i="5"/>
  <c r="BD75" i="5"/>
  <c r="BC96" i="5"/>
  <c r="AU126" i="5"/>
  <c r="AV115" i="5"/>
  <c r="BD181" i="5"/>
  <c r="AV8" i="5"/>
  <c r="BC179" i="5"/>
  <c r="AV141" i="5"/>
  <c r="AU141" i="5"/>
  <c r="BC26" i="5"/>
  <c r="BD137" i="5"/>
  <c r="BC8" i="5"/>
  <c r="BD48" i="5"/>
  <c r="BC46" i="5"/>
  <c r="BD135" i="5"/>
  <c r="BD4" i="5"/>
  <c r="BD85" i="5"/>
  <c r="BD60" i="5"/>
  <c r="BC186" i="5"/>
  <c r="BC138" i="5"/>
  <c r="BC34" i="5"/>
  <c r="BC168" i="5"/>
  <c r="AV161" i="5"/>
  <c r="BD16" i="5"/>
  <c r="AU81" i="5"/>
  <c r="AV74" i="5"/>
  <c r="AU163" i="5"/>
  <c r="AV154" i="5"/>
  <c r="AU172" i="5"/>
  <c r="BD24" i="5"/>
  <c r="BD77" i="5"/>
  <c r="BD99" i="5"/>
  <c r="BD106" i="5"/>
  <c r="AV167" i="5"/>
  <c r="AV27" i="5"/>
  <c r="BD171" i="5"/>
  <c r="AV73" i="5"/>
  <c r="BD82" i="5"/>
  <c r="AU26" i="5"/>
  <c r="BC101" i="5"/>
  <c r="AU36" i="5"/>
  <c r="AV105" i="5"/>
  <c r="BC76" i="5"/>
  <c r="BC178" i="5"/>
  <c r="BD177" i="5"/>
  <c r="AU65" i="5"/>
  <c r="BD97" i="5"/>
  <c r="AV65" i="5"/>
  <c r="BC182" i="5"/>
  <c r="BD155" i="5"/>
  <c r="AV61" i="5"/>
  <c r="AU122" i="5"/>
  <c r="BD139" i="5"/>
  <c r="BC125" i="5"/>
  <c r="BC192" i="5"/>
  <c r="AV191" i="5"/>
  <c r="BC63" i="5"/>
  <c r="AU7" i="5"/>
  <c r="BD125" i="5"/>
  <c r="K259" i="14"/>
  <c r="K261" i="14"/>
  <c r="BD157" i="5"/>
  <c r="BC93" i="5"/>
  <c r="BD133" i="5"/>
  <c r="BC48" i="5"/>
  <c r="BD37" i="5"/>
  <c r="BC115" i="5"/>
  <c r="BC4" i="5"/>
  <c r="BD73" i="5"/>
  <c r="BD91" i="5"/>
  <c r="BD89" i="5"/>
  <c r="BC85" i="5"/>
  <c r="BC158" i="5"/>
  <c r="BD195" i="5"/>
  <c r="BD54" i="5"/>
  <c r="AU161" i="5"/>
  <c r="BD199" i="5"/>
  <c r="AV44" i="5"/>
  <c r="BC2" i="5"/>
  <c r="AU74" i="5"/>
  <c r="AV97" i="5"/>
  <c r="AV18" i="5"/>
  <c r="AV172" i="5"/>
  <c r="BD104" i="5"/>
  <c r="BC169" i="5"/>
  <c r="BC77" i="5"/>
  <c r="AU113" i="5"/>
  <c r="AU100" i="5"/>
  <c r="AV176" i="5"/>
  <c r="BC68" i="5"/>
  <c r="BD87" i="5"/>
  <c r="BC150" i="5"/>
  <c r="BD128" i="5"/>
  <c r="AU112" i="5"/>
  <c r="BC69" i="5"/>
  <c r="BD88" i="5"/>
  <c r="BC143" i="5"/>
  <c r="BC193" i="5"/>
  <c r="AV35" i="5"/>
  <c r="BD19" i="5"/>
  <c r="BC116" i="5"/>
  <c r="BD156" i="5"/>
  <c r="AV195" i="5"/>
  <c r="BD70" i="5"/>
  <c r="AV132" i="5"/>
  <c r="BC111" i="5"/>
  <c r="BC119" i="5"/>
  <c r="BC67" i="5"/>
  <c r="BC25" i="5"/>
  <c r="AU49" i="5"/>
  <c r="BD111" i="5"/>
  <c r="BD134" i="5"/>
  <c r="BD94" i="5"/>
  <c r="BC30" i="5"/>
  <c r="BC187" i="5"/>
  <c r="BD8" i="5"/>
  <c r="BD145" i="5"/>
  <c r="C86" i="15"/>
  <c r="F12" i="14"/>
  <c r="E13" i="14"/>
  <c r="F13" i="14"/>
  <c r="E11" i="14"/>
  <c r="F11" i="14"/>
  <c r="C16" i="15"/>
  <c r="D43" i="20" s="1"/>
  <c r="C19" i="15"/>
  <c r="D46" i="20" s="1"/>
  <c r="F14" i="14"/>
  <c r="D15" i="14"/>
  <c r="F41" i="14" s="1"/>
  <c r="C20" i="15"/>
  <c r="D47" i="20" s="1"/>
  <c r="C17" i="15"/>
  <c r="D44" i="20" s="1"/>
  <c r="C18" i="15"/>
  <c r="D45" i="20" s="1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28" i="20" s="1"/>
  <c r="K258" i="14"/>
  <c r="G261" i="14"/>
  <c r="F261" i="14"/>
  <c r="E53" i="20" l="1"/>
  <c r="F53" i="20"/>
  <c r="B53" i="20"/>
  <c r="B52" i="20"/>
  <c r="M262" i="14"/>
  <c r="O262" i="14" s="1"/>
  <c r="M261" i="14"/>
  <c r="O261" i="14" s="1"/>
  <c r="M259" i="14"/>
  <c r="O259" i="14" s="1"/>
  <c r="L263" i="14"/>
  <c r="E15" i="14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C25" i="20" s="1"/>
  <c r="J41" i="14"/>
  <c r="B38" i="15"/>
  <c r="E9" i="20" s="1"/>
  <c r="A39" i="15"/>
  <c r="E35" i="15" s="1"/>
  <c r="M263" i="14"/>
  <c r="A265" i="14" s="1"/>
  <c r="O258" i="14"/>
  <c r="E4" i="15" l="1"/>
  <c r="B64" i="15"/>
  <c r="H41" i="14"/>
  <c r="D22" i="15"/>
  <c r="H33" i="15"/>
  <c r="C27" i="20" s="1"/>
  <c r="B26" i="14"/>
  <c r="B9" i="20" s="1"/>
  <c r="E26" i="14"/>
  <c r="J4" i="14" s="1"/>
  <c r="C38" i="15"/>
  <c r="G5" i="15"/>
  <c r="C9" i="20" l="1"/>
  <c r="E49" i="20"/>
  <c r="B65" i="15"/>
  <c r="B60" i="15"/>
  <c r="B62" i="15"/>
  <c r="E8" i="15"/>
  <c r="H8" i="15"/>
  <c r="C24" i="20" s="1"/>
  <c r="E6" i="15"/>
  <c r="C22" i="15"/>
  <c r="D49" i="20" s="1"/>
  <c r="D5" i="15"/>
  <c r="H4" i="15"/>
  <c r="B28" i="14"/>
  <c r="C5" i="15"/>
  <c r="B86" i="15"/>
  <c r="C17" i="20" s="1"/>
  <c r="B207" i="1"/>
  <c r="J5" i="15" l="1"/>
  <c r="G2" i="15" s="1"/>
  <c r="B87" i="15"/>
  <c r="C20" i="20" s="1"/>
  <c r="C4" i="15"/>
  <c r="B3" i="15"/>
  <c r="G6" i="20" s="1"/>
  <c r="B67" i="15" l="1"/>
  <c r="C87" i="15"/>
  <c r="D20" i="20" s="1"/>
  <c r="B7" i="15"/>
  <c r="G10" i="20" s="1"/>
  <c r="A7" i="15"/>
  <c r="G9" i="20" s="1"/>
  <c r="G1" i="15"/>
  <c r="A86" i="15"/>
  <c r="B17" i="20" s="1"/>
  <c r="C85" i="15"/>
  <c r="A85" i="15"/>
  <c r="B16" i="20" s="1"/>
  <c r="A83" i="15"/>
  <c r="B14" i="20" s="1"/>
  <c r="A80" i="15"/>
  <c r="E25" i="15"/>
  <c r="D25" i="15"/>
  <c r="C25" i="15"/>
  <c r="B25" i="15"/>
  <c r="A24" i="15"/>
  <c r="D15" i="15"/>
  <c r="E42" i="20" s="1"/>
  <c r="A15" i="15"/>
  <c r="B41" i="20" s="1"/>
</calcChain>
</file>

<file path=xl/sharedStrings.xml><?xml version="1.0" encoding="utf-8"?>
<sst xmlns="http://schemas.openxmlformats.org/spreadsheetml/2006/main" count="40902" uniqueCount="742">
  <si>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</si>
  <si>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</si>
  <si>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</si>
  <si>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</si>
  <si>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</si>
  <si>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</si>
  <si>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</si>
  <si>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</si>
  <si>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</si>
  <si>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</si>
  <si>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</si>
  <si>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</si>
  <si>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</si>
  <si>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</si>
  <si>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</si>
  <si>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</si>
  <si>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</si>
  <si>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</si>
  <si>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</si>
  <si>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</si>
  <si>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</si>
  <si>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</si>
  <si>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</si>
  <si>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</si>
  <si>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</si>
  <si>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</si>
  <si>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</si>
  <si>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</si>
  <si>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</si>
  <si>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</si>
  <si>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</si>
  <si>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</si>
  <si>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</si>
  <si>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</si>
  <si>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</si>
  <si>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</si>
  <si>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</si>
  <si>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</si>
  <si>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</si>
  <si>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</si>
  <si>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</si>
  <si>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</si>
  <si>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</si>
  <si>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</si>
  <si>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</si>
  <si>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</si>
  <si>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</si>
  <si>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</si>
  <si>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</si>
  <si>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</si>
  <si>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</si>
  <si>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</si>
  <si>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</si>
  <si>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</si>
  <si>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</si>
  <si>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</si>
  <si>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</si>
  <si>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</si>
  <si>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</si>
  <si>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</si>
  <si>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</si>
  <si>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</si>
  <si>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</si>
  <si>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</si>
  <si>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</si>
  <si>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</si>
  <si>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</si>
  <si>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</si>
  <si>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</si>
  <si>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</si>
  <si>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</si>
  <si>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</si>
  <si>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</si>
  <si>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</si>
  <si>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</si>
  <si>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</si>
  <si>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</si>
  <si>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</si>
  <si>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</si>
  <si>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</si>
  <si>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</si>
  <si>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</si>
  <si>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</si>
  <si>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</si>
  <si>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</si>
  <si>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</si>
  <si>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</si>
  <si>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</si>
  <si>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</si>
  <si>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</si>
  <si>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</si>
  <si>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</si>
  <si>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</si>
  <si>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</si>
  <si>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</si>
  <si>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</si>
  <si>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</si>
  <si>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</si>
  <si>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</si>
  <si>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</si>
  <si>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</si>
  <si>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</si>
  <si>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</si>
  <si>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</si>
  <si>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</si>
  <si>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</si>
  <si>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</si>
  <si>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</si>
  <si>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</si>
  <si>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</si>
  <si>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</si>
  <si>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</si>
  <si>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</si>
  <si>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</si>
  <si>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</si>
  <si>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</si>
  <si>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</si>
  <si>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</si>
  <si>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</si>
  <si>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</si>
  <si>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</si>
  <si>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</si>
  <si>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</si>
  <si>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</si>
  <si>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</si>
  <si>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</si>
  <si>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</si>
  <si>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</si>
  <si>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</si>
  <si>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</si>
  <si>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</si>
  <si>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</si>
  <si>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</si>
  <si>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</si>
  <si>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</si>
  <si>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</si>
  <si>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</si>
  <si>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</si>
  <si>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</si>
  <si>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</si>
  <si>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</si>
  <si>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</si>
  <si>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</si>
  <si>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</si>
  <si>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</si>
  <si>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</si>
  <si>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</si>
  <si>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</si>
  <si>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</si>
  <si>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</si>
  <si>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</si>
  <si>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</si>
  <si>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</si>
  <si>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</si>
  <si>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</si>
  <si>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</si>
  <si>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</si>
  <si>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</si>
  <si>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</si>
  <si>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</si>
  <si>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</si>
  <si>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</si>
  <si>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</si>
  <si>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</si>
  <si>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</si>
  <si>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</si>
  <si>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</si>
  <si>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</si>
  <si>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</si>
  <si>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</si>
  <si>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</si>
  <si>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</si>
  <si>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</si>
  <si>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</si>
  <si>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</si>
  <si>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</si>
  <si>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</si>
  <si>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</si>
  <si>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</si>
  <si>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</si>
  <si>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</si>
  <si>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</si>
  <si>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</si>
  <si>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</si>
  <si>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</si>
  <si>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</si>
  <si>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</si>
  <si>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</si>
  <si>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</si>
  <si>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</si>
  <si>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</si>
  <si>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</si>
  <si>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</si>
  <si>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</si>
  <si>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</si>
  <si>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</si>
  <si>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</si>
  <si>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</si>
  <si>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</si>
  <si>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</si>
  <si>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</si>
  <si>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</si>
  <si>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</si>
  <si>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</si>
  <si>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</si>
  <si>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</si>
  <si>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</si>
  <si>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</si>
  <si>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</si>
  <si>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</si>
  <si>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</si>
  <si>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</si>
  <si>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</si>
  <si>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</si>
  <si>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</si>
  <si>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</si>
  <si>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</si>
  <si>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</si>
  <si>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</si>
  <si>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</si>
  <si>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</si>
  <si>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</si>
  <si>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</si>
  <si>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</si>
  <si>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</si>
  <si>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</si>
  <si>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</si>
  <si>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</si>
  <si>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</si>
  <si>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</si>
  <si>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</si>
  <si>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</si>
  <si>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</si>
  <si>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</si>
  <si>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</si>
  <si>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</si>
  <si>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</si>
  <si>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</si>
  <si>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</si>
  <si>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</si>
  <si>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</si>
  <si>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</si>
  <si>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</si>
  <si>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</si>
  <si>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</si>
  <si>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</si>
  <si>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</si>
  <si>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</si>
  <si>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</si>
  <si>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</si>
  <si>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</si>
  <si>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</si>
  <si>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</si>
  <si>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</si>
  <si>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</si>
  <si>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</si>
  <si>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</si>
  <si>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</si>
  <si>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</si>
  <si>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</si>
  <si>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</si>
  <si>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</si>
  <si>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</si>
  <si>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</si>
  <si>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</si>
  <si>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</si>
  <si>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</si>
  <si>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</si>
  <si>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</si>
  <si>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</si>
  <si>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</si>
  <si>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</si>
  <si>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</si>
  <si>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</si>
  <si>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</si>
  <si>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</si>
  <si>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</si>
  <si>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</si>
  <si>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</si>
  <si>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</si>
  <si>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</si>
  <si>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</si>
  <si>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</si>
  <si>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</si>
  <si>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</si>
  <si>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</si>
  <si>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</si>
  <si>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</si>
  <si>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</si>
  <si>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</si>
  <si>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</si>
  <si>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</si>
  <si>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</si>
  <si>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</si>
  <si>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</si>
  <si>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</si>
  <si>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</si>
  <si>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</si>
  <si>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</si>
  <si>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</si>
  <si>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</si>
  <si>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</si>
  <si>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</si>
  <si>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</si>
  <si>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</si>
  <si>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</si>
  <si>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</si>
  <si>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</si>
  <si>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</si>
  <si>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</si>
  <si>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</si>
  <si>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</si>
  <si>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</si>
  <si>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</si>
  <si>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</si>
  <si>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</si>
  <si>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</si>
  <si>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</si>
  <si>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</si>
  <si>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</si>
  <si>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</si>
  <si>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</si>
  <si>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</si>
  <si>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</si>
  <si>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</si>
  <si>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</si>
  <si>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</si>
  <si>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</si>
  <si>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</si>
  <si>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</si>
  <si>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</si>
  <si>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</si>
  <si>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</si>
  <si>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</si>
  <si>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</si>
  <si>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</si>
  <si>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</si>
  <si>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</si>
  <si>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</si>
  <si>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</si>
  <si>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</si>
  <si>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</si>
  <si>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</si>
  <si>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</si>
  <si>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</si>
  <si>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</si>
  <si>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</si>
  <si>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</si>
  <si>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</si>
  <si>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</si>
  <si>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</si>
  <si>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</si>
  <si>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</si>
  <si>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</si>
  <si>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</si>
  <si>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</si>
  <si>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</si>
  <si>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</si>
  <si>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</si>
  <si>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</si>
  <si>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</si>
  <si>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</si>
  <si>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</si>
  <si>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</si>
  <si>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</si>
  <si>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</si>
  <si>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</si>
  <si>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</si>
  <si>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</si>
  <si>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</si>
  <si>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</si>
  <si>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</si>
  <si>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</si>
  <si>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</si>
  <si>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</si>
  <si>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</si>
  <si>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</si>
  <si>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</si>
  <si>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</si>
  <si>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</si>
  <si>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</si>
  <si>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</si>
  <si>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</si>
  <si>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</si>
  <si>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</si>
  <si>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</si>
  <si>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</si>
  <si>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</si>
  <si>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</si>
  <si>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</si>
  <si>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</si>
  <si>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</si>
  <si>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</si>
  <si>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</si>
  <si>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</si>
  <si>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</si>
  <si>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</si>
  <si>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</si>
  <si>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</si>
  <si>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</si>
  <si>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</si>
  <si>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</si>
  <si>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</si>
  <si>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</si>
  <si>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</si>
  <si>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</si>
  <si>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</si>
  <si>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</si>
  <si>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</si>
  <si>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</si>
  <si>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</si>
  <si>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</si>
  <si>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</si>
  <si>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</si>
  <si>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</si>
  <si>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</si>
  <si>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</si>
  <si>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</si>
  <si>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</si>
  <si>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</si>
  <si>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</si>
  <si>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</si>
  <si>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</si>
  <si>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</si>
  <si>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</si>
  <si>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</si>
  <si>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</si>
  <si>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</si>
  <si>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</si>
  <si>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</si>
  <si>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</si>
  <si>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</si>
  <si>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</si>
  <si>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</si>
  <si>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</si>
  <si>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</si>
  <si>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</si>
  <si>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</si>
  <si>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</si>
  <si>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</si>
  <si>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</si>
  <si>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</si>
  <si>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</si>
  <si>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</si>
  <si>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</si>
  <si>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</si>
  <si>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</si>
  <si>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</si>
  <si>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</si>
  <si>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</si>
  <si>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</si>
  <si>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</si>
  <si>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</si>
  <si>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</si>
  <si>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</si>
  <si>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</si>
  <si>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</si>
  <si>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</si>
  <si>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</si>
  <si>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</si>
  <si>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</si>
  <si>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</si>
  <si>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</si>
  <si>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</si>
  <si>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</si>
  <si>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</si>
  <si>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</si>
  <si>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</si>
  <si>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</si>
  <si>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</si>
  <si>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</si>
  <si>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</si>
  <si>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</si>
  <si>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</si>
  <si>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</si>
  <si>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</si>
  <si>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</si>
  <si>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</si>
  <si>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</si>
  <si>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</si>
  <si>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</si>
  <si>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</si>
  <si>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</si>
  <si>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</si>
  <si>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</si>
  <si>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</si>
  <si>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</si>
  <si>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</si>
  <si>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</si>
  <si>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</si>
  <si>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</si>
  <si>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</si>
  <si>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</si>
  <si>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</si>
  <si>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</si>
  <si>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</si>
  <si>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</si>
  <si>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</si>
  <si>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</si>
  <si>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</si>
  <si>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</si>
  <si>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</si>
  <si>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</si>
  <si>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</si>
  <si>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</si>
  <si>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</si>
  <si>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</si>
  <si>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</si>
  <si>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</si>
  <si>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</si>
  <si>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</si>
  <si>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</si>
  <si>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</si>
  <si>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</si>
  <si>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</si>
  <si>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</si>
  <si>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</si>
  <si>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</si>
  <si>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</si>
  <si>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</si>
  <si>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</si>
  <si>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</si>
  <si>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</si>
  <si>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</si>
  <si>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</si>
  <si>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</si>
  <si>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</si>
  <si>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</si>
  <si>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</si>
  <si>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</si>
  <si>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</si>
  <si>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</si>
  <si>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</si>
  <si>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</si>
  <si>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</si>
  <si>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</si>
  <si>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</si>
  <si>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</si>
  <si>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</si>
  <si>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</si>
  <si>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</si>
  <si>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</si>
  <si>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</si>
  <si>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</si>
  <si>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</si>
  <si>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</si>
  <si>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</si>
  <si>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</si>
  <si>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</si>
  <si>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</si>
  <si>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</si>
  <si>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</si>
  <si>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</si>
  <si>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AJUSTE_FATOR_NOVO</t>
  </si>
  <si>
    <t>AJUSTE_VALOR_PAGO_ATUALIZADO</t>
  </si>
  <si>
    <t>AJUSTE_RETROATIVO</t>
  </si>
  <si>
    <t>AJUSTE_STATUS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</si>
  <si>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</si>
  <si>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que esta sendo apurado neste ciclo mas JA com os reajustes anteriores ja formalizados. Nao e valor liquido: IR, ISS, INSS e demais retencoes tributarias nao sao glosa.</t>
  </si>
  <si>
    <t>Compare sempre com AJUSTE_VALOR_CALCULADO: ele ja esta na mesma base monetaria do que se pagava no ciclo (QTD x VU_ORIGINAL x fator vigente anterior). AJUSTE_FATOR_NOVO e so o reajuste novo do ciclo - o acumulado nunca e reaplicado sobre um valor que ja o contem.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</si>
  <si>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</si>
  <si>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</si>
  <si>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</si>
  <si>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</si>
  <si>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</si>
  <si>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</si>
  <si>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</si>
  <si>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</si>
  <si>
    <t>SEM EFEITO FINANCEIRO — apoio informativo (não compõe VTA, retroativo nem total)</t>
  </si>
  <si>
    <t>Ciclo computado nesta apuração? (1/0)</t>
  </si>
  <si>
    <t>Início do ciclo (parametros!C)</t>
  </si>
  <si>
    <t>Início dos efeitos financeiros (parametros!H)</t>
  </si>
  <si>
    <t>Limite: 1º dia do mês do início dos efeitos</t>
  </si>
  <si>
    <t>Há período anterior aos efeitos? (1/0; vazio = indeterminado)</t>
  </si>
  <si>
    <t>Qtd. de PCs / competências com execução sem efeito</t>
  </si>
  <si>
    <t>PCs com fator numérico (qtd) / fator do ciclo (financeiro!D)</t>
  </si>
  <si>
    <t>Valor original da execução sem efeito</t>
  </si>
  <si>
    <t>Valor que teriam com o reajuste</t>
  </si>
  <si>
    <t>Diferença sem efeito financeiro (informativa)</t>
  </si>
  <si>
    <t>Consumo informado no ciclo (qtd; método Itens)</t>
  </si>
  <si>
    <t>Estado: A valores | B sem execução | C não mensurável | D sem período</t>
  </si>
  <si>
    <t>Primeira competência sem efeito (Financeiro)</t>
  </si>
  <si>
    <t>Última competência sem efeito (Financeiro)</t>
  </si>
  <si>
    <t>Período sem efeito (texto)</t>
  </si>
  <si>
    <t>Início dos efeitos (texto)</t>
  </si>
  <si>
    <t>Linha 1 do quadro (texto)</t>
  </si>
  <si>
    <t>Linha 2 do quadro (texto)</t>
  </si>
  <si>
    <t>Quadro visível? (1/0)</t>
  </si>
  <si>
    <t>Cabeçalho de valores visível? (1/0)</t>
  </si>
  <si>
    <t>Há ciclo não mensurável? (1/0)</t>
  </si>
  <si>
    <t>Somente ciclos sem período anterior? (1/0)</t>
  </si>
  <si>
    <t>TEXTOS DO QUADRO (constantes; as fórmulas acima são ASCII)</t>
  </si>
  <si>
    <t>T_TITULO</t>
  </si>
  <si>
    <t>EXECUÇÃO SEM EFEITO FINANCEIRO</t>
  </si>
  <si>
    <t>T_HDR_ORIGINAL</t>
  </si>
  <si>
    <t>Valor original</t>
  </si>
  <si>
    <t>T_HDR_PAGO</t>
  </si>
  <si>
    <t>Valor pago</t>
  </si>
  <si>
    <t>T_HDR_TERIAM</t>
  </si>
  <si>
    <t>T_HDR_DIFERENCA</t>
  </si>
  <si>
    <t>Diferença sem efeito financeiro</t>
  </si>
  <si>
    <t>T_NOTA</t>
  </si>
  <si>
    <t>A diferença é apenas informativa. Não constitui retroativo reconhecido ou potencial e não representa valor a pagar.</t>
  </si>
  <si>
    <t>T_CASO_C</t>
  </si>
  <si>
    <t>Execução sem efeito financeiro identificada, mas o impacto monetário não pode ser mensurado com segurança com os dados disponíveis.</t>
  </si>
  <si>
    <t>T_CASO_D</t>
  </si>
  <si>
    <t>Não foi identificada execução anterior ao início dos efeitos financeiros.</t>
  </si>
  <si>
    <t>T_EFEITOS_A_PARTIR</t>
  </si>
  <si>
    <t xml:space="preserve"> — efeitos a partir de </t>
  </si>
  <si>
    <t>T_EFEITOS_DESDE</t>
  </si>
  <si>
    <t xml:space="preserve"> — efeitos desde o início do ciclo</t>
  </si>
  <si>
    <t>T_PCS</t>
  </si>
  <si>
    <t xml:space="preserve"> PC(s) · </t>
  </si>
  <si>
    <t>T_COMPETENCIAS</t>
  </si>
  <si>
    <t xml:space="preserve"> competência(s) · </t>
  </si>
  <si>
    <t>T_SEM_EXECUCAO</t>
  </si>
  <si>
    <t xml:space="preserve">Sem execução · </t>
  </si>
  <si>
    <t>T_PERIODO_SEM_EFEITO</t>
  </si>
  <si>
    <t xml:space="preserve">Sem efeito: </t>
  </si>
  <si>
    <t>T_NAO_MENSURAVEL</t>
  </si>
  <si>
    <t>Não mensurável</t>
  </si>
  <si>
    <t>RESULTADOS — DETALHE TÉCNICO DA APURAÇÃO</t>
  </si>
  <si>
    <t>Memória auditável, conferências e AJUSTES MANUAIS. A síntese executiva está na aba RESULTADOS.</t>
  </si>
  <si>
    <t>RESULTADOS EXECUTIVA — textos constantes (as fórmulas da aba são ASCII)</t>
  </si>
  <si>
    <t>TRACO</t>
  </si>
  <si>
    <t>—</t>
  </si>
  <si>
    <t>MET_FIN</t>
  </si>
  <si>
    <t>Financeiro (Mensalidade)</t>
  </si>
  <si>
    <t>MET_PC</t>
  </si>
  <si>
    <t>Pedidos de Compra</t>
  </si>
  <si>
    <t>MET_ITENS</t>
  </si>
  <si>
    <t>Itens Consumidos</t>
  </si>
  <si>
    <t>MET_NAO</t>
  </si>
  <si>
    <t>Método não selecionado</t>
  </si>
  <si>
    <t>VTA_SUB</t>
  </si>
  <si>
    <t>Valor Total Atualizado do contrato pelo método selecionado.</t>
  </si>
  <si>
    <t>VTA_SUB_POT</t>
  </si>
  <si>
    <t>Inclui a parcela de retroativo POTENCIAL (card âmbar).</t>
  </si>
  <si>
    <t>RETRO_SUB</t>
  </si>
  <si>
    <t>Diferença reconhecida a pagar à contratada.</t>
  </si>
  <si>
    <t>POT_SUB</t>
  </si>
  <si>
    <t>Incorporado ao VTA por prudência. Sujeito à confirmação da área gestora; não é valor a pagar.</t>
  </si>
  <si>
    <t>POT_NA</t>
  </si>
  <si>
    <t>Não se aplica ao método selecionado.</t>
  </si>
  <si>
    <t>SALDO_SUB</t>
  </si>
  <si>
    <t>IND_SUB</t>
  </si>
  <si>
    <t>Variação histórica integral até o ciclo vigente.</t>
  </si>
  <si>
    <t>IND_SUB_NA</t>
  </si>
  <si>
    <t>Aguardando percentuais completos dos ciclos.</t>
  </si>
  <si>
    <t>COMPUTADO</t>
  </si>
  <si>
    <t>Computado nesta apuração</t>
  </si>
  <si>
    <t>Não computado nesta apuração</t>
  </si>
  <si>
    <t>SEM_AJUSTES</t>
  </si>
  <si>
    <t>SEM AJUSTES</t>
  </si>
  <si>
    <t>SEM_QUADRO3</t>
  </si>
  <si>
    <t>Não há ciclo reajustado computado nesta apuração.</t>
  </si>
  <si>
    <t>HDR_PERIODO_SEM</t>
  </si>
  <si>
    <t>Período sem efeito e início dos efeitos</t>
  </si>
  <si>
    <t>DET_TITULO</t>
  </si>
  <si>
    <t>DETALHES DO MÉTODO — PEDIDOS DE COMPRA</t>
  </si>
  <si>
    <t>DET_MEDIDA</t>
  </si>
  <si>
    <t>DET_VALOR</t>
  </si>
  <si>
    <t>DET_REPRESENTA</t>
  </si>
  <si>
    <t>O que este valor representa</t>
  </si>
  <si>
    <t>ORIG_EXEC_PC</t>
  </si>
  <si>
    <t>Execução reconhecida em PCs, já atualizada: contém o retroativo reconhecido incorporado.</t>
  </si>
  <si>
    <t>ORIG_EXEC_FIN</t>
  </si>
  <si>
    <t>Valores efetivamente pagos, conforme a aba financeiro.</t>
  </si>
  <si>
    <t>ORIG_EXEC_ITENS</t>
  </si>
  <si>
    <t>Consumo informado, atualizado pelo fator de cada ciclo.</t>
  </si>
  <si>
    <t>ORIG_POT_PC</t>
  </si>
  <si>
    <t>Parcela POTENCIAL dos PCs em análise, incorporada por prudência. Não é retroativo reconhecido nem valor a pagar.</t>
  </si>
  <si>
    <t>ORIG_AJ_FIN</t>
  </si>
  <si>
    <t>Reajuste já reconhecido e ainda não contido no valor pago.</t>
  </si>
  <si>
    <t>ORIG_AJ_ITENS</t>
  </si>
  <si>
    <t>Não aplicável: o reajuste já está dentro da execução atualizada.</t>
  </si>
  <si>
    <t>ORIG_REM_PC</t>
  </si>
  <si>
    <t>Saldo remanescente final atualizado usado no VTA (os saldos históricos não se somam).</t>
  </si>
  <si>
    <t>ORIG_REM</t>
  </si>
  <si>
    <t>Saldo que ainda falta executar, já atualizado.</t>
  </si>
  <si>
    <t>ORIG_VTA</t>
  </si>
  <si>
    <t>Resultado final do método de apuração selecionado.</t>
  </si>
  <si>
    <t>LBL_VTA_SEM_POT</t>
  </si>
  <si>
    <t>VTA sem a parcela potencial (referência)</t>
  </si>
  <si>
    <t>ORIG_VTA_SEM_POT</t>
  </si>
  <si>
    <t>Referência: VTA antes de incorporar a parcela potencial. Não substitui o VTA oficial.</t>
  </si>
  <si>
    <t>LBL_POT_NEG</t>
  </si>
  <si>
    <t>Parcela potencial negativa apurada</t>
  </si>
  <si>
    <t>ORIG_POT_NEG</t>
  </si>
  <si>
    <t>Permanece visível por prudência: não reduz o VTA e não compensa a parcela positiva.</t>
  </si>
  <si>
    <t>ORIG_POT_NEG_ZERO</t>
  </si>
  <si>
    <t>Não há parcela potencial negativa apurada.</t>
  </si>
  <si>
    <t>LBL_CONFERENCIA</t>
  </si>
  <si>
    <t>Conferência da formação (deve ser R$ 0,00)</t>
  </si>
  <si>
    <t>ORIG_AGUARDANDO</t>
  </si>
  <si>
    <t>Aguardando base para conferir.</t>
  </si>
  <si>
    <t>ORIG_NA</t>
  </si>
  <si>
    <t>RESULTADO DA APURAÇÃO</t>
  </si>
  <si>
    <t>MÉTODO</t>
  </si>
  <si>
    <t>CICLO VIGENTE</t>
  </si>
  <si>
    <t>DATA DE CORTE</t>
  </si>
  <si>
    <t>ÍNDICE</t>
  </si>
  <si>
    <t>ÍNDICE ACUMULADO</t>
  </si>
  <si>
    <t>STATUS DA APURAÇÃO</t>
  </si>
  <si>
    <t>VTA OFICIAL</t>
  </si>
  <si>
    <t>SALDO REMANESCENTE</t>
  </si>
  <si>
    <t>SITUAÇÃO DA APURAÇÃO</t>
  </si>
  <si>
    <t>COMPOSIÇÃO DO VTA</t>
  </si>
  <si>
    <t>VERIFICAÇÕES</t>
  </si>
  <si>
    <t>Verificação</t>
  </si>
  <si>
    <t>O que é verificado</t>
  </si>
  <si>
    <t>Composição do VTA</t>
  </si>
  <si>
    <t>VTA oficial calculado e reconhecido pelo método selecionado.</t>
  </si>
  <si>
    <t>Retroativo por ciclo</t>
  </si>
  <si>
    <t>Retroativo apurado em todos os ciclos computados nesta apuração.</t>
  </si>
  <si>
    <t>Remanescente por ciclo</t>
  </si>
  <si>
    <t>Remanescente conferido entre as bases disponíveis.</t>
  </si>
  <si>
    <t>Execução e saldo do ciclo vigente na data de referência.</t>
  </si>
  <si>
    <t>Data de referência do ciclo em execução</t>
  </si>
  <si>
    <t>Data da posição usada para medir a execução e o saldo do ciclo atual.</t>
  </si>
  <si>
    <t>Situação atual × referência anterior</t>
  </si>
  <si>
    <t>Reconciliação entre a posição atual e a última abertura de ciclo (não é VTA).</t>
  </si>
  <si>
    <t>Diferença entre posição atual e última abertura</t>
  </si>
  <si>
    <t>R$ 0,00 indica que as duas decomposições chegaram ao mesmo valor.</t>
  </si>
  <si>
    <t>Ajustes manuais da apuração</t>
  </si>
  <si>
    <t>1. EVOLUÇÃO POR CICLO</t>
  </si>
  <si>
    <t>Início do ciclo</t>
  </si>
  <si>
    <t>Fim do ciclo</t>
  </si>
  <si>
    <t>Variação do ciclo</t>
  </si>
  <si>
    <t>Início do efeito financeiro</t>
  </si>
  <si>
    <t>3. EXECUÇÃO SEM EFEITO FINANCEIRO</t>
  </si>
  <si>
    <t>Esta aba apenas apresenta valores. Todos os números são espelhos das fontes canônicas (RESULTADOS_DETALHE, MEMORIA_RESULTADOS, parametros e CONTROLE); nenhum valor é recalculado aqui. A execução sem efeito financeiro é exclusivamente informativa: não é retroativo, não é valor a pagar e não integra o VTA.</t>
  </si>
  <si>
    <t>SUMPRODUCT(posicao_contratual!B x C) x RESULTADOS_DETALHE!H5 (fator historico integral)</t>
  </si>
  <si>
    <t>HIST_INC_1</t>
  </si>
  <si>
    <t xml:space="preserve">HISTÓRICO INCOMPLETO — informe o percentual de </t>
  </si>
  <si>
    <t>HIST_INC_N</t>
  </si>
  <si>
    <t xml:space="preserve">HISTÓRICO INCOMPLETO — informe os percentuais de </t>
  </si>
  <si>
    <t>Este quadro mostra apenas os ciclos computados nesta apuração.</t>
  </si>
  <si>
    <t>Entradas manuais: somente as colunas amarelas AJUSTE_TIPO (Z) e AJUSTE_VALOR_INFORMADO (AA); as demais colunas são automáticas. Preencha somente quando o valor pago considerado na execucao do ciclo diferir do valor calculado pelos itens consumidos.</t>
  </si>
  <si>
    <t>AJUSTE OPCIONAL — preencher somente quando necessário (valor pago / glosa)</t>
  </si>
  <si>
    <t>Na aba técnica RESULTADOS_DETALHE (bloco 5), oculta por padrão: use Reexibir no Excel para acessá-la.</t>
  </si>
  <si>
    <t>Síntese executiva da apuração do reajuste. A memória técnica, as conferências e os ajustes manuais estão na aba RESULTADOS_DETALHE (oculta por padrão; use Reexibir no Excel).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</si>
</sst>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&quot;R$&quot;\ #,##0.00;\-&quot;R$&quot;\ #,##0.00;&quot;R$&quot;\ 0.00;@"/>
    <numFmt numFmtId="186" formatCode="0.00%;\-0.00%;0.00%;@"/>
  </numFmts>
  <fonts count="107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  <font>
      <sz val="9.5"/>
      <color rgb="FFD9E1F2"/>
      <name val="Calibri"/>
      <family val="2"/>
    </font>
    <font>
      <b/>
      <sz val="8.5"/>
      <color rgb="FF595959"/>
      <name val="Calibri"/>
      <family val="2"/>
    </font>
    <font>
      <b/>
      <sz val="9"/>
      <color rgb="FF9B2C3F"/>
      <name val="Calibri"/>
      <family val="2"/>
    </font>
    <font>
      <b/>
      <sz val="15"/>
      <color rgb="FF9B2C3F"/>
      <name val="Calibri"/>
      <family val="2"/>
    </font>
    <font>
      <sz val="9"/>
      <color rgb="FF9B2C3F"/>
      <name val="Calibri"/>
      <family val="2"/>
    </font>
    <font>
      <b/>
      <sz val="15"/>
      <color rgb="FF7F6000"/>
      <name val="Calibri"/>
      <family val="2"/>
    </font>
    <font>
      <b/>
      <sz val="9"/>
      <color rgb="FF375623"/>
      <name val="Calibri"/>
      <family val="2"/>
    </font>
    <font>
      <b/>
      <sz val="15"/>
      <color rgb="FF375623"/>
      <name val="Calibri"/>
      <family val="2"/>
    </font>
    <font>
      <sz val="9"/>
      <color rgb="FF375623"/>
      <name val="Calibri"/>
      <family val="2"/>
    </font>
    <font>
      <b/>
      <sz val="9"/>
      <color rgb="FF404040"/>
      <name val="Calibri"/>
      <family val="2"/>
    </font>
    <font>
      <b/>
      <sz val="15"/>
      <color rgb="FF404040"/>
      <name val="Calibri"/>
      <family val="2"/>
    </font>
    <font>
      <sz val="9"/>
      <color rgb="FF404040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11"/>
      <color rgb="FF262626"/>
      <name val="Calibri"/>
      <family val="2"/>
    </font>
    <font>
      <b/>
      <sz val="9.5"/>
      <color rgb="FF1F3864"/>
      <name val="Calibri"/>
      <family val="2"/>
    </font>
    <font>
      <sz val="10"/>
      <color rgb="FF262626"/>
      <name val="Calibri"/>
      <family val="2"/>
    </font>
    <font>
      <b/>
      <sz val="10"/>
      <color rgb="FF262626"/>
      <name val="Calibri"/>
      <family val="2"/>
    </font>
    <font>
      <i/>
      <sz val="8.5"/>
      <color rgb="FF595959"/>
      <name val="Calibri"/>
      <family val="2"/>
    </font>
    <font>
      <b/>
      <sz val="10"/>
      <color rgb="FF9C0006"/>
      <name val="Calibri"/>
      <family val="2"/>
    </font>
    <font>
      <b/>
      <sz val="10"/>
      <color rgb="FF3F3151"/>
      <name val="Calibri"/>
      <family val="2"/>
    </font>
    <font>
      <sz val="10"/>
      <color rgb="FF000000"/>
      <name val="Calibri"/>
      <family val="2"/>
    </font>
    <font>
      <b/>
      <sz val="11"/>
      <color rgb="FF3F3151"/>
      <name val="Calibri"/>
      <family val="2"/>
    </font>
    <font>
      <sz val="10"/>
      <color rgb="FF404040"/>
      <name val="Calibri"/>
      <family val="2"/>
    </font>
  </fonts>
  <fills count="73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BE5E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7F5FA"/>
        <bgColor indexed="64"/>
      </patternFill>
    </fill>
  </fills>
  <borders count="9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1F4E7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rgb="FFB0C4D8"/>
      </top>
      <bottom/>
      <diagonal/>
    </border>
    <border>
      <left/>
      <right/>
      <top/>
      <bottom style="thin">
        <color rgb="FFB0C4D8"/>
      </bottom>
      <diagonal/>
    </border>
    <border>
      <left/>
      <right/>
      <top/>
      <bottom style="thin">
        <color rgb="FFBFBFBF"/>
      </bottom>
      <diagonal/>
    </border>
    <border>
      <left/>
      <right/>
      <top style="thick">
        <color rgb="FF2E75B6"/>
      </top>
      <bottom/>
      <diagonal/>
    </border>
    <border>
      <left/>
      <right/>
      <top style="thick">
        <color rgb="FFE6A1AD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ck">
        <color rgb="FF70AD47"/>
      </top>
      <bottom/>
      <diagonal/>
    </border>
    <border>
      <left/>
      <right/>
      <top style="thick">
        <color rgb="FFA6A6A6"/>
      </top>
      <bottom/>
      <diagonal/>
    </border>
    <border>
      <left/>
      <right/>
      <top style="thick">
        <color rgb="FFBFBFBF"/>
      </top>
      <bottom/>
      <diagonal/>
    </border>
    <border>
      <left/>
      <right/>
      <top/>
      <bottom style="thin">
        <color rgb="FF9DB3D3"/>
      </bottom>
      <diagonal/>
    </border>
    <border>
      <left/>
      <right/>
      <top style="thin">
        <color rgb="FF9DB3D3"/>
      </top>
      <bottom style="thin">
        <color rgb="FFD9D9D9"/>
      </bottom>
      <diagonal/>
    </border>
    <border>
      <left/>
      <right/>
      <top style="thin">
        <color rgb="FF9DB3D3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medium">
        <color rgb="FF2E75B6"/>
      </top>
      <bottom style="thin">
        <color rgb="FFD9D9D9"/>
      </bottom>
      <diagonal/>
    </border>
    <border>
      <left/>
      <right/>
      <top style="medium">
        <color rgb="FF1F4E78"/>
      </top>
      <bottom style="thin">
        <color rgb="FFD9D9D9"/>
      </bottom>
      <diagonal/>
    </border>
  </borders>
  <cellStyleXfs count="1">
    <xf numFmtId="0" fontId="0" fillId="0" borderId="38"/>
  </cellStyleXfs>
  <cellXfs count="60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33" fillId="0" borderId="0" xfId="0" applyFont="1" applyBorder="1"/>
    <xf numFmtId="184" fontId="0" fillId="0" borderId="0" xfId="0" applyNumberFormat="1" applyBorder="1"/>
    <xf numFmtId="49" fontId="0" fillId="0" borderId="0" xfId="0" applyNumberFormat="1" applyBorder="1"/>
    <xf numFmtId="185" fontId="22" fillId="51" borderId="39" xfId="0" applyNumberFormat="1" applyFont="1" applyFill="1" applyBorder="1" applyAlignment="1">
      <alignment horizontal="right" vertical="center"/>
    </xf>
    <xf numFmtId="0" fontId="36" fillId="49" borderId="79" xfId="0" applyFont="1" applyFill="1" applyBorder="1" applyAlignment="1">
      <alignment horizontal="left" vertical="center" wrapText="1" indent="1"/>
    </xf>
    <xf numFmtId="178" fontId="40" fillId="51" borderId="50" xfId="0" applyNumberFormat="1" applyFont="1" applyFill="1" applyBorder="1" applyAlignment="1">
      <alignment horizontal="right" vertical="center"/>
    </xf>
    <xf numFmtId="185" fontId="22" fillId="51" borderId="36" xfId="0" applyNumberFormat="1" applyFont="1" applyFill="1" applyBorder="1" applyAlignment="1">
      <alignment horizontal="right" vertical="center"/>
    </xf>
    <xf numFmtId="0" fontId="68" fillId="51" borderId="80" xfId="0" applyFont="1" applyFill="1" applyBorder="1" applyAlignment="1">
      <alignment horizontal="left" vertical="center" wrapText="1" indent="1"/>
    </xf>
    <xf numFmtId="0" fontId="14" fillId="0" borderId="0" xfId="0" applyFont="1" applyBorder="1" applyAlignment="1">
      <alignment vertical="center"/>
    </xf>
    <xf numFmtId="0" fontId="14" fillId="65" borderId="0" xfId="0" applyFont="1" applyFill="1" applyBorder="1" applyAlignment="1">
      <alignment vertical="center"/>
    </xf>
    <xf numFmtId="49" fontId="62" fillId="65" borderId="0" xfId="0" applyNumberFormat="1" applyFont="1" applyFill="1" applyBorder="1" applyAlignment="1">
      <alignment horizontal="left" vertical="center" indent="1"/>
    </xf>
    <xf numFmtId="49" fontId="83" fillId="65" borderId="0" xfId="0" applyNumberFormat="1" applyFont="1" applyFill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left"/>
    </xf>
    <xf numFmtId="0" fontId="81" fillId="0" borderId="83" xfId="0" applyFont="1" applyBorder="1" applyAlignment="1">
      <alignment horizontal="left" vertical="center"/>
    </xf>
    <xf numFmtId="171" fontId="81" fillId="0" borderId="83" xfId="0" applyNumberFormat="1" applyFont="1" applyBorder="1" applyAlignment="1">
      <alignment horizontal="left" vertical="center"/>
    </xf>
    <xf numFmtId="186" fontId="81" fillId="0" borderId="83" xfId="0" applyNumberFormat="1" applyFont="1" applyBorder="1" applyAlignment="1">
      <alignment horizontal="left" vertical="center"/>
    </xf>
    <xf numFmtId="49" fontId="84" fillId="0" borderId="0" xfId="0" applyNumberFormat="1" applyFont="1" applyBorder="1" applyAlignment="1">
      <alignment horizontal="left" indent="1"/>
    </xf>
    <xf numFmtId="0" fontId="81" fillId="0" borderId="83" xfId="0" applyFont="1" applyBorder="1" applyAlignment="1">
      <alignment horizontal="left" vertical="center" indent="1"/>
    </xf>
    <xf numFmtId="49" fontId="84" fillId="0" borderId="0" xfId="0" applyNumberFormat="1" applyFont="1" applyBorder="1" applyAlignment="1">
      <alignment horizontal="center"/>
    </xf>
    <xf numFmtId="0" fontId="81" fillId="0" borderId="83" xfId="0" applyFont="1" applyBorder="1" applyAlignment="1">
      <alignment horizontal="center" vertical="center"/>
    </xf>
    <xf numFmtId="49" fontId="66" fillId="66" borderId="84" xfId="0" applyNumberFormat="1" applyFont="1" applyFill="1" applyBorder="1" applyAlignment="1">
      <alignment horizontal="left" vertical="center" indent="1"/>
    </xf>
    <xf numFmtId="0" fontId="60" fillId="66" borderId="0" xfId="0" applyFont="1" applyFill="1" applyBorder="1" applyAlignment="1">
      <alignment horizontal="left" vertical="top" wrapText="1" indent="1"/>
    </xf>
    <xf numFmtId="49" fontId="85" fillId="67" borderId="85" xfId="0" applyNumberFormat="1" applyFont="1" applyFill="1" applyBorder="1" applyAlignment="1">
      <alignment horizontal="left" vertical="center" indent="1"/>
    </xf>
    <xf numFmtId="49" fontId="87" fillId="67" borderId="0" xfId="0" applyNumberFormat="1" applyFont="1" applyFill="1" applyBorder="1" applyAlignment="1">
      <alignment horizontal="left" vertical="top" wrapText="1" indent="1"/>
    </xf>
    <xf numFmtId="49" fontId="80" fillId="39" borderId="86" xfId="0" applyNumberFormat="1" applyFont="1" applyFill="1" applyBorder="1" applyAlignment="1">
      <alignment horizontal="left" vertical="center" indent="1"/>
    </xf>
    <xf numFmtId="0" fontId="77" fillId="39" borderId="0" xfId="0" applyFont="1" applyFill="1" applyBorder="1" applyAlignment="1">
      <alignment horizontal="left" vertical="top" wrapText="1" indent="1"/>
    </xf>
    <xf numFmtId="49" fontId="89" fillId="43" borderId="87" xfId="0" applyNumberFormat="1" applyFont="1" applyFill="1" applyBorder="1" applyAlignment="1">
      <alignment horizontal="left" vertical="center" indent="1"/>
    </xf>
    <xf numFmtId="49" fontId="91" fillId="43" borderId="0" xfId="0" applyNumberFormat="1" applyFont="1" applyFill="1" applyBorder="1" applyAlignment="1">
      <alignment horizontal="left" vertical="top" wrapText="1" indent="1"/>
    </xf>
    <xf numFmtId="49" fontId="92" fillId="48" borderId="88" xfId="0" applyNumberFormat="1" applyFont="1" applyFill="1" applyBorder="1" applyAlignment="1">
      <alignment horizontal="left" vertical="center" indent="1"/>
    </xf>
    <xf numFmtId="0" fontId="94" fillId="48" borderId="0" xfId="0" applyFont="1" applyFill="1" applyBorder="1" applyAlignment="1">
      <alignment horizontal="left" vertical="top" wrapText="1" indent="1"/>
    </xf>
    <xf numFmtId="49" fontId="95" fillId="68" borderId="89" xfId="0" applyNumberFormat="1" applyFont="1" applyFill="1" applyBorder="1" applyAlignment="1">
      <alignment horizontal="left" vertical="center" indent="1"/>
    </xf>
    <xf numFmtId="0" fontId="96" fillId="68" borderId="0" xfId="0" applyFont="1" applyFill="1" applyBorder="1" applyAlignment="1">
      <alignment horizontal="left" vertical="top" wrapText="1" indent="1"/>
    </xf>
    <xf numFmtId="185" fontId="57" fillId="66" borderId="0" xfId="0" applyNumberFormat="1" applyFont="1" applyFill="1" applyBorder="1" applyAlignment="1">
      <alignment horizontal="right" vertical="center" indent="1"/>
    </xf>
    <xf numFmtId="185" fontId="86" fillId="67" borderId="0" xfId="0" applyNumberFormat="1" applyFont="1" applyFill="1" applyBorder="1" applyAlignment="1">
      <alignment horizontal="right" vertical="center" indent="1"/>
    </xf>
    <xf numFmtId="185" fontId="88" fillId="39" borderId="0" xfId="0" applyNumberFormat="1" applyFont="1" applyFill="1" applyBorder="1" applyAlignment="1">
      <alignment horizontal="right" vertical="center" indent="1"/>
    </xf>
    <xf numFmtId="185" fontId="90" fillId="43" borderId="0" xfId="0" applyNumberFormat="1" applyFont="1" applyFill="1" applyBorder="1" applyAlignment="1">
      <alignment horizontal="right" vertical="center" indent="1"/>
    </xf>
    <xf numFmtId="186" fontId="93" fillId="48" borderId="0" xfId="0" applyNumberFormat="1" applyFont="1" applyFill="1" applyBorder="1" applyAlignment="1">
      <alignment horizontal="right" vertical="center" indent="1"/>
    </xf>
    <xf numFmtId="0" fontId="97" fillId="68" borderId="0" xfId="0" applyFont="1" applyFill="1" applyBorder="1" applyAlignment="1">
      <alignment horizontal="left" vertical="center" wrapText="1" indent="1"/>
    </xf>
    <xf numFmtId="49" fontId="36" fillId="49" borderId="0" xfId="0" applyNumberFormat="1" applyFont="1" applyFill="1" applyBorder="1" applyAlignment="1">
      <alignment horizontal="left" vertical="center" indent="1"/>
    </xf>
    <xf numFmtId="0" fontId="36" fillId="49" borderId="0" xfId="0" applyFont="1" applyFill="1" applyBorder="1" applyAlignment="1">
      <alignment horizontal="left" vertical="center" indent="1"/>
    </xf>
    <xf numFmtId="0" fontId="99" fillId="0" borderId="92" xfId="0" applyFont="1" applyBorder="1" applyAlignment="1">
      <alignment horizontal="left" vertical="center" wrapText="1" indent="1"/>
    </xf>
    <xf numFmtId="0" fontId="99" fillId="0" borderId="93" xfId="0" applyFont="1" applyBorder="1" applyAlignment="1">
      <alignment horizontal="left" vertical="center" wrapText="1" indent="1"/>
    </xf>
    <xf numFmtId="49" fontId="99" fillId="0" borderId="93" xfId="0" applyNumberFormat="1" applyFont="1" applyBorder="1" applyAlignment="1">
      <alignment horizontal="left" vertical="center" wrapText="1" indent="1"/>
    </xf>
    <xf numFmtId="49" fontId="99" fillId="0" borderId="8" xfId="0" applyNumberFormat="1" applyFont="1" applyBorder="1" applyAlignment="1">
      <alignment horizontal="left" vertical="center" wrapText="1" indent="1"/>
    </xf>
    <xf numFmtId="185" fontId="99" fillId="0" borderId="92" xfId="0" applyNumberFormat="1" applyFont="1" applyBorder="1" applyAlignment="1">
      <alignment horizontal="right" vertical="center"/>
    </xf>
    <xf numFmtId="185" fontId="99" fillId="0" borderId="93" xfId="0" applyNumberFormat="1" applyFont="1" applyBorder="1" applyAlignment="1">
      <alignment horizontal="right" vertical="center"/>
    </xf>
    <xf numFmtId="185" fontId="99" fillId="0" borderId="8" xfId="0" applyNumberFormat="1" applyFont="1" applyBorder="1" applyAlignment="1">
      <alignment horizontal="right" vertical="center"/>
    </xf>
    <xf numFmtId="0" fontId="8" fillId="66" borderId="94" xfId="0" applyFont="1" applyFill="1" applyBorder="1" applyAlignment="1">
      <alignment horizontal="left" vertical="center" wrapText="1" indent="1"/>
    </xf>
    <xf numFmtId="185" fontId="8" fillId="66" borderId="94" xfId="0" applyNumberFormat="1" applyFont="1" applyFill="1" applyBorder="1" applyAlignment="1">
      <alignment horizontal="right" vertical="center"/>
    </xf>
    <xf numFmtId="49" fontId="99" fillId="0" borderId="92" xfId="0" applyNumberFormat="1" applyFont="1" applyBorder="1" applyAlignment="1">
      <alignment horizontal="left" vertical="center" wrapText="1" indent="1"/>
    </xf>
    <xf numFmtId="0" fontId="95" fillId="0" borderId="92" xfId="0" applyFont="1" applyBorder="1" applyAlignment="1">
      <alignment horizontal="center" vertical="center" wrapText="1"/>
    </xf>
    <xf numFmtId="0" fontId="95" fillId="0" borderId="93" xfId="0" applyFont="1" applyBorder="1" applyAlignment="1">
      <alignment horizontal="center" vertical="center" wrapText="1"/>
    </xf>
    <xf numFmtId="0" fontId="95" fillId="0" borderId="8" xfId="0" applyFont="1" applyBorder="1" applyAlignment="1">
      <alignment horizontal="center" vertical="center" wrapText="1"/>
    </xf>
    <xf numFmtId="171" fontId="96" fillId="0" borderId="93" xfId="0" applyNumberFormat="1" applyFont="1" applyBorder="1" applyAlignment="1">
      <alignment horizontal="center" vertical="center" wrapText="1"/>
    </xf>
    <xf numFmtId="185" fontId="96" fillId="0" borderId="93" xfId="0" applyNumberFormat="1" applyFont="1" applyBorder="1" applyAlignment="1">
      <alignment horizontal="center" vertical="center" wrapText="1"/>
    </xf>
    <xf numFmtId="0" fontId="100" fillId="0" borderId="92" xfId="0" applyFont="1" applyBorder="1" applyAlignment="1">
      <alignment horizontal="left" vertical="center" indent="1"/>
    </xf>
    <xf numFmtId="0" fontId="100" fillId="0" borderId="93" xfId="0" applyFont="1" applyBorder="1" applyAlignment="1">
      <alignment horizontal="left" vertical="center" indent="1"/>
    </xf>
    <xf numFmtId="0" fontId="100" fillId="0" borderId="8" xfId="0" applyFont="1" applyBorder="1" applyAlignment="1">
      <alignment horizontal="left" vertical="center" indent="1"/>
    </xf>
    <xf numFmtId="171" fontId="99" fillId="0" borderId="92" xfId="0" applyNumberFormat="1" applyFont="1" applyBorder="1" applyAlignment="1">
      <alignment horizontal="center" vertical="center" wrapText="1"/>
    </xf>
    <xf numFmtId="186" fontId="99" fillId="0" borderId="92" xfId="0" applyNumberFormat="1" applyFont="1" applyBorder="1" applyAlignment="1">
      <alignment horizontal="center" vertical="center" wrapText="1"/>
    </xf>
    <xf numFmtId="171" fontId="99" fillId="0" borderId="93" xfId="0" applyNumberFormat="1" applyFont="1" applyBorder="1" applyAlignment="1">
      <alignment horizontal="center" vertical="center" wrapText="1"/>
    </xf>
    <xf numFmtId="186" fontId="99" fillId="0" borderId="93" xfId="0" applyNumberFormat="1" applyFont="1" applyBorder="1" applyAlignment="1">
      <alignment horizontal="center" vertical="center" wrapText="1"/>
    </xf>
    <xf numFmtId="171" fontId="99" fillId="0" borderId="8" xfId="0" applyNumberFormat="1" applyFont="1" applyBorder="1" applyAlignment="1">
      <alignment horizontal="center" vertical="center" wrapText="1"/>
    </xf>
    <xf numFmtId="186" fontId="99" fillId="0" borderId="8" xfId="0" applyNumberFormat="1" applyFont="1" applyBorder="1" applyAlignment="1">
      <alignment horizontal="center" vertical="center" wrapText="1"/>
    </xf>
    <xf numFmtId="0" fontId="96" fillId="0" borderId="92" xfId="0" applyFont="1" applyBorder="1" applyAlignment="1">
      <alignment horizontal="left" vertical="center" wrapText="1" indent="1"/>
    </xf>
    <xf numFmtId="0" fontId="96" fillId="0" borderId="93" xfId="0" applyFont="1" applyBorder="1" applyAlignment="1">
      <alignment horizontal="left" vertical="center" wrapText="1" indent="1"/>
    </xf>
    <xf numFmtId="0" fontId="96" fillId="0" borderId="8" xfId="0" applyFont="1" applyBorder="1" applyAlignment="1">
      <alignment horizontal="left" vertical="center" wrapText="1" indent="1"/>
    </xf>
    <xf numFmtId="49" fontId="100" fillId="0" borderId="92" xfId="0" applyNumberFormat="1" applyFont="1" applyBorder="1" applyAlignment="1">
      <alignment horizontal="left" vertical="center" indent="1"/>
    </xf>
    <xf numFmtId="49" fontId="100" fillId="0" borderId="93" xfId="0" applyNumberFormat="1" applyFont="1" applyBorder="1" applyAlignment="1">
      <alignment horizontal="left" vertical="center" indent="1"/>
    </xf>
    <xf numFmtId="49" fontId="5" fillId="0" borderId="93" xfId="0" applyNumberFormat="1" applyFont="1" applyBorder="1" applyAlignment="1">
      <alignment horizontal="left" vertical="center" indent="1"/>
    </xf>
    <xf numFmtId="49" fontId="8" fillId="69" borderId="95" xfId="0" applyNumberFormat="1" applyFont="1" applyFill="1" applyBorder="1" applyAlignment="1">
      <alignment horizontal="left" vertical="center" indent="1"/>
    </xf>
    <xf numFmtId="185" fontId="8" fillId="69" borderId="95" xfId="0" applyNumberFormat="1" applyFont="1" applyFill="1" applyBorder="1" applyAlignment="1">
      <alignment horizontal="right" vertical="center"/>
    </xf>
    <xf numFmtId="0" fontId="14" fillId="0" borderId="0" xfId="0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98" fillId="0" borderId="0" xfId="0" applyFont="1" applyBorder="1" applyAlignment="1">
      <alignment horizontal="left" vertical="center" wrapText="1" indent="1"/>
    </xf>
    <xf numFmtId="0" fontId="100" fillId="0" borderId="0" xfId="0" applyFont="1" applyBorder="1" applyAlignment="1">
      <alignment horizontal="left" vertical="center" indent="1"/>
    </xf>
    <xf numFmtId="0" fontId="98" fillId="0" borderId="0" xfId="0" applyFont="1" applyBorder="1" applyAlignment="1">
      <alignment horizontal="right" vertical="center" wrapText="1"/>
    </xf>
    <xf numFmtId="185" fontId="99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 indent="1"/>
    </xf>
    <xf numFmtId="185" fontId="14" fillId="0" borderId="0" xfId="0" applyNumberFormat="1" applyFont="1" applyBorder="1" applyAlignment="1">
      <alignment horizontal="right" vertical="center"/>
    </xf>
    <xf numFmtId="49" fontId="98" fillId="69" borderId="38" xfId="0" applyNumberFormat="1" applyFont="1" applyFill="1" applyAlignment="1">
      <alignment horizontal="left" vertical="center" wrapText="1" indent="1"/>
    </xf>
    <xf numFmtId="49" fontId="98" fillId="69" borderId="38" xfId="0" applyNumberFormat="1" applyFont="1" applyFill="1" applyAlignment="1">
      <alignment horizontal="left" vertical="center" wrapText="1"/>
    </xf>
    <xf numFmtId="49" fontId="5" fillId="0" borderId="38" xfId="0" applyNumberFormat="1" applyFont="1" applyAlignment="1">
      <alignment horizontal="left" vertical="center" wrapText="1" indent="1"/>
    </xf>
    <xf numFmtId="185" fontId="5" fillId="0" borderId="38" xfId="0" applyNumberFormat="1" applyFont="1" applyAlignment="1">
      <alignment horizontal="right" vertical="center"/>
    </xf>
    <xf numFmtId="49" fontId="98" fillId="69" borderId="38" xfId="0" applyNumberFormat="1" applyFont="1" applyFill="1" applyAlignment="1">
      <alignment horizontal="center" vertical="center" wrapText="1"/>
    </xf>
    <xf numFmtId="0" fontId="98" fillId="69" borderId="38" xfId="0" applyFont="1" applyFill="1" applyAlignment="1">
      <alignment horizontal="right" vertical="center" wrapText="1"/>
    </xf>
    <xf numFmtId="0" fontId="75" fillId="0" borderId="38" xfId="0" applyFont="1" applyAlignment="1">
      <alignment horizontal="left" vertical="center"/>
    </xf>
    <xf numFmtId="0" fontId="22" fillId="44" borderId="3" xfId="0" applyFont="1" applyFill="1" applyBorder="1" applyAlignment="1">
      <alignment horizontal="center" vertical="center"/>
    </xf>
    <xf numFmtId="0" fontId="104" fillId="39" borderId="3" xfId="0" applyFont="1" applyFill="1" applyBorder="1"/>
    <xf numFmtId="0" fontId="22" fillId="44" borderId="3" xfId="0" applyFont="1" applyFill="1" applyBorder="1" applyAlignment="1">
      <alignment horizontal="left" vertical="center" wrapText="1"/>
    </xf>
    <xf numFmtId="0" fontId="103" fillId="70" borderId="3" xfId="0" applyFont="1" applyFill="1" applyBorder="1" applyAlignment="1">
      <alignment horizontal="center" vertical="center"/>
    </xf>
    <xf numFmtId="0" fontId="103" fillId="71" borderId="3" xfId="0" applyFont="1" applyFill="1" applyBorder="1" applyAlignment="1">
      <alignment horizontal="center" vertical="center"/>
    </xf>
    <xf numFmtId="4" fontId="22" fillId="44" borderId="3" xfId="0" applyNumberFormat="1" applyFont="1" applyFill="1" applyBorder="1"/>
    <xf numFmtId="4" fontId="104" fillId="39" borderId="3" xfId="0" applyNumberFormat="1" applyFont="1" applyFill="1" applyBorder="1"/>
    <xf numFmtId="169" fontId="22" fillId="44" borderId="3" xfId="0" applyNumberFormat="1" applyFont="1" applyFill="1" applyBorder="1"/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102" fillId="0" borderId="22" xfId="0" applyFont="1" applyBorder="1" applyAlignment="1">
      <alignment horizontal="left" vertical="center" wrapText="1" indent="1"/>
    </xf>
    <xf numFmtId="0" fontId="102" fillId="0" borderId="8" xfId="0" applyFont="1" applyBorder="1" applyAlignment="1">
      <alignment horizontal="left" vertical="center" wrapText="1" indent="1"/>
    </xf>
    <xf numFmtId="0" fontId="102" fillId="0" borderId="9" xfId="0" applyFont="1" applyBorder="1" applyAlignment="1">
      <alignment horizontal="left" vertical="center" wrapText="1" indent="1"/>
    </xf>
    <xf numFmtId="0" fontId="106" fillId="72" borderId="3" xfId="0" applyFont="1" applyFill="1" applyBorder="1" applyAlignment="1">
      <alignment horizontal="left" vertical="center" wrapText="1" indent="1"/>
    </xf>
    <xf numFmtId="0" fontId="105" fillId="70" borderId="3" xfId="0" applyFont="1" applyFill="1" applyBorder="1" applyAlignment="1">
      <alignment horizontal="left" vertical="center" wrapText="1" inden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71" fillId="0" borderId="48" xfId="0" applyFont="1" applyBorder="1" applyAlignment="1">
      <alignment horizontal="left" vertical="center" wrapText="1" indent="1"/>
    </xf>
    <xf numFmtId="0" fontId="71" fillId="0" borderId="82" xfId="0" applyFont="1" applyBorder="1" applyAlignment="1">
      <alignment horizontal="left" vertical="center" wrapText="1" indent="1"/>
    </xf>
    <xf numFmtId="0" fontId="71" fillId="0" borderId="51" xfId="0" applyFont="1" applyBorder="1" applyAlignment="1">
      <alignment horizontal="left" vertical="center" wrapText="1" indent="1"/>
    </xf>
    <xf numFmtId="0" fontId="71" fillId="0" borderId="81" xfId="0" applyFont="1" applyBorder="1" applyAlignment="1">
      <alignment horizontal="left" vertical="center" wrapText="1" inden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38" xfId="0" applyFont="1" applyFill="1" applyAlignment="1">
      <alignment horizontal="left" vertical="center" inden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50" fillId="0" borderId="0" xfId="0" applyFont="1" applyBorder="1" applyAlignment="1">
      <alignment horizontal="left" vertical="center" wrapText="1" indent="1"/>
    </xf>
    <xf numFmtId="49" fontId="101" fillId="0" borderId="0" xfId="0" applyNumberFormat="1" applyFont="1" applyBorder="1" applyAlignment="1">
      <alignment horizontal="left" vertical="center" wrapText="1" indent="1"/>
    </xf>
    <xf numFmtId="49" fontId="14" fillId="0" borderId="0" xfId="0" applyNumberFormat="1" applyFont="1" applyBorder="1" applyAlignment="1">
      <alignment horizontal="left" vertical="center" wrapText="1" indent="1"/>
    </xf>
    <xf numFmtId="0" fontId="98" fillId="0" borderId="0" xfId="0" applyFont="1" applyBorder="1" applyAlignment="1">
      <alignment horizontal="left" vertical="center" wrapText="1"/>
    </xf>
    <xf numFmtId="0" fontId="75" fillId="0" borderId="0" xfId="0" applyFont="1" applyBorder="1" applyAlignment="1">
      <alignment horizontal="left" vertical="center" wrapText="1" indent="1"/>
    </xf>
    <xf numFmtId="0" fontId="14" fillId="0" borderId="0" xfId="0" applyFont="1" applyBorder="1" applyAlignment="1">
      <alignment horizontal="left" vertical="center" wrapText="1" indent="1"/>
    </xf>
    <xf numFmtId="0" fontId="50" fillId="0" borderId="8" xfId="0" applyFont="1" applyBorder="1" applyAlignment="1">
      <alignment horizontal="left" vertical="center" wrapText="1" indent="1"/>
    </xf>
    <xf numFmtId="49" fontId="98" fillId="69" borderId="90" xfId="0" applyNumberFormat="1" applyFont="1" applyFill="1" applyBorder="1" applyAlignment="1">
      <alignment horizontal="left" vertical="center" wrapText="1"/>
    </xf>
    <xf numFmtId="49" fontId="50" fillId="0" borderId="91" xfId="0" applyNumberFormat="1" applyFont="1" applyBorder="1" applyAlignment="1">
      <alignment horizontal="left" vertical="center" wrapText="1" indent="1"/>
    </xf>
    <xf numFmtId="49" fontId="50" fillId="0" borderId="8" xfId="0" applyNumberFormat="1" applyFont="1" applyBorder="1" applyAlignment="1">
      <alignment horizontal="left" vertical="center" wrapText="1" indent="1"/>
    </xf>
    <xf numFmtId="0" fontId="50" fillId="0" borderId="73" xfId="0" applyFont="1" applyBorder="1" applyAlignment="1">
      <alignment horizontal="left" vertical="center" wrapText="1" indent="1"/>
    </xf>
    <xf numFmtId="0" fontId="50" fillId="0" borderId="91" xfId="0" applyFont="1" applyBorder="1" applyAlignment="1">
      <alignment horizontal="left" vertical="center" wrapText="1" indent="1"/>
    </xf>
    <xf numFmtId="0" fontId="50" fillId="0" borderId="93" xfId="0" applyFont="1" applyBorder="1" applyAlignment="1">
      <alignment horizontal="left" vertical="center" wrapText="1" indent="1"/>
    </xf>
    <xf numFmtId="49" fontId="50" fillId="66" borderId="94" xfId="0" applyNumberFormat="1" applyFont="1" applyFill="1" applyBorder="1" applyAlignment="1">
      <alignment horizontal="left" vertical="center" wrapText="1" indent="1"/>
    </xf>
    <xf numFmtId="0" fontId="0" fillId="0" borderId="38" xfId="0"/>
    <xf numFmtId="0" fontId="50" fillId="0" borderId="38" xfId="0" applyFont="1"/>
  </cellXfs>
  <cellStyles count="1">
    <cellStyle name="Normal" xfId="0" builtinId="0"/>
  </cellStyles>
  <dxfs count="10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</dxf>
    <dxf>
      <fill>
        <patternFill>
          <bgColor rgb="FF1F4E78"/>
        </patternFill>
      </fill>
    </dxf>
    <dxf>
      <fill>
        <patternFill>
          <bgColor rgb="FFDEEAF6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border>
        <bottom style="thin">
          <color rgb="FFD9D9D9"/>
        </bottom>
      </border>
    </dxf>
    <dxf>
      <fill>
        <patternFill>
          <bgColor rgb="FFDCE6F1"/>
        </patternFill>
      </fill>
      <border>
        <bottom style="thin">
          <color rgb="FF9DB3D3"/>
        </bottom>
      </border>
    </dxf>
    <dxf>
      <font>
        <b/>
        <i val="0"/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IFERROR(ROUND(SUMPRODUCT(posicao_contratual!$B$2:$B$201,posicao_contratual!$C$2:$C$201)*RESULTADOS_DETALHE!$H$5,2),"")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7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2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46300.605046875004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29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0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0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1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1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ht="18" customHeight="1" x14ac:dyDescent="0.35">
      <c r="A8" s="486" t="str">
        <f>IF(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="","",IF(((AND(IFERROR(VALUE(MID(TRIM(CONTROLE!$B$2),2,1)),0)&gt;1,NOT(ISNUMBER($E$3))))+(AND(IFERROR(VALUE(MID(TRIM(CONTROLE!$B$2),2,1)),0)&gt;2,NOT(ISNUMBER($E$4))))+(AND(IFERROR(VALUE(MID(TRIM(CONTROLE!$B$2),2,1)),0)&gt;3,NOT(ISNUMBER($E$5)))))=1,MEMORIA_RESULTADOS!$AG$41,MEMORIA_RESULTADOS!$AG$42)&amp;IF(AND(IFERROR(VALUE(MID(TRIM(CONTROLE!$B$2),2,1)),0)&gt;1,NOT(ISNUMBER($E$3))),"C1","")&amp;IF(AND(IFERROR(VALUE(MID(TRIM(CONTROLE!$B$2),2,1)),0)&gt;2,NOT(ISNUMBER($E$4))),IF(AND(IFERROR(VALUE(MID(TRIM(CONTROLE!$B$2),2,1)),0)&gt;1,NOT(ISNUMBER($E$3))),IF(AND(IFERROR(VALUE(MID(TRIM(CONTROLE!$B$2),2,1)),0)&gt;3,NOT(ISNUMBER($E$5))),", "," e "),"")&amp;"C2","")&amp;IF(AND(IFERROR(VALUE(MID(TRIM(CONTROLE!$B$2),2,1)),0)&gt;3,NOT(ISNUMBER($E$5))),IF(OR(AND(IFERROR(VALUE(MID(TRIM(CONTROLE!$B$2),2,1)),0)&gt;1,NOT(ISNUMBER($E$3))),AND(IFERROR(VALUE(MID(TRIM(CONTROLE!$B$2),2,1)),0)&gt;2,NOT(ISNUMBER($E$4))))," e ","")&amp;"C3","")&amp;".")</f>
        <v/>
      </c>
      <c r="B8" s="487"/>
      <c r="C8" s="487"/>
      <c r="D8" s="487"/>
      <c r="E8" s="487"/>
      <c r="F8" s="488"/>
      <c r="G8" s="14"/>
      <c r="M8" s="177"/>
      <c r="N8" s="178"/>
      <c r="O8" s="179"/>
      <c r="P8" s="179"/>
      <c r="Q8" s="178"/>
    </row>
    <row r="9" spans="1:20" x14ac:dyDescent="0.35">
      <c r="A9" s="483" t="s">
        <v>49</v>
      </c>
      <c r="B9" s="484"/>
      <c r="C9" s="484"/>
      <c r="D9" s="484"/>
      <c r="E9" s="484"/>
      <c r="F9" s="485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474" t="s">
        <v>737</v>
      </c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2">
    <mergeCell ref="A9:F9"/>
    <mergeCell ref="A8:F8"/>
  </mergeCells>
  <conditionalFormatting sqref="A8:F8">
    <cfRule type="expression" dxfId="108" priority="2">
      <formula>LEN($A$8)&gt;0</formula>
    </cfRule>
  </conditionalFormatting>
  <conditionalFormatting sqref="E3:E6">
    <cfRule type="expression" dxfId="107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3"/>
      <c r="B74" s="304" t="s">
        <v>26</v>
      </c>
      <c r="C74" s="305">
        <f>SUM(C2:C73)</f>
        <v>0</v>
      </c>
      <c r="D74" s="304"/>
      <c r="E74" s="305">
        <f>SUM(E2:E73)</f>
        <v>0</v>
      </c>
      <c r="F74" s="305">
        <f>SUM(F2:F73)</f>
        <v>0</v>
      </c>
      <c r="G74" s="306"/>
    </row>
  </sheetData>
  <conditionalFormatting sqref="A2:G73">
    <cfRule type="expression" dxfId="106" priority="1" stopIfTrue="1">
      <formula>AND($C2&lt;&gt;"",$G2="")</formula>
    </cfRule>
    <cfRule type="expression" dxfId="105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104" priority="2">
      <formula>$U2="TOTAL"</formula>
    </cfRule>
  </conditionalFormatting>
  <conditionalFormatting sqref="E2:E201">
    <cfRule type="expression" dxfId="103" priority="3" stopIfTrue="1">
      <formula>AND($A2&lt;&gt;"",ISNUMBER($BI2),$BI2&gt;1)</formula>
    </cfRule>
    <cfRule type="expression" dxfId="102" priority="3">
      <formula>AND($A2&lt;&gt;"",ISNUMBER(E2),E2&gt;0)</formula>
    </cfRule>
    <cfRule type="expression" dxfId="101" priority="4">
      <formula>AND($A2&lt;&gt;"",E2=0)</formula>
    </cfRule>
    <cfRule type="expression" dxfId="100" priority="5">
      <formula>AND($A2&lt;&gt;"",E2="",OR(NOT(ISNUMBER($BI2)),$BI2&lt;=1))</formula>
    </cfRule>
  </conditionalFormatting>
  <conditionalFormatting sqref="G2:G201">
    <cfRule type="expression" dxfId="99" priority="6" stopIfTrue="1">
      <formula>AND($A2&lt;&gt;"",ISNUMBER($BI2),$BI2&gt;2)</formula>
    </cfRule>
    <cfRule type="expression" dxfId="98" priority="7">
      <formula>AND($A2&lt;&gt;"",ISNUMBER(G2),G2&gt;0)</formula>
    </cfRule>
    <cfRule type="expression" dxfId="97" priority="8">
      <formula>AND($A2&lt;&gt;"",G2=0)</formula>
    </cfRule>
    <cfRule type="expression" dxfId="96" priority="9">
      <formula>AND($A2&lt;&gt;"",G2="",OR(NOT(ISNUMBER($BI2)),$BI2&lt;=2))</formula>
    </cfRule>
  </conditionalFormatting>
  <conditionalFormatting sqref="I2:I201">
    <cfRule type="expression" dxfId="95" priority="10" stopIfTrue="1">
      <formula>AND($A2&lt;&gt;"",ISNUMBER($BI2),$BI2&gt;3)</formula>
    </cfRule>
    <cfRule type="expression" dxfId="94" priority="11">
      <formula>AND($A2&lt;&gt;"",ISNUMBER(I2),I2&gt;0)</formula>
    </cfRule>
    <cfRule type="expression" dxfId="93" priority="12">
      <formula>AND($A2&lt;&gt;"",I2=0)</formula>
    </cfRule>
    <cfRule type="expression" dxfId="92" priority="13">
      <formula>AND($A2&lt;&gt;"",I2="",OR(NOT(ISNUMBER($BI2)),$BI2&lt;=3))</formula>
    </cfRule>
  </conditionalFormatting>
  <conditionalFormatting sqref="K2:K201">
    <cfRule type="expression" dxfId="91" priority="14" stopIfTrue="1">
      <formula>AND($A2&lt;&gt;"",ISNUMBER($BI2),$BI2&gt;4)</formula>
    </cfRule>
    <cfRule type="expression" dxfId="90" priority="15">
      <formula>AND($A2&lt;&gt;"",ISNUMBER(K2),K2&gt;0)</formula>
    </cfRule>
    <cfRule type="expression" dxfId="89" priority="16">
      <formula>AND($A2&lt;&gt;"",K2=0)</formula>
    </cfRule>
    <cfRule type="expression" dxfId="88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6.26953125" customWidth="1"/>
    <col min="25" max="25" width="26.7265625" customWidth="1"/>
    <col min="26" max="26" width="16.6328125" customWidth="1"/>
    <col min="27" max="27" width="26.7265625" customWidth="1"/>
    <col min="28" max="28" width="34.1796875" customWidth="1"/>
    <col min="29" max="29" width="16.6328125" customWidth="1"/>
    <col min="30" max="30" width="21.54296875" customWidth="1"/>
    <col min="31" max="31" width="33" customWidth="1"/>
    <col min="32" max="32" width="21.54296875" customWidth="1"/>
    <col min="33" max="33" width="42.6328125" customWidth="1"/>
  </cols>
  <sheetData>
    <row r="1" spans="1:33" ht="30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463</v>
      </c>
      <c r="W1" s="233"/>
      <c r="X1" s="478" t="s">
        <v>547</v>
      </c>
      <c r="Y1" s="478" t="s">
        <v>548</v>
      </c>
      <c r="Z1" s="479" t="s">
        <v>549</v>
      </c>
      <c r="AA1" s="479" t="s">
        <v>550</v>
      </c>
      <c r="AB1" s="478" t="s">
        <v>551</v>
      </c>
      <c r="AC1" s="478" t="s">
        <v>552</v>
      </c>
      <c r="AD1" s="478" t="s">
        <v>553</v>
      </c>
      <c r="AE1" s="478" t="s">
        <v>554</v>
      </c>
      <c r="AF1" s="478" t="s">
        <v>555</v>
      </c>
      <c r="AG1" s="478" t="s">
        <v>556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215"/>
      <c r="X2" s="475" t="s">
        <v>21</v>
      </c>
      <c r="Y2" s="480" t="str">
        <f>IF(COUNT($E$2:$E$200)=0,"",IF(OR(NOT(ISNUMBER(parametros!$F2)),NOT(ISNUMBER($AD2)),$AD2=0),"",ROUND(SUMPRODUCT($E$2:$E$200,$C$2:$C$200)*parametros!$F2/$AD2,2)))</f>
        <v/>
      </c>
      <c r="Z2" s="476"/>
      <c r="AA2" s="481"/>
      <c r="AB2" s="480" t="str">
        <f>IF($AG2&lt;&gt;"AJUSTE APLICADO","",IF($Z2="Valor pago",ROUND($AA2,2),ROUND($Y2-$AA2,2)))</f>
        <v/>
      </c>
      <c r="AC2" s="480" t="str">
        <f>IF($AG2&lt;&gt;"AJUSTE APLICADO","",ROUND($Y2-$AB2,2))</f>
        <v/>
      </c>
      <c r="AD2" s="482">
        <f>IF(ISNUMBER(parametros!$D11),parametros!$D11,"")</f>
        <v>1</v>
      </c>
      <c r="AE2" s="480" t="str">
        <f>IF($AG2&lt;&gt;"AJUSTE APLICADO","",ROUND($AB2*$AD2,2))</f>
        <v/>
      </c>
      <c r="AF2" s="480" t="str">
        <f>IF($AG2&lt;&gt;"AJUSTE APLICADO","",ROUND($AE2-$AB2,2))</f>
        <v/>
      </c>
      <c r="AG2" s="477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NEGATIVO"),IF(NOT(ISNUMBER($AD2)),"REVISAR: CICLO FORA DA APURACAO OU SEM FATOR NOVO",IF(NOT(ISNUMBER($Y2)),"REVISAR: SEM EXECUCAO CALCULADA NO CICLO",IF(ROUND($AA2,2)&gt;ROUND($Y2,2),IF($Z2="Glosa","REVISAR: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215"/>
      <c r="X3" s="475" t="s">
        <v>22</v>
      </c>
      <c r="Y3" s="480" t="str">
        <f>IF(COUNT($G$2:$G$200)=0,"",IF(OR(NOT(ISNUMBER(parametros!$F3)),NOT(ISNUMBER($AD3)),$AD3=0),"",ROUND(SUMPRODUCT($G$2:$G$200,$C$2:$C$200)*parametros!$F3/$AD3,2)))</f>
        <v/>
      </c>
      <c r="Z3" s="476"/>
      <c r="AA3" s="481"/>
      <c r="AB3" s="480" t="str">
        <f>IF($AG3&lt;&gt;"AJUSTE APLICADO","",IF($Z3="Valor pago",ROUND($AA3,2),ROUND($Y3-$AA3,2)))</f>
        <v/>
      </c>
      <c r="AC3" s="480" t="str">
        <f>IF($AG3&lt;&gt;"AJUSTE APLICADO","",ROUND($Y3-$AB3,2))</f>
        <v/>
      </c>
      <c r="AD3" s="482" t="str">
        <f>IF(ISNUMBER(parametros!$D12),parametros!$D12,"")</f>
        <v/>
      </c>
      <c r="AE3" s="480" t="str">
        <f>IF($AG3&lt;&gt;"AJUSTE APLICADO","",ROUND($AB3*$AD3,2))</f>
        <v/>
      </c>
      <c r="AF3" s="480" t="str">
        <f>IF($AG3&lt;&gt;"AJUSTE APLICADO","",ROUND($AE3-$AB3,2))</f>
        <v/>
      </c>
      <c r="AG3" s="477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NEGATIVO"),IF(NOT(ISNUMBER($AD3)),"REVISAR: CICLO FORA DA APURACAO OU SEM FATOR NOVO",IF(NOT(ISNUMBER($Y3)),"REVISAR: SEM EXECUCAO CALCULADA NO CICLO",IF(ROUND($AA3,2)&gt;ROUND($Y3,2),IF($Z3="Glosa","REVISAR: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215"/>
      <c r="X4" s="475" t="s">
        <v>23</v>
      </c>
      <c r="Y4" s="480" t="str">
        <f>IF(COUNT($I$2:$I$200)=0,"",IF(OR(NOT(ISNUMBER(parametros!$F4)),NOT(ISNUMBER($AD4)),$AD4=0),"",ROUND(SUMPRODUCT($I$2:$I$200,$C$2:$C$200)*parametros!$F4/$AD4,2)))</f>
        <v/>
      </c>
      <c r="Z4" s="476"/>
      <c r="AA4" s="481"/>
      <c r="AB4" s="480" t="str">
        <f>IF($AG4&lt;&gt;"AJUSTE APLICADO","",IF($Z4="Valor pago",ROUND($AA4,2),ROUND($Y4-$AA4,2)))</f>
        <v/>
      </c>
      <c r="AC4" s="480" t="str">
        <f>IF($AG4&lt;&gt;"AJUSTE APLICADO","",ROUND($Y4-$AB4,2))</f>
        <v/>
      </c>
      <c r="AD4" s="482" t="str">
        <f>IF(ISNUMBER(parametros!$D13),parametros!$D13,"")</f>
        <v/>
      </c>
      <c r="AE4" s="480" t="str">
        <f>IF($AG4&lt;&gt;"AJUSTE APLICADO","",ROUND($AB4*$AD4,2))</f>
        <v/>
      </c>
      <c r="AF4" s="480" t="str">
        <f>IF($AG4&lt;&gt;"AJUSTE APLICADO","",ROUND($AE4-$AB4,2))</f>
        <v/>
      </c>
      <c r="AG4" s="477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NEGATIVO"),IF(NOT(ISNUMBER($AD4)),"REVISAR: CICLO FORA DA APURACAO OU SEM FATOR NOVO",IF(NOT(ISNUMBER($Y4)),"REVISAR: SEM EXECUCAO CALCULADA NO CICLO",IF(ROUND($AA4,2)&gt;ROUND($Y4,2),IF($Z4="Glosa","REVISAR: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215"/>
      <c r="X5" s="475" t="s">
        <v>24</v>
      </c>
      <c r="Y5" s="480" t="str">
        <f>IF(COUNT($K$2:$K$200)=0,"",IF(OR(NOT(ISNUMBER(parametros!$F5)),NOT(ISNUMBER($AD5)),$AD5=0),"",ROUND(SUMPRODUCT($K$2:$K$200,$C$2:$C$200)*parametros!$F5/$AD5,2)))</f>
        <v/>
      </c>
      <c r="Z5" s="476"/>
      <c r="AA5" s="481"/>
      <c r="AB5" s="480" t="str">
        <f>IF($AG5&lt;&gt;"AJUSTE APLICADO","",IF($Z5="Valor pago",ROUND($AA5,2),ROUND($Y5-$AA5,2)))</f>
        <v/>
      </c>
      <c r="AC5" s="480" t="str">
        <f>IF($AG5&lt;&gt;"AJUSTE APLICADO","",ROUND($Y5-$AB5,2))</f>
        <v/>
      </c>
      <c r="AD5" s="482" t="str">
        <f>IF(ISNUMBER(parametros!$D14),parametros!$D14,"")</f>
        <v/>
      </c>
      <c r="AE5" s="480" t="str">
        <f>IF($AG5&lt;&gt;"AJUSTE APLICADO","",ROUND($AB5*$AD5,2))</f>
        <v/>
      </c>
      <c r="AF5" s="480" t="str">
        <f>IF($AG5&lt;&gt;"AJUSTE APLICADO","",ROUND($AE5-$AB5,2))</f>
        <v/>
      </c>
      <c r="AG5" s="477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NEGATIVO"),IF(NOT(ISNUMBER($AD5)),"REVISAR: CICLO FORA DA APURACAO OU SEM FATOR NOVO",IF(NOT(ISNUMBER($Y5)),"REVISAR: SEM EXECUCAO CALCULADA NO CICLO",IF(ROUND($AA5,2)&gt;ROUND($Y5,2),IF($Z5="Glosa","REVISAR: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215"/>
      <c r="X6" s="475" t="s">
        <v>25</v>
      </c>
      <c r="Y6" s="480" t="str">
        <f>IF(COUNT($M$2:$M$200)=0,"",IF(OR(NOT(ISNUMBER(parametros!$F6)),NOT(ISNUMBER($AD6)),$AD6=0),"",ROUND(SUMPRODUCT($M$2:$M$200,$C$2:$C$200)*parametros!$F6/$AD6,2)))</f>
        <v/>
      </c>
      <c r="Z6" s="476"/>
      <c r="AA6" s="481"/>
      <c r="AB6" s="480" t="str">
        <f>IF($AG6&lt;&gt;"AJUSTE APLICADO","",IF($Z6="Valor pago",ROUND($AA6,2),ROUND($Y6-$AA6,2)))</f>
        <v/>
      </c>
      <c r="AC6" s="480" t="str">
        <f>IF($AG6&lt;&gt;"AJUSTE APLICADO","",ROUND($Y6-$AB6,2))</f>
        <v/>
      </c>
      <c r="AD6" s="482" t="str">
        <f>IF(ISNUMBER(parametros!$D15),parametros!$D15,"")</f>
        <v/>
      </c>
      <c r="AE6" s="480" t="str">
        <f>IF($AG6&lt;&gt;"AJUSTE APLICADO","",ROUND($AB6*$AD6,2))</f>
        <v/>
      </c>
      <c r="AF6" s="480" t="str">
        <f>IF($AG6&lt;&gt;"AJUSTE APLICADO","",ROUND($AE6-$AB6,2))</f>
        <v/>
      </c>
      <c r="AG6" s="477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NEGATIVO"),IF(NOT(ISNUMBER($AD6)),"REVISAR: CICLO FORA DA APURACAO OU SEM FATOR NOVO",IF(NOT(ISNUMBER($Y6)),"REVISAR: SEM EXECUCAO CALCULADA NO CICLO",IF(ROUND($AA6,2)&gt;ROUND($Y6,2),IF($Z6="Glosa","REVISAR: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ht="20" customHeight="1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215"/>
      <c r="X8" s="490" t="s">
        <v>739</v>
      </c>
      <c r="Y8" s="490"/>
      <c r="Z8" s="490"/>
      <c r="AA8" s="490"/>
      <c r="AB8" s="490"/>
      <c r="AC8" s="490"/>
      <c r="AD8" s="490"/>
      <c r="AE8" s="490"/>
      <c r="AF8" s="490"/>
      <c r="AG8" s="490"/>
    </row>
    <row r="9" spans="1:33" ht="33" customHeight="1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215"/>
      <c r="X9" s="489" t="s">
        <v>738</v>
      </c>
      <c r="Y9" s="489"/>
      <c r="Z9" s="489"/>
      <c r="AA9" s="489"/>
      <c r="AB9" s="489"/>
      <c r="AC9" s="489"/>
      <c r="AD9" s="489"/>
      <c r="AE9" s="489"/>
      <c r="AF9" s="489"/>
      <c r="AG9" s="489"/>
    </row>
    <row r="10" spans="1:33" ht="18.5" customHeight="1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215"/>
      <c r="X10" s="489" t="s">
        <v>557</v>
      </c>
      <c r="Y10" s="489"/>
      <c r="Z10" s="489"/>
      <c r="AA10" s="489"/>
      <c r="AB10" s="489"/>
      <c r="AC10" s="489"/>
      <c r="AD10" s="489"/>
      <c r="AE10" s="489"/>
      <c r="AF10" s="489"/>
      <c r="AG10" s="489"/>
    </row>
    <row r="11" spans="1:33" ht="33" customHeight="1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215"/>
      <c r="X11" s="489" t="s">
        <v>558</v>
      </c>
      <c r="Y11" s="489"/>
      <c r="Z11" s="489"/>
      <c r="AA11" s="489"/>
      <c r="AB11" s="489"/>
      <c r="AC11" s="489"/>
      <c r="AD11" s="489"/>
      <c r="AE11" s="489"/>
      <c r="AF11" s="489"/>
      <c r="AG11" s="489"/>
    </row>
    <row r="12" spans="1:33" ht="33" customHeight="1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215"/>
      <c r="X12" s="489" t="s">
        <v>559</v>
      </c>
      <c r="Y12" s="489"/>
      <c r="Z12" s="489"/>
      <c r="AA12" s="489"/>
      <c r="AB12" s="489"/>
      <c r="AC12" s="489"/>
      <c r="AD12" s="489"/>
      <c r="AE12" s="489"/>
      <c r="AF12" s="489"/>
      <c r="AG12" s="489"/>
    </row>
    <row r="13" spans="1:33" ht="18.5" customHeight="1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215"/>
      <c r="X13" s="489" t="s">
        <v>560</v>
      </c>
      <c r="Y13" s="489"/>
      <c r="Z13" s="489"/>
      <c r="AA13" s="489"/>
      <c r="AB13" s="489"/>
      <c r="AC13" s="489"/>
      <c r="AD13" s="489"/>
      <c r="AE13" s="489"/>
      <c r="AF13" s="489"/>
      <c r="AG13" s="489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mergeCells count="6">
    <mergeCell ref="X13:AG13"/>
    <mergeCell ref="X8:AG8"/>
    <mergeCell ref="X9:AG9"/>
    <mergeCell ref="X10:AG10"/>
    <mergeCell ref="X11:AG11"/>
    <mergeCell ref="X12:AG12"/>
  </mergeCells>
  <dataValidations count="1">
    <dataValidation type="list" allowBlank="1" showInputMessage="1" showErrorMessage="1" sqref="Z2:Z6" xr:uid="{192217E9-03EE-44AE-8A82-335C134A18CD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491" t="s">
        <v>469</v>
      </c>
      <c r="N1" s="492"/>
      <c r="O1" s="492"/>
      <c r="P1" s="492"/>
      <c r="Q1" s="492"/>
      <c r="R1" s="492"/>
      <c r="S1" s="492"/>
      <c r="T1" s="493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49" t="s">
        <v>32</v>
      </c>
      <c r="N2" s="349" t="s">
        <v>470</v>
      </c>
      <c r="O2" s="349" t="s">
        <v>471</v>
      </c>
      <c r="P2" s="349" t="s">
        <v>472</v>
      </c>
      <c r="Q2" s="349" t="s">
        <v>473</v>
      </c>
      <c r="R2" s="349" t="s">
        <v>525</v>
      </c>
      <c r="S2" s="367" t="s">
        <v>474</v>
      </c>
      <c r="T2" s="349" t="s">
        <v>475</v>
      </c>
      <c r="U2" s="351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3" t="s">
        <v>21</v>
      </c>
      <c r="N3" s="354">
        <f>COUNTIF($C$2:$C$5001,M3)</f>
        <v>0</v>
      </c>
      <c r="O3" s="355">
        <f>SUMIF($C$2:$C$5001,M3,$D$2:$D$5001)</f>
        <v>0</v>
      </c>
      <c r="P3" s="355">
        <f>SUMIF($C$2:$C$5001,M3,$F$2:$F$5001)</f>
        <v>0</v>
      </c>
      <c r="Q3" s="355">
        <f>SUMIF($C$2:$C$5001,M3,$H$2:$H$5001)</f>
        <v>0</v>
      </c>
      <c r="R3" s="355">
        <f>SUMIF($C$2:$C$5001,M3,$I$2:$I$5001)</f>
        <v>0</v>
      </c>
      <c r="S3" s="355">
        <f>SUMIF($C$2:$C$5001,M3,$J$2:$J$5001)</f>
        <v>0</v>
      </c>
      <c r="T3" s="354">
        <f>COUNTIFS($C$2:$C$5001,M3,$K$2:$K$5001,"&lt;&gt;OK",$K$2:$K$5001,"&lt;&gt;")</f>
        <v>0</v>
      </c>
      <c r="U3" s="352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3" t="s">
        <v>22</v>
      </c>
      <c r="N4" s="354">
        <f>COUNTIF($C$2:$C$5001,M4)</f>
        <v>0</v>
      </c>
      <c r="O4" s="355">
        <f>SUMIF($C$2:$C$5001,M4,$D$2:$D$5001)</f>
        <v>0</v>
      </c>
      <c r="P4" s="355">
        <f>SUMIF($C$2:$C$5001,M4,$F$2:$F$5001)</f>
        <v>0</v>
      </c>
      <c r="Q4" s="355">
        <f>SUMIF($C$2:$C$5001,M4,$H$2:$H$5001)</f>
        <v>0</v>
      </c>
      <c r="R4" s="355">
        <f>SUMIF($C$2:$C$5001,M4,$I$2:$I$5001)</f>
        <v>0</v>
      </c>
      <c r="S4" s="355">
        <f>SUMIF($C$2:$C$5001,M4,$J$2:$J$5001)</f>
        <v>0</v>
      </c>
      <c r="T4" s="354">
        <f>COUNTIFS($C$2:$C$5001,M4,$K$2:$K$5001,"&lt;&gt;OK",$K$2:$K$5001,"&lt;&gt;")</f>
        <v>0</v>
      </c>
      <c r="U4" s="352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3" t="s">
        <v>23</v>
      </c>
      <c r="N5" s="354">
        <f>COUNTIF($C$2:$C$5001,M5)</f>
        <v>0</v>
      </c>
      <c r="O5" s="355">
        <f>SUMIF($C$2:$C$5001,M5,$D$2:$D$5001)</f>
        <v>0</v>
      </c>
      <c r="P5" s="355">
        <f>SUMIF($C$2:$C$5001,M5,$F$2:$F$5001)</f>
        <v>0</v>
      </c>
      <c r="Q5" s="355">
        <f>SUMIF($C$2:$C$5001,M5,$H$2:$H$5001)</f>
        <v>0</v>
      </c>
      <c r="R5" s="355">
        <f>SUMIF($C$2:$C$5001,M5,$I$2:$I$5001)</f>
        <v>0</v>
      </c>
      <c r="S5" s="355">
        <f>SUMIF($C$2:$C$5001,M5,$J$2:$J$5001)</f>
        <v>0</v>
      </c>
      <c r="T5" s="354">
        <f>COUNTIFS($C$2:$C$5001,M5,$K$2:$K$5001,"&lt;&gt;OK",$K$2:$K$5001,"&lt;&gt;")</f>
        <v>0</v>
      </c>
      <c r="U5" s="352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3" t="s">
        <v>24</v>
      </c>
      <c r="N6" s="354">
        <f>COUNTIF($C$2:$C$5001,M6)</f>
        <v>0</v>
      </c>
      <c r="O6" s="355">
        <f>SUMIF($C$2:$C$5001,M6,$D$2:$D$5001)</f>
        <v>0</v>
      </c>
      <c r="P6" s="355">
        <f>SUMIF($C$2:$C$5001,M6,$F$2:$F$5001)</f>
        <v>0</v>
      </c>
      <c r="Q6" s="355">
        <f>SUMIF($C$2:$C$5001,M6,$H$2:$H$5001)</f>
        <v>0</v>
      </c>
      <c r="R6" s="355">
        <f>SUMIF($C$2:$C$5001,M6,$I$2:$I$5001)</f>
        <v>0</v>
      </c>
      <c r="S6" s="355">
        <f>SUMIF($C$2:$C$5001,M6,$J$2:$J$5001)</f>
        <v>0</v>
      </c>
      <c r="T6" s="354">
        <f>COUNTIFS($C$2:$C$5001,M6,$K$2:$K$5001,"&lt;&gt;OK",$K$2:$K$5001,"&lt;&gt;")</f>
        <v>0</v>
      </c>
      <c r="U6" s="352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3" t="s">
        <v>25</v>
      </c>
      <c r="N7" s="354">
        <f>COUNTIF($C$2:$C$5001,M7)</f>
        <v>0</v>
      </c>
      <c r="O7" s="355">
        <f>SUMIF($C$2:$C$5001,M7,$D$2:$D$5001)</f>
        <v>0</v>
      </c>
      <c r="P7" s="355">
        <f>SUMIF($C$2:$C$5001,M7,$F$2:$F$5001)</f>
        <v>0</v>
      </c>
      <c r="Q7" s="355">
        <f>SUMIF($C$2:$C$5001,M7,$H$2:$H$5001)</f>
        <v>0</v>
      </c>
      <c r="R7" s="355">
        <f>SUMIF($C$2:$C$5001,M7,$I$2:$I$5001)</f>
        <v>0</v>
      </c>
      <c r="S7" s="355">
        <f>SUMIF($C$2:$C$5001,M7,$J$2:$J$5001)</f>
        <v>0</v>
      </c>
      <c r="T7" s="354">
        <f>COUNTIFS($C$2:$C$5001,M7,$K$2:$K$5001,"&lt;&gt;OK",$K$2:$K$5001,"&lt;&gt;")</f>
        <v>0</v>
      </c>
      <c r="U7" s="352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6" t="s">
        <v>519</v>
      </c>
      <c r="N8" s="377">
        <f>COUNTIF($A$2:$A$5001,"&lt;&gt;")-SUM(N3:N7)</f>
        <v>0</v>
      </c>
      <c r="O8" s="378">
        <f>SUM($D$2:$D$5001)-SUM(O3:O7)</f>
        <v>0</v>
      </c>
      <c r="P8" s="378">
        <f>SUM($F$2:$F$5001)-SUM(P3:P7)</f>
        <v>0</v>
      </c>
      <c r="Q8" s="378">
        <f>SUM($H$2:$H$5001)-SUM(Q3:Q7)</f>
        <v>0</v>
      </c>
      <c r="R8" s="378">
        <f>SUM($I$2:$I$5001)-SUM(R3:R7)</f>
        <v>0</v>
      </c>
      <c r="S8" s="378">
        <f>SUM($J$2:$J$5001)-SUM(S3:S7)</f>
        <v>0</v>
      </c>
      <c r="T8" s="377">
        <f>COUNTIFS($A$2:$A$5001,"&lt;&gt;",$K$2:$K$5001,"&lt;&gt;OK",$K$2:$K$5001,"&lt;&gt;")-SUM(T3:T7)</f>
        <v>0</v>
      </c>
      <c r="U8" s="352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79" t="s">
        <v>26</v>
      </c>
      <c r="N9" s="380">
        <f t="shared" ref="N9:T9" si="5">SUM(N3:N8)</f>
        <v>0</v>
      </c>
      <c r="O9" s="381">
        <f t="shared" si="5"/>
        <v>0</v>
      </c>
      <c r="P9" s="381">
        <f t="shared" si="5"/>
        <v>0</v>
      </c>
      <c r="Q9" s="381">
        <f t="shared" si="5"/>
        <v>0</v>
      </c>
      <c r="R9" s="381">
        <f t="shared" si="5"/>
        <v>0</v>
      </c>
      <c r="S9" s="386">
        <f t="shared" si="5"/>
        <v>0</v>
      </c>
      <c r="T9" s="382">
        <f t="shared" si="5"/>
        <v>0</v>
      </c>
      <c r="U9" s="352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494" t="s">
        <v>476</v>
      </c>
      <c r="N10" s="492"/>
      <c r="O10" s="492"/>
      <c r="P10" s="492"/>
      <c r="Q10" s="492"/>
      <c r="R10" s="492"/>
      <c r="S10" s="492"/>
      <c r="T10" s="495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49" t="s">
        <v>291</v>
      </c>
      <c r="N11" s="349" t="s">
        <v>477</v>
      </c>
      <c r="O11" s="349" t="s">
        <v>517</v>
      </c>
      <c r="P11" s="349" t="s">
        <v>518</v>
      </c>
      <c r="Q11" s="349" t="s">
        <v>478</v>
      </c>
      <c r="R11" s="349" t="s">
        <v>526</v>
      </c>
      <c r="S11" s="367" t="s">
        <v>479</v>
      </c>
      <c r="T11" s="349" t="s">
        <v>480</v>
      </c>
      <c r="U11" s="352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6" t="s">
        <v>21</v>
      </c>
      <c r="N12" s="356">
        <f>IF(MEMORIA_RESULTADOS!$T$31="",COUNTIFS($C$2:$C$5001,$M12,$G$2:$G$5001,"Sim"),COUNTIFS($C$2:$C$5001,$M12,$G$2:$G$5001,"Sim",$B$2:$B$5001,"&lt;="&amp;MEMORIA_RESULTADOS!$T$31))</f>
        <v>0</v>
      </c>
      <c r="O12" s="357">
        <f>IF(MEMORIA_RESULTADOS!$T$31="",SUMIFS($D$2:$D$5001,$C$2:$C$5001,$M12,$G$2:$G$5001,"Sim"),SUMIFS($D$2:$D$5001,$C$2:$C$5001,$M12,$G$2:$G$5001,"Sim",$B$2:$B$5001,"&lt;="&amp;MEMORIA_RESULTADOS!$T$31))</f>
        <v>0</v>
      </c>
      <c r="P12" s="357">
        <f>IF(MEMORIA_RESULTADOS!$T$31="",SUMIFS($U$2:$U$5001,$C$2:$C$5001,$M12,$G$2:$G$5001,"Sim"),SUMIFS($U$2:$U$5001,$C$2:$C$5001,$M12,$G$2:$G$5001,"Sim",$B$2:$B$5001,"&lt;="&amp;MEMORIA_RESULTADOS!$T$31))</f>
        <v>0</v>
      </c>
      <c r="Q12" s="357">
        <f>IF(MEMORIA_RESULTADOS!$T$31="",SUMIFS($H$2:$H$5001,$C$2:$C$5001,$M12,$G$2:$G$5001,"Sim"),SUMIFS($H$2:$H$5001,$C$2:$C$5001,$M12,$G$2:$G$5001,"Sim",$B$2:$B$5001,"&lt;="&amp;MEMORIA_RESULTADOS!$T$31))</f>
        <v>0</v>
      </c>
      <c r="R12" s="357">
        <f>IF(MEMORIA_RESULTADOS!$T$31="",SUMIFS($I$2:$I$5001,$C$2:$C$5001,$M12),SUMIFS($I$2:$I$5001,$C$2:$C$5001,$M12,$B$2:$B$5001,"&lt;="&amp;MEMORIA_RESULTADOS!$T$31))</f>
        <v>0</v>
      </c>
      <c r="S12" s="357">
        <f>IF(MEMORIA_RESULTADOS!$T$31="",SUMIFS($J$2:$J$5001,$C$2:$C$5001,$M12),SUMIFS($J$2:$J$5001,$C$2:$C$5001,$M12,$B$2:$B$5001,"&lt;="&amp;MEMORIA_RESULTADOS!$T$31))</f>
        <v>0</v>
      </c>
      <c r="T12" s="357">
        <f>IF(MEMORIA_RESULTADOS!$T$31="",0,SUMIFS($D$2:$D$5001,$C$2:$C$5001,$M12,$B$2:$B$5001,"&gt;"&amp;MEMORIA_RESULTADOS!$T$31))</f>
        <v>0</v>
      </c>
      <c r="U12" s="352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6" t="s">
        <v>22</v>
      </c>
      <c r="N13" s="356">
        <f>IF(MEMORIA_RESULTADOS!$T$31="",COUNTIFS($C$2:$C$5001,$M13,$G$2:$G$5001,"Sim"),COUNTIFS($C$2:$C$5001,$M13,$G$2:$G$5001,"Sim",$B$2:$B$5001,"&lt;="&amp;MEMORIA_RESULTADOS!$T$31))</f>
        <v>0</v>
      </c>
      <c r="O13" s="357">
        <f>IF(MEMORIA_RESULTADOS!$T$31="",SUMIFS($D$2:$D$5001,$C$2:$C$5001,$M13,$G$2:$G$5001,"Sim"),SUMIFS($D$2:$D$5001,$C$2:$C$5001,$M13,$G$2:$G$5001,"Sim",$B$2:$B$5001,"&lt;="&amp;MEMORIA_RESULTADOS!$T$31))</f>
        <v>0</v>
      </c>
      <c r="P13" s="357">
        <f>IF(MEMORIA_RESULTADOS!$T$31="",SUMIFS($U$2:$U$5001,$C$2:$C$5001,$M13,$G$2:$G$5001,"Sim"),SUMIFS($U$2:$U$5001,$C$2:$C$5001,$M13,$G$2:$G$5001,"Sim",$B$2:$B$5001,"&lt;="&amp;MEMORIA_RESULTADOS!$T$31))</f>
        <v>0</v>
      </c>
      <c r="Q13" s="357">
        <f>IF(MEMORIA_RESULTADOS!$T$31="",SUMIFS($H$2:$H$5001,$C$2:$C$5001,$M13,$G$2:$G$5001,"Sim"),SUMIFS($H$2:$H$5001,$C$2:$C$5001,$M13,$G$2:$G$5001,"Sim",$B$2:$B$5001,"&lt;="&amp;MEMORIA_RESULTADOS!$T$31))</f>
        <v>0</v>
      </c>
      <c r="R13" s="357">
        <f>IF(MEMORIA_RESULTADOS!$T$31="",SUMIFS($I$2:$I$5001,$C$2:$C$5001,$M13),SUMIFS($I$2:$I$5001,$C$2:$C$5001,$M13,$B$2:$B$5001,"&lt;="&amp;MEMORIA_RESULTADOS!$T$31))</f>
        <v>0</v>
      </c>
      <c r="S13" s="357">
        <f>IF(MEMORIA_RESULTADOS!$T$31="",SUMIFS($J$2:$J$5001,$C$2:$C$5001,$M13),SUMIFS($J$2:$J$5001,$C$2:$C$5001,$M13,$B$2:$B$5001,"&lt;="&amp;MEMORIA_RESULTADOS!$T$31))</f>
        <v>0</v>
      </c>
      <c r="T13" s="357">
        <f>IF(MEMORIA_RESULTADOS!$T$31="",0,SUMIFS($D$2:$D$5001,$C$2:$C$5001,$M13,$B$2:$B$5001,"&gt;"&amp;MEMORIA_RESULTADOS!$T$31))</f>
        <v>0</v>
      </c>
      <c r="U13" s="352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6" t="s">
        <v>23</v>
      </c>
      <c r="N14" s="356">
        <f>IF(MEMORIA_RESULTADOS!$T$31="",COUNTIFS($C$2:$C$5001,$M14,$G$2:$G$5001,"Sim"),COUNTIFS($C$2:$C$5001,$M14,$G$2:$G$5001,"Sim",$B$2:$B$5001,"&lt;="&amp;MEMORIA_RESULTADOS!$T$31))</f>
        <v>0</v>
      </c>
      <c r="O14" s="357">
        <f>IF(MEMORIA_RESULTADOS!$T$31="",SUMIFS($D$2:$D$5001,$C$2:$C$5001,$M14,$G$2:$G$5001,"Sim"),SUMIFS($D$2:$D$5001,$C$2:$C$5001,$M14,$G$2:$G$5001,"Sim",$B$2:$B$5001,"&lt;="&amp;MEMORIA_RESULTADOS!$T$31))</f>
        <v>0</v>
      </c>
      <c r="P14" s="357">
        <f>IF(MEMORIA_RESULTADOS!$T$31="",SUMIFS($U$2:$U$5001,$C$2:$C$5001,$M14,$G$2:$G$5001,"Sim"),SUMIFS($U$2:$U$5001,$C$2:$C$5001,$M14,$G$2:$G$5001,"Sim",$B$2:$B$5001,"&lt;="&amp;MEMORIA_RESULTADOS!$T$31))</f>
        <v>0</v>
      </c>
      <c r="Q14" s="357">
        <f>IF(MEMORIA_RESULTADOS!$T$31="",SUMIFS($H$2:$H$5001,$C$2:$C$5001,$M14,$G$2:$G$5001,"Sim"),SUMIFS($H$2:$H$5001,$C$2:$C$5001,$M14,$G$2:$G$5001,"Sim",$B$2:$B$5001,"&lt;="&amp;MEMORIA_RESULTADOS!$T$31))</f>
        <v>0</v>
      </c>
      <c r="R14" s="357">
        <f>IF(MEMORIA_RESULTADOS!$T$31="",SUMIFS($I$2:$I$5001,$C$2:$C$5001,$M14),SUMIFS($I$2:$I$5001,$C$2:$C$5001,$M14,$B$2:$B$5001,"&lt;="&amp;MEMORIA_RESULTADOS!$T$31))</f>
        <v>0</v>
      </c>
      <c r="S14" s="357">
        <f>IF(MEMORIA_RESULTADOS!$T$31="",SUMIFS($J$2:$J$5001,$C$2:$C$5001,$M14),SUMIFS($J$2:$J$5001,$C$2:$C$5001,$M14,$B$2:$B$5001,"&lt;="&amp;MEMORIA_RESULTADOS!$T$31))</f>
        <v>0</v>
      </c>
      <c r="T14" s="357">
        <f>IF(MEMORIA_RESULTADOS!$T$31="",0,SUMIFS($D$2:$D$5001,$C$2:$C$5001,$M14,$B$2:$B$5001,"&gt;"&amp;MEMORIA_RESULTADOS!$T$31))</f>
        <v>0</v>
      </c>
      <c r="U14" s="352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6" t="s">
        <v>24</v>
      </c>
      <c r="N15" s="356">
        <f>IF(MEMORIA_RESULTADOS!$T$31="",COUNTIFS($C$2:$C$5001,$M15,$G$2:$G$5001,"Sim"),COUNTIFS($C$2:$C$5001,$M15,$G$2:$G$5001,"Sim",$B$2:$B$5001,"&lt;="&amp;MEMORIA_RESULTADOS!$T$31))</f>
        <v>0</v>
      </c>
      <c r="O15" s="357">
        <f>IF(MEMORIA_RESULTADOS!$T$31="",SUMIFS($D$2:$D$5001,$C$2:$C$5001,$M15,$G$2:$G$5001,"Sim"),SUMIFS($D$2:$D$5001,$C$2:$C$5001,$M15,$G$2:$G$5001,"Sim",$B$2:$B$5001,"&lt;="&amp;MEMORIA_RESULTADOS!$T$31))</f>
        <v>0</v>
      </c>
      <c r="P15" s="357">
        <f>IF(MEMORIA_RESULTADOS!$T$31="",SUMIFS($U$2:$U$5001,$C$2:$C$5001,$M15,$G$2:$G$5001,"Sim"),SUMIFS($U$2:$U$5001,$C$2:$C$5001,$M15,$G$2:$G$5001,"Sim",$B$2:$B$5001,"&lt;="&amp;MEMORIA_RESULTADOS!$T$31))</f>
        <v>0</v>
      </c>
      <c r="Q15" s="357">
        <f>IF(MEMORIA_RESULTADOS!$T$31="",SUMIFS($H$2:$H$5001,$C$2:$C$5001,$M15,$G$2:$G$5001,"Sim"),SUMIFS($H$2:$H$5001,$C$2:$C$5001,$M15,$G$2:$G$5001,"Sim",$B$2:$B$5001,"&lt;="&amp;MEMORIA_RESULTADOS!$T$31))</f>
        <v>0</v>
      </c>
      <c r="R15" s="357">
        <f>IF(MEMORIA_RESULTADOS!$T$31="",SUMIFS($I$2:$I$5001,$C$2:$C$5001,$M15),SUMIFS($I$2:$I$5001,$C$2:$C$5001,$M15,$B$2:$B$5001,"&lt;="&amp;MEMORIA_RESULTADOS!$T$31))</f>
        <v>0</v>
      </c>
      <c r="S15" s="357">
        <f>IF(MEMORIA_RESULTADOS!$T$31="",SUMIFS($J$2:$J$5001,$C$2:$C$5001,$M15),SUMIFS($J$2:$J$5001,$C$2:$C$5001,$M15,$B$2:$B$5001,"&lt;="&amp;MEMORIA_RESULTADOS!$T$31))</f>
        <v>0</v>
      </c>
      <c r="T15" s="357">
        <f>IF(MEMORIA_RESULTADOS!$T$31="",0,SUMIFS($D$2:$D$5001,$C$2:$C$5001,$M15,$B$2:$B$5001,"&gt;"&amp;MEMORIA_RESULTADOS!$T$31))</f>
        <v>0</v>
      </c>
      <c r="U15" s="352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6" t="s">
        <v>25</v>
      </c>
      <c r="N16" s="356">
        <f>IF(MEMORIA_RESULTADOS!$T$31="",COUNTIFS($C$2:$C$5001,$M16,$G$2:$G$5001,"Sim"),COUNTIFS($C$2:$C$5001,$M16,$G$2:$G$5001,"Sim",$B$2:$B$5001,"&lt;="&amp;MEMORIA_RESULTADOS!$T$31))</f>
        <v>0</v>
      </c>
      <c r="O16" s="357">
        <f>IF(MEMORIA_RESULTADOS!$T$31="",SUMIFS($D$2:$D$5001,$C$2:$C$5001,$M16,$G$2:$G$5001,"Sim"),SUMIFS($D$2:$D$5001,$C$2:$C$5001,$M16,$G$2:$G$5001,"Sim",$B$2:$B$5001,"&lt;="&amp;MEMORIA_RESULTADOS!$T$31))</f>
        <v>0</v>
      </c>
      <c r="P16" s="357">
        <f>IF(MEMORIA_RESULTADOS!$T$31="",SUMIFS($U$2:$U$5001,$C$2:$C$5001,$M16,$G$2:$G$5001,"Sim"),SUMIFS($U$2:$U$5001,$C$2:$C$5001,$M16,$G$2:$G$5001,"Sim",$B$2:$B$5001,"&lt;="&amp;MEMORIA_RESULTADOS!$T$31))</f>
        <v>0</v>
      </c>
      <c r="Q16" s="357">
        <f>IF(MEMORIA_RESULTADOS!$T$31="",SUMIFS($H$2:$H$5001,$C$2:$C$5001,$M16,$G$2:$G$5001,"Sim"),SUMIFS($H$2:$H$5001,$C$2:$C$5001,$M16,$G$2:$G$5001,"Sim",$B$2:$B$5001,"&lt;="&amp;MEMORIA_RESULTADOS!$T$31))</f>
        <v>0</v>
      </c>
      <c r="R16" s="357">
        <f>IF(MEMORIA_RESULTADOS!$T$31="",SUMIFS($I$2:$I$5001,$C$2:$C$5001,$M16),SUMIFS($I$2:$I$5001,$C$2:$C$5001,$M16,$B$2:$B$5001,"&lt;="&amp;MEMORIA_RESULTADOS!$T$31))</f>
        <v>0</v>
      </c>
      <c r="S16" s="357">
        <f>IF(MEMORIA_RESULTADOS!$T$31="",SUMIFS($J$2:$J$5001,$C$2:$C$5001,$M16),SUMIFS($J$2:$J$5001,$C$2:$C$5001,$M16,$B$2:$B$5001,"&lt;="&amp;MEMORIA_RESULTADOS!$T$31))</f>
        <v>0</v>
      </c>
      <c r="T16" s="357">
        <f>IF(MEMORIA_RESULTADOS!$T$31="",0,SUMIFS($D$2:$D$5001,$C$2:$C$5001,$M16,$B$2:$B$5001,"&gt;"&amp;MEMORIA_RESULTADOS!$T$31))</f>
        <v>0</v>
      </c>
      <c r="U16" s="352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3" t="s">
        <v>519</v>
      </c>
      <c r="N17" s="368">
        <f>IF(MEMORIA_RESULTADOS!$T$31="",COUNTIF($G$2:$G$5001,"Sim")-SUM(N12:N16),COUNTIFS($G$2:$G$5001,"Sim",$B$2:$B$5001,"&lt;="&amp;MEMORIA_RESULTADOS!$T$31)-SUM(N12:N16))</f>
        <v>0</v>
      </c>
      <c r="O17" s="369">
        <f>IF(MEMORIA_RESULTADOS!$T$31="",SUMIFS($D$2:$D$5001,$G$2:$G$5001,"Sim")-SUM(O12:O16),SUMIFS($D$2:$D$5001,$G$2:$G$5001,"Sim",$B$2:$B$5001,"&lt;="&amp;MEMORIA_RESULTADOS!$T$31)-SUM(O12:O16))</f>
        <v>0</v>
      </c>
      <c r="P17" s="369">
        <f>IF(MEMORIA_RESULTADOS!$T$31="",SUMIFS($U$2:$U$5001,$G$2:$G$5001,"Sim")-SUM(P12:P16),SUMIFS($U$2:$U$5001,$G$2:$G$5001,"Sim",$B$2:$B$5001,"&lt;="&amp;MEMORIA_RESULTADOS!$T$31)-SUM(P12:P16))</f>
        <v>0</v>
      </c>
      <c r="Q17" s="369">
        <f>IF(MEMORIA_RESULTADOS!$T$31="",SUMIFS($H$2:$H$5001,$G$2:$G$5001,"Sim")-SUM(Q12:Q16),SUMIFS($H$2:$H$5001,$G$2:$G$5001,"Sim",$B$2:$B$5001,"&lt;="&amp;MEMORIA_RESULTADOS!$T$31)-SUM(Q12:Q16))</f>
        <v>0</v>
      </c>
      <c r="R17" s="369">
        <f>IF(MEMORIA_RESULTADOS!$T$31="",SUM($I$2:$I$5001)-SUM(R12:R16),SUMIFS($I$2:$I$5001,$B$2:$B$5001,"&lt;="&amp;MEMORIA_RESULTADOS!$T$31)-SUM(R12:R16))</f>
        <v>0</v>
      </c>
      <c r="S17" s="369">
        <f>IF(MEMORIA_RESULTADOS!$T$31="",SUM($J$2:$J$5001)-SUM(S12:S16),SUMIFS($J$2:$J$5001,$B$2:$B$5001,"&lt;="&amp;MEMORIA_RESULTADOS!$T$31)-SUM(S12:S16))</f>
        <v>0</v>
      </c>
      <c r="T17" s="369">
        <f>IF(MEMORIA_RESULTADOS!$T$31="",0,SUMIFS($D$2:$D$5001,$B$2:$B$5001,"&gt;"&amp;MEMORIA_RESULTADOS!$T$31)-SUM(T12:T16))</f>
        <v>0</v>
      </c>
      <c r="U17" s="352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4" t="s">
        <v>26</v>
      </c>
      <c r="N18" s="384">
        <f t="shared" ref="N18:T18" si="6">SUM(N12:N17)</f>
        <v>0</v>
      </c>
      <c r="O18" s="385">
        <f t="shared" si="6"/>
        <v>0</v>
      </c>
      <c r="P18" s="385">
        <f t="shared" si="6"/>
        <v>0</v>
      </c>
      <c r="Q18" s="385">
        <f t="shared" si="6"/>
        <v>0</v>
      </c>
      <c r="R18" s="385">
        <f t="shared" si="6"/>
        <v>0</v>
      </c>
      <c r="S18" s="387">
        <f t="shared" si="6"/>
        <v>0</v>
      </c>
      <c r="T18" s="385">
        <f t="shared" si="6"/>
        <v>0</v>
      </c>
      <c r="U18" s="352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502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502"/>
      <c r="O19" s="502"/>
      <c r="P19" s="502"/>
      <c r="Q19" s="502"/>
      <c r="R19" s="502"/>
      <c r="S19" s="503">
        <f>ROUND(N($Q$18)+N(MEMORIA_RESULTADOS!$T$39),2)</f>
        <v>0</v>
      </c>
      <c r="T19" s="503"/>
      <c r="U19" s="352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496" t="s">
        <v>481</v>
      </c>
      <c r="N20" s="497"/>
      <c r="O20" s="497"/>
      <c r="P20" s="497"/>
      <c r="Q20" s="497"/>
      <c r="R20" s="497"/>
      <c r="S20" s="497"/>
      <c r="T20" s="498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99" t="s">
        <v>482</v>
      </c>
      <c r="N21" s="500"/>
      <c r="O21" s="500"/>
      <c r="P21" s="500"/>
      <c r="Q21" s="500"/>
      <c r="R21" s="500"/>
      <c r="S21" s="500"/>
      <c r="T21" s="501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99" t="s">
        <v>520</v>
      </c>
      <c r="N22" s="500"/>
      <c r="O22" s="500"/>
      <c r="P22" s="500"/>
      <c r="Q22" s="500"/>
      <c r="R22" s="500"/>
      <c r="S22" s="500"/>
      <c r="T22" s="501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99" t="s">
        <v>483</v>
      </c>
      <c r="N23" s="500"/>
      <c r="O23" s="500"/>
      <c r="P23" s="500"/>
      <c r="Q23" s="500"/>
      <c r="R23" s="500"/>
      <c r="S23" s="500"/>
      <c r="T23" s="501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99" t="s">
        <v>484</v>
      </c>
      <c r="N24" s="500"/>
      <c r="O24" s="500"/>
      <c r="P24" s="500"/>
      <c r="Q24" s="500"/>
      <c r="R24" s="500"/>
      <c r="S24" s="500"/>
      <c r="T24" s="501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99" t="s">
        <v>485</v>
      </c>
      <c r="N25" s="500"/>
      <c r="O25" s="500"/>
      <c r="P25" s="500"/>
      <c r="Q25" s="500"/>
      <c r="R25" s="500"/>
      <c r="S25" s="500"/>
      <c r="T25" s="501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99" t="s">
        <v>486</v>
      </c>
      <c r="N26" s="500"/>
      <c r="O26" s="500"/>
      <c r="P26" s="500"/>
      <c r="Q26" s="500"/>
      <c r="R26" s="500"/>
      <c r="S26" s="500"/>
      <c r="T26" s="501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99" t="s">
        <v>521</v>
      </c>
      <c r="N27" s="500"/>
      <c r="O27" s="500"/>
      <c r="P27" s="500"/>
      <c r="Q27" s="500"/>
      <c r="R27" s="500"/>
      <c r="S27" s="500"/>
      <c r="T27" s="501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99" t="s">
        <v>522</v>
      </c>
      <c r="N28" s="500"/>
      <c r="O28" s="500"/>
      <c r="P28" s="500"/>
      <c r="Q28" s="500"/>
      <c r="R28" s="500"/>
      <c r="S28" s="500"/>
      <c r="T28" s="501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99" t="s">
        <v>487</v>
      </c>
      <c r="N29" s="500"/>
      <c r="O29" s="500"/>
      <c r="P29" s="500"/>
      <c r="Q29" s="500"/>
      <c r="R29" s="500"/>
      <c r="S29" s="500"/>
      <c r="T29" s="501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87" priority="1" stopIfTrue="1">
      <formula>AND(OR($A2&lt;&gt;"",$B2&lt;&gt;"",$D2&lt;&gt;"",$G2&lt;&gt;""),$L2="")</formula>
    </cfRule>
    <cfRule type="expression" dxfId="86" priority="2">
      <formula>$L2="Nao"</formula>
    </cfRule>
  </conditionalFormatting>
  <conditionalFormatting sqref="S3:S9">
    <cfRule type="expression" dxfId="85" priority="3" stopIfTrue="1">
      <formula>N($S3)&lt;&gt;0</formula>
    </cfRule>
  </conditionalFormatting>
  <conditionalFormatting sqref="S12:S18">
    <cfRule type="expression" dxfId="84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468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83" priority="7">
      <formula>OR(LEFT(UPPER($D2),6)="SUPRES",LEFT(UPPER($D2),4)="DECR")</formula>
    </cfRule>
    <cfRule type="expression" dxfId="82" priority="7">
      <formula>OR(LEFT(UPPER($D2),6)="SUPRES",LEFT(UPPER($D2),4)="DECR")</formula>
    </cfRule>
  </conditionalFormatting>
  <conditionalFormatting sqref="C2:C200">
    <cfRule type="expression" dxfId="81" priority="15">
      <formula>UPPER($C2)="C0"</formula>
    </cfRule>
    <cfRule type="expression" dxfId="80" priority="15">
      <formula>UPPER($C2)="C1"</formula>
    </cfRule>
    <cfRule type="expression" dxfId="79" priority="15">
      <formula>UPPER($C2)="C2"</formula>
    </cfRule>
    <cfRule type="expression" dxfId="78" priority="15">
      <formula>UPPER($C2)="C3"</formula>
    </cfRule>
    <cfRule type="expression" dxfId="77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76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506" t="s">
        <v>198</v>
      </c>
      <c r="B1" s="506" t="s">
        <v>199</v>
      </c>
      <c r="C1" s="507"/>
      <c r="D1" s="507"/>
      <c r="E1" s="507"/>
      <c r="F1" s="507"/>
      <c r="G1" s="507"/>
      <c r="H1" s="507"/>
      <c r="I1" s="507"/>
      <c r="J1" s="507"/>
      <c r="K1" s="507"/>
      <c r="L1" s="507"/>
      <c r="M1" s="507"/>
      <c r="N1" s="507"/>
      <c r="O1" s="507"/>
      <c r="P1" s="508"/>
      <c r="Q1" s="504" t="s">
        <v>200</v>
      </c>
      <c r="R1" s="505"/>
      <c r="S1" s="505"/>
      <c r="T1" s="505"/>
      <c r="U1" s="505"/>
      <c r="V1" s="505"/>
      <c r="W1" s="505"/>
      <c r="X1" s="505"/>
      <c r="Y1" s="505"/>
      <c r="Z1" s="509" t="s">
        <v>201</v>
      </c>
      <c r="AA1" s="505"/>
      <c r="AB1" s="505"/>
      <c r="AC1" s="505"/>
      <c r="AE1" s="510" t="s">
        <v>202</v>
      </c>
    </row>
    <row r="2" spans="1:31" ht="43.5" customHeight="1" x14ac:dyDescent="0.35">
      <c r="A2" s="511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505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7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7">
        <f ca="1">IF(CONTROLE!$B$14="","",CONTROLE!$B$14)</f>
        <v>46300.605046875004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4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8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4" t="s">
        <v>257</v>
      </c>
    </row>
    <row r="15" spans="1:3" x14ac:dyDescent="0.35">
      <c r="A15" s="6" t="s">
        <v>258</v>
      </c>
      <c r="B15" s="308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4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0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512" t="s">
        <v>268</v>
      </c>
      <c r="B25" s="513"/>
      <c r="C25" s="514"/>
    </row>
    <row r="26" spans="1:3" x14ac:dyDescent="0.35">
      <c r="A26" s="310" t="s">
        <v>269</v>
      </c>
      <c r="B26" s="519" t="s">
        <v>270</v>
      </c>
      <c r="C26" s="520"/>
    </row>
    <row r="27" spans="1:3" x14ac:dyDescent="0.35">
      <c r="A27" s="311" t="s">
        <v>271</v>
      </c>
      <c r="B27" s="521" t="s">
        <v>272</v>
      </c>
      <c r="C27" s="518"/>
    </row>
    <row r="28" spans="1:3" x14ac:dyDescent="0.35">
      <c r="A28" s="312" t="s">
        <v>273</v>
      </c>
      <c r="B28" s="517" t="s">
        <v>274</v>
      </c>
      <c r="C28" s="518"/>
    </row>
    <row r="29" spans="1:3" x14ac:dyDescent="0.35">
      <c r="A29" s="313" t="s">
        <v>275</v>
      </c>
      <c r="B29" s="515" t="s">
        <v>276</v>
      </c>
      <c r="C29" s="51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G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3" ht="28" customHeight="1" x14ac:dyDescent="0.35">
      <c r="A1" s="522" t="s">
        <v>277</v>
      </c>
      <c r="B1" s="505"/>
      <c r="C1" s="505"/>
      <c r="D1" s="505"/>
      <c r="E1" s="505"/>
      <c r="F1" s="505"/>
      <c r="G1" s="505"/>
      <c r="H1" s="505"/>
      <c r="I1" s="505"/>
      <c r="J1" s="505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  <c r="AF1" t="s">
        <v>623</v>
      </c>
    </row>
    <row r="2" spans="1:33" ht="34" customHeight="1" x14ac:dyDescent="0.35">
      <c r="A2" s="529" t="s">
        <v>281</v>
      </c>
      <c r="B2" s="505"/>
      <c r="C2" s="505"/>
      <c r="D2" s="505"/>
      <c r="E2" s="505"/>
      <c r="F2" s="505"/>
      <c r="G2" s="505"/>
      <c r="H2" s="505"/>
      <c r="I2" s="505"/>
      <c r="J2" s="505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  <c r="AF2" t="s">
        <v>624</v>
      </c>
      <c r="AG2" s="390" t="s">
        <v>625</v>
      </c>
    </row>
    <row r="3" spans="1:33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  <c r="AF3" t="s">
        <v>626</v>
      </c>
      <c r="AG3" s="390" t="s">
        <v>627</v>
      </c>
    </row>
    <row r="4" spans="1:33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  <c r="AF4" t="s">
        <v>628</v>
      </c>
      <c r="AG4" s="390" t="s">
        <v>629</v>
      </c>
    </row>
    <row r="5" spans="1:33" ht="24" customHeight="1" x14ac:dyDescent="0.35">
      <c r="A5" s="117" t="s">
        <v>287</v>
      </c>
      <c r="B5" s="60" t="str">
        <f>IF(AND(RESULTADOS_DETALHE!$G$43="Sim",RESULTADOS_DETALHE!$C$43&lt;&gt;""),RESULTADOS_DETALHE!$C$43,"")</f>
        <v/>
      </c>
      <c r="C5" s="117" t="s">
        <v>288</v>
      </c>
      <c r="D5" s="530" t="str">
        <f>IF(AND(RESULTADOS_DETALHE!$G$43="Sim",RESULTADOS_DETALHE!$D$43&lt;&gt;""),RESULTADOS_DETALHE!$D$43,"")</f>
        <v/>
      </c>
      <c r="E5" s="531"/>
      <c r="F5" s="531"/>
      <c r="G5" s="531"/>
      <c r="H5" s="531"/>
      <c r="I5" s="531"/>
      <c r="J5" s="532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  <c r="AF5" t="s">
        <v>630</v>
      </c>
      <c r="AG5" s="390" t="s">
        <v>631</v>
      </c>
    </row>
    <row r="6" spans="1:33" ht="34" customHeight="1" x14ac:dyDescent="0.35">
      <c r="A6" s="527" t="s">
        <v>289</v>
      </c>
      <c r="B6" s="505"/>
      <c r="C6" s="505"/>
      <c r="D6" s="505"/>
      <c r="E6" s="505"/>
      <c r="F6" s="505"/>
      <c r="G6" s="505"/>
      <c r="H6" s="505"/>
      <c r="I6" s="505"/>
      <c r="J6" s="505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  <c r="AF6" t="s">
        <v>632</v>
      </c>
      <c r="AG6" s="390" t="s">
        <v>633</v>
      </c>
    </row>
    <row r="7" spans="1:33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  <c r="AF7" t="s">
        <v>634</v>
      </c>
      <c r="AG7" s="390" t="s">
        <v>635</v>
      </c>
    </row>
    <row r="8" spans="1:33" ht="24" customHeight="1" x14ac:dyDescent="0.35">
      <c r="A8" s="526" t="s">
        <v>290</v>
      </c>
      <c r="B8" s="505"/>
      <c r="C8" s="505"/>
      <c r="D8" s="505"/>
      <c r="E8" s="505"/>
      <c r="F8" s="505"/>
      <c r="G8" s="505"/>
      <c r="H8" s="505"/>
      <c r="I8" s="505"/>
      <c r="J8" s="505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  <c r="AF8" t="s">
        <v>636</v>
      </c>
      <c r="AG8" s="390" t="s">
        <v>637</v>
      </c>
    </row>
    <row r="9" spans="1:33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  <c r="AF9" t="s">
        <v>638</v>
      </c>
      <c r="AG9" s="390" t="s">
        <v>639</v>
      </c>
    </row>
    <row r="10" spans="1:33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  <c r="AF10" t="s">
        <v>640</v>
      </c>
      <c r="AG10" s="390" t="s">
        <v>641</v>
      </c>
    </row>
    <row r="11" spans="1:33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D12-1)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  <c r="AF11" t="s">
        <v>642</v>
      </c>
      <c r="AG11" s="390" t="s">
        <v>643</v>
      </c>
    </row>
    <row r="12" spans="1:33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D13-1)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  <c r="AF12" t="s">
        <v>644</v>
      </c>
      <c r="AG12" s="390" t="s">
        <v>500</v>
      </c>
    </row>
    <row r="13" spans="1:33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D14-1)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  <c r="AF13" t="s">
        <v>645</v>
      </c>
      <c r="AG13" s="390" t="s">
        <v>646</v>
      </c>
    </row>
    <row r="14" spans="1:33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D15-1)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  <c r="AF14" t="s">
        <v>647</v>
      </c>
      <c r="AG14" s="390" t="s">
        <v>648</v>
      </c>
    </row>
    <row r="15" spans="1:33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  <c r="AF15" t="s">
        <v>649</v>
      </c>
      <c r="AG15" s="390" t="s">
        <v>650</v>
      </c>
    </row>
    <row r="16" spans="1:33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  <c r="AF16" t="s">
        <v>140</v>
      </c>
      <c r="AG16" s="390" t="s">
        <v>651</v>
      </c>
    </row>
    <row r="17" spans="1:33" ht="24" customHeight="1" x14ac:dyDescent="0.35">
      <c r="A17" s="528" t="s">
        <v>300</v>
      </c>
      <c r="B17" s="505"/>
      <c r="C17" s="505"/>
      <c r="D17" s="505"/>
      <c r="E17" s="505"/>
      <c r="F17" s="505"/>
      <c r="G17" s="505"/>
      <c r="H17" s="505"/>
      <c r="I17" s="505"/>
      <c r="J17" s="505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  <c r="AF17" t="s">
        <v>652</v>
      </c>
      <c r="AG17" s="390" t="s">
        <v>653</v>
      </c>
    </row>
    <row r="18" spans="1:33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  <c r="AF18" t="s">
        <v>654</v>
      </c>
      <c r="AG18" s="390" t="s">
        <v>655</v>
      </c>
    </row>
    <row r="19" spans="1:33" ht="24" customHeight="1" x14ac:dyDescent="0.35">
      <c r="A19" s="526" t="s">
        <v>301</v>
      </c>
      <c r="B19" s="505"/>
      <c r="C19" s="505"/>
      <c r="D19" s="505"/>
      <c r="E19" s="505"/>
      <c r="F19" s="505"/>
      <c r="G19" s="505"/>
      <c r="H19" s="505"/>
      <c r="I19" s="505"/>
      <c r="J19" s="505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  <c r="AF19" t="s">
        <v>656</v>
      </c>
      <c r="AG19" s="390" t="s">
        <v>657</v>
      </c>
    </row>
    <row r="20" spans="1:33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461</v>
      </c>
      <c r="D20" s="58" t="str">
        <f>IF(COUNTIF(financeiro!$C$2:$C$73,"&lt;&gt;")=0,"",ROUND(SUM(financeiro!$C$2:$C$73),2))</f>
        <v/>
      </c>
      <c r="E20" s="58" t="s">
        <v>464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  <c r="AF20" t="s">
        <v>658</v>
      </c>
      <c r="AG20" s="390" t="s">
        <v>659</v>
      </c>
    </row>
    <row r="21" spans="1:33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  <c r="AF21" t="s">
        <v>660</v>
      </c>
      <c r="AG21" s="390" t="s">
        <v>445</v>
      </c>
    </row>
    <row r="22" spans="1:33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  <c r="AF22" t="s">
        <v>661</v>
      </c>
      <c r="AG22" s="390" t="s">
        <v>427</v>
      </c>
    </row>
    <row r="23" spans="1:33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  <c r="AF23" t="s">
        <v>662</v>
      </c>
      <c r="AG23" s="390" t="s">
        <v>663</v>
      </c>
    </row>
    <row r="24" spans="1:33" x14ac:dyDescent="0.35">
      <c r="A24" s="117" t="s">
        <v>311</v>
      </c>
      <c r="B24" s="60" t="str">
        <f>IF(AND(RESULTADOS_DETALHE!$G$44="Sim",RESULTADOS_DETALHE!$C$44&lt;&gt;""),RESULTADOS_DETALHE!$C$44,"")</f>
        <v/>
      </c>
      <c r="C24" s="117" t="s">
        <v>312</v>
      </c>
      <c r="D24" s="530" t="str">
        <f>IF(AND(RESULTADOS_DETALHE!$G$44="Sim",RESULTADOS_DETALHE!$D$44&lt;&gt;""),RESULTADOS_DETALHE!$D$44,"")</f>
        <v/>
      </c>
      <c r="E24" s="531"/>
      <c r="F24" s="531"/>
      <c r="G24" s="531"/>
      <c r="H24" s="531"/>
      <c r="I24" s="531"/>
      <c r="J24" s="532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  <c r="AF24" t="s">
        <v>664</v>
      </c>
      <c r="AG24" s="390" t="s">
        <v>665</v>
      </c>
    </row>
    <row r="25" spans="1:33" ht="26" customHeight="1" x14ac:dyDescent="0.35">
      <c r="A25" s="117" t="s">
        <v>314</v>
      </c>
      <c r="B25" s="60" t="str">
        <f>IF(AND(RESULTADOS_DETALHE!$G$45="Sim",RESULTADOS_DETALHE!$C$45&lt;&gt;""),RESULTADOS_DETALHE!$C$45,"")</f>
        <v/>
      </c>
      <c r="C25" s="117" t="s">
        <v>315</v>
      </c>
      <c r="D25" s="530" t="str">
        <f>IF(AND(RESULTADOS_DETALHE!$G$45="Sim",RESULTADOS_DETALHE!$D$45&lt;&gt;""),RESULTADOS_DETALHE!$D$45,"")</f>
        <v/>
      </c>
      <c r="E25" s="531"/>
      <c r="F25" s="531"/>
      <c r="G25" s="531"/>
      <c r="H25" s="531"/>
      <c r="I25" s="531"/>
      <c r="J25" s="532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  <c r="AF25" t="s">
        <v>666</v>
      </c>
      <c r="AG25" s="390" t="s">
        <v>667</v>
      </c>
    </row>
    <row r="26" spans="1:33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535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531"/>
      <c r="G26" s="531"/>
      <c r="H26" s="531"/>
      <c r="I26" s="531"/>
      <c r="J26" s="532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  <c r="AF26" t="s">
        <v>668</v>
      </c>
      <c r="AG26" s="390" t="s">
        <v>669</v>
      </c>
    </row>
    <row r="27" spans="1:33" ht="34" customHeight="1" x14ac:dyDescent="0.35">
      <c r="A27" s="529" t="s">
        <v>319</v>
      </c>
      <c r="B27" s="505"/>
      <c r="C27" s="505"/>
      <c r="D27" s="505"/>
      <c r="E27" s="505"/>
      <c r="F27" s="505"/>
      <c r="G27" s="505"/>
      <c r="H27" s="505"/>
      <c r="I27" s="505"/>
      <c r="J27" s="505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  <c r="AF27" t="s">
        <v>670</v>
      </c>
      <c r="AG27" s="390" t="s">
        <v>671</v>
      </c>
    </row>
    <row r="28" spans="1:33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  <c r="AF28" t="s">
        <v>672</v>
      </c>
      <c r="AG28" s="390" t="s">
        <v>673</v>
      </c>
    </row>
    <row r="29" spans="1:33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  <c r="AF29" t="s">
        <v>674</v>
      </c>
      <c r="AG29" s="390" t="s">
        <v>675</v>
      </c>
    </row>
    <row r="30" spans="1:33" ht="24" customHeight="1" x14ac:dyDescent="0.35">
      <c r="A30" s="526" t="s">
        <v>326</v>
      </c>
      <c r="B30" s="505"/>
      <c r="C30" s="505"/>
      <c r="D30" s="505"/>
      <c r="E30" s="505"/>
      <c r="F30" s="505"/>
      <c r="G30" s="505"/>
      <c r="H30" s="505"/>
      <c r="I30" s="505"/>
      <c r="J30" s="505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  <c r="AF30" t="s">
        <v>676</v>
      </c>
      <c r="AG30" s="390" t="s">
        <v>677</v>
      </c>
    </row>
    <row r="31" spans="1:33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  <c r="AF31" t="s">
        <v>678</v>
      </c>
      <c r="AG31" s="390" t="s">
        <v>679</v>
      </c>
    </row>
    <row r="32" spans="1:33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  <c r="AF32" t="s">
        <v>680</v>
      </c>
      <c r="AG32" s="390" t="s">
        <v>681</v>
      </c>
    </row>
    <row r="33" spans="1:33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  <c r="AF33" t="s">
        <v>682</v>
      </c>
      <c r="AG33" s="390" t="s">
        <v>683</v>
      </c>
    </row>
    <row r="34" spans="1:33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  <c r="AF34" t="s">
        <v>684</v>
      </c>
      <c r="AG34" s="390" t="s">
        <v>685</v>
      </c>
    </row>
    <row r="35" spans="1:33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  <c r="AF35" t="s">
        <v>686</v>
      </c>
      <c r="AG35" s="390" t="s">
        <v>687</v>
      </c>
    </row>
    <row r="36" spans="1:33" x14ac:dyDescent="0.35">
      <c r="A36" s="126" t="s">
        <v>343</v>
      </c>
      <c r="B36" s="523"/>
      <c r="C36" s="524"/>
      <c r="D36" s="524"/>
      <c r="E36" s="525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  <c r="AF36" t="s">
        <v>688</v>
      </c>
      <c r="AG36" s="390" t="s">
        <v>689</v>
      </c>
    </row>
    <row r="37" spans="1:33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  <c r="AF37" t="s">
        <v>690</v>
      </c>
      <c r="AG37" s="390" t="s">
        <v>691</v>
      </c>
    </row>
    <row r="38" spans="1:33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467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  <c r="AF38" t="s">
        <v>692</v>
      </c>
      <c r="AG38" s="390" t="s">
        <v>693</v>
      </c>
    </row>
    <row r="39" spans="1:33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538</v>
      </c>
      <c r="T39" s="375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  <c r="AF39" t="s">
        <v>694</v>
      </c>
      <c r="AG39" s="390" t="s">
        <v>695</v>
      </c>
    </row>
    <row r="40" spans="1:33" ht="24" customHeight="1" x14ac:dyDescent="0.35">
      <c r="A40" s="526" t="s">
        <v>346</v>
      </c>
      <c r="B40" s="505"/>
      <c r="C40" s="505"/>
      <c r="D40" s="505"/>
      <c r="E40" s="505"/>
      <c r="F40" s="505"/>
      <c r="G40" s="505"/>
      <c r="H40" s="505"/>
      <c r="I40" s="505"/>
      <c r="J40" s="505"/>
      <c r="K40" s="57"/>
      <c r="L40" s="57"/>
      <c r="M40" s="57"/>
      <c r="N40" s="57"/>
      <c r="O40" s="57"/>
      <c r="P40" s="57"/>
      <c r="Q40" s="57"/>
      <c r="S40" t="s">
        <v>524</v>
      </c>
      <c r="T40" s="36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  <c r="AF40" t="s">
        <v>696</v>
      </c>
      <c r="AG40" s="390" t="s">
        <v>643</v>
      </c>
    </row>
    <row r="41" spans="1:33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539</v>
      </c>
      <c r="T41" s="375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  <c r="AF41" t="s">
        <v>733</v>
      </c>
      <c r="AG41" t="s">
        <v>734</v>
      </c>
    </row>
    <row r="42" spans="1:33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540</v>
      </c>
      <c r="T42" s="375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  <c r="AF42" t="s">
        <v>735</v>
      </c>
      <c r="AG42" t="s">
        <v>736</v>
      </c>
    </row>
    <row r="43" spans="1:33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541</v>
      </c>
      <c r="T43" s="375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3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542</v>
      </c>
      <c r="T44" s="375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3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543</v>
      </c>
      <c r="T45" s="375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3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544</v>
      </c>
      <c r="T46" s="375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3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545</v>
      </c>
      <c r="T47" s="375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3" ht="34" customHeight="1" x14ac:dyDescent="0.35">
      <c r="A48" s="527"/>
      <c r="B48" s="505"/>
      <c r="C48" s="505"/>
      <c r="D48" s="505"/>
      <c r="E48" s="505"/>
      <c r="F48" s="505"/>
      <c r="G48" s="505"/>
      <c r="H48" s="505"/>
      <c r="I48" s="505"/>
      <c r="J48" s="505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527"/>
      <c r="B49" s="505"/>
      <c r="C49" s="505"/>
      <c r="D49" s="505"/>
      <c r="E49" s="505"/>
      <c r="F49" s="505"/>
      <c r="G49" s="505"/>
      <c r="H49" s="505"/>
      <c r="I49" s="505"/>
      <c r="J49" s="505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533" t="s">
        <v>374</v>
      </c>
      <c r="B52" s="534"/>
      <c r="C52" s="534"/>
      <c r="D52" s="534"/>
      <c r="E52" s="534"/>
      <c r="F52" s="534"/>
      <c r="G52" s="534"/>
      <c r="H52" s="534"/>
      <c r="I52" s="57"/>
      <c r="J52" s="533" t="s">
        <v>375</v>
      </c>
      <c r="K52" s="534"/>
      <c r="L52" s="534"/>
      <c r="M52" s="534"/>
      <c r="N52" s="534"/>
      <c r="O52" s="534"/>
      <c r="P52" s="534"/>
      <c r="Q52" s="53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453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454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455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456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457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458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459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460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388" t="s">
        <v>561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562</v>
      </c>
      <c r="T70" s="3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563</v>
      </c>
      <c r="T71" s="3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564</v>
      </c>
      <c r="T72" s="3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565</v>
      </c>
      <c r="T73" s="3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566</v>
      </c>
      <c r="T74" s="3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567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S78" t="s">
        <v>568</v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S79" t="s">
        <v>291</v>
      </c>
      <c r="T79" t="s">
        <v>22</v>
      </c>
      <c r="U79" t="s">
        <v>23</v>
      </c>
      <c r="V79" t="s">
        <v>24</v>
      </c>
      <c r="W79" t="s">
        <v>25</v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S80" t="s">
        <v>569</v>
      </c>
      <c r="T80">
        <f>IF(parametros!$A$3="Sim",1,0)</f>
        <v>0</v>
      </c>
      <c r="U80">
        <f>IF(parametros!$A$4="Sim",1,0)</f>
        <v>0</v>
      </c>
      <c r="V80">
        <f>IF(parametros!$A$5="Sim",1,0)</f>
        <v>0</v>
      </c>
      <c r="W80">
        <f>IF(parametros!$A$6="Sim",1,0)</f>
        <v>0</v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S81" t="s">
        <v>570</v>
      </c>
      <c r="T81" s="183" t="str">
        <f>IF(ISNUMBER(parametros!$C$3),parametros!$C$3,"")</f>
        <v/>
      </c>
      <c r="U81" s="183" t="str">
        <f>IF(ISNUMBER(parametros!$C$4),parametros!$C$4,"")</f>
        <v/>
      </c>
      <c r="V81" s="183" t="str">
        <f>IF(ISNUMBER(parametros!$C$5),parametros!$C$5,"")</f>
        <v/>
      </c>
      <c r="W81" s="183" t="str">
        <f>IF(ISNUMBER(parametros!$C$6),parametros!$C$6,"")</f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S82" t="s">
        <v>571</v>
      </c>
      <c r="T82" s="183" t="str">
        <f>IF(ISNUMBER(parametros!$H$3),parametros!$H$3,"")</f>
        <v/>
      </c>
      <c r="U82" s="183" t="str">
        <f>IF(ISNUMBER(parametros!$H$4),parametros!$H$4,"")</f>
        <v/>
      </c>
      <c r="V82" s="183" t="str">
        <f>IF(ISNUMBER(parametros!$H$5),parametros!$H$5,"")</f>
        <v/>
      </c>
      <c r="W82" s="183" t="str">
        <f>IF(ISNUMBER(parametros!$H$6),parametros!$H$6,"")</f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S83" t="s">
        <v>572</v>
      </c>
      <c r="T83" s="183" t="str">
        <f>IF(ISNUMBER(T82),EOMONTH(T82,-1)+1,"")</f>
        <v/>
      </c>
      <c r="U83" s="183" t="str">
        <f>IF(ISNUMBER(U82),EOMONTH(U82,-1)+1,"")</f>
        <v/>
      </c>
      <c r="V83" s="183" t="str">
        <f>IF(ISNUMBER(V82),EOMONTH(V82,-1)+1,"")</f>
        <v/>
      </c>
      <c r="W83" s="183" t="str">
        <f>IF(ISNUMBER(W82),EOMONTH(W82,-1)+1,"")</f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S84" t="s">
        <v>573</v>
      </c>
      <c r="T84" t="str">
        <f>IF(OR(T80=0,NOT(ISNUMBER(T81)),NOT(ISNUMBER(T82)),AND($B$4&lt;&gt;"Financeiro",$B$4&lt;&gt;"PCs",$B$4&lt;&gt;"Itens")),"",IF($B$4="Financeiro",IF(EOMONTH(T82,-1)&gt;EOMONTH(T81,-1),1,0),IF(T82&gt;T81,1,0)))</f>
        <v/>
      </c>
      <c r="U84" t="str">
        <f>IF(OR(U80=0,NOT(ISNUMBER(U81)),NOT(ISNUMBER(U82)),AND($B$4&lt;&gt;"Financeiro",$B$4&lt;&gt;"PCs",$B$4&lt;&gt;"Itens")),"",IF($B$4="Financeiro",IF(EOMONTH(U82,-1)&gt;EOMONTH(U81,-1),1,0),IF(U82&gt;U81,1,0)))</f>
        <v/>
      </c>
      <c r="V84" t="str">
        <f>IF(OR(V80=0,NOT(ISNUMBER(V81)),NOT(ISNUMBER(V82)),AND($B$4&lt;&gt;"Financeiro",$B$4&lt;&gt;"PCs",$B$4&lt;&gt;"Itens")),"",IF($B$4="Financeiro",IF(EOMONTH(V82,-1)&gt;EOMONTH(V81,-1),1,0),IF(V82&gt;V81,1,0)))</f>
        <v/>
      </c>
      <c r="W84" t="str">
        <f>IF(OR(W80=0,NOT(ISNUMBER(W81)),NOT(ISNUMBER(W82)),AND($B$4&lt;&gt;"Financeiro",$B$4&lt;&gt;"PCs",$B$4&lt;&gt;"Itens")),"",IF($B$4="Financeiro",IF(EOMONTH(W82,-1)&gt;EOMONTH(W81,-1),1,0),IF(W82&gt;W81,1,0)))</f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S85" t="s">
        <v>574</v>
      </c>
      <c r="T85" t="str">
        <f>IF(T84&lt;&gt;1,"",IF($B$4="PCs",COUNTIFS(itens_PC!$C$2:$C$5001,"C1",itens_PC!$D$2:$D$5001,"&gt;0",itens_PC!$B$2:$B$5001,"&lt;"&amp;T82,itens_PC!$L$2:$L$5001,"Nao"),IF($B$4="Financeiro",COUNTIFS(financeiro!$B$2:$B$73,"c1",financeiro!$A$2:$A$73,"&lt;"&amp;T83,financeiro!$G$2:$G$73,"Nao",financeiro!$C$2:$C$73,"&gt;0"),"")))</f>
        <v/>
      </c>
      <c r="U85" t="str">
        <f>IF(U84&lt;&gt;1,"",IF($B$4="PCs",COUNTIFS(itens_PC!$C$2:$C$5001,"C2",itens_PC!$D$2:$D$5001,"&gt;0",itens_PC!$B$2:$B$5001,"&lt;"&amp;U82,itens_PC!$L$2:$L$5001,"Nao"),IF($B$4="Financeiro",COUNTIFS(financeiro!$B$2:$B$73,"c2",financeiro!$A$2:$A$73,"&lt;"&amp;U83,financeiro!$G$2:$G$73,"Nao",financeiro!$C$2:$C$73,"&gt;0"),"")))</f>
        <v/>
      </c>
      <c r="V85" t="str">
        <f>IF(V84&lt;&gt;1,"",IF($B$4="PCs",COUNTIFS(itens_PC!$C$2:$C$5001,"C3",itens_PC!$D$2:$D$5001,"&gt;0",itens_PC!$B$2:$B$5001,"&lt;"&amp;V82,itens_PC!$L$2:$L$5001,"Nao"),IF($B$4="Financeiro",COUNTIFS(financeiro!$B$2:$B$73,"c3",financeiro!$A$2:$A$73,"&lt;"&amp;V83,financeiro!$G$2:$G$73,"Nao",financeiro!$C$2:$C$73,"&gt;0"),"")))</f>
        <v/>
      </c>
      <c r="W85" t="str">
        <f>IF(W84&lt;&gt;1,"",IF($B$4="PCs",COUNTIFS(itens_PC!$C$2:$C$5001,"C4",itens_PC!$D$2:$D$5001,"&gt;0",itens_PC!$B$2:$B$5001,"&lt;"&amp;W82,itens_PC!$L$2:$L$5001,"Nao"),IF($B$4="Financeiro",COUNTIFS(financeiro!$B$2:$B$73,"c4",financeiro!$A$2:$A$73,"&lt;"&amp;W83,financeiro!$G$2:$G$73,"Nao",financeiro!$C$2:$C$73,"&gt;0"),"")))</f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S86" t="s">
        <v>575</v>
      </c>
      <c r="T86" t="str">
        <f>IF(T84&lt;&gt;1,"",IF($B$4="PCs",COUNTIFS(itens_PC!$C$2:$C$5001,"C1",itens_PC!$D$2:$D$5001,"&gt;0",itens_PC!$B$2:$B$5001,"&lt;"&amp;T82,itens_PC!$L$2:$L$5001,"Nao",itens_PC!$F$2:$F$5001,"&gt;0"),IF($B$4="Financeiro",IFERROR(INDEX(financeiro!$D$2:$D$73,MATCH("c1",financeiro!$B$2:$B$73,0)),""),"")))</f>
        <v/>
      </c>
      <c r="U86" t="str">
        <f>IF(U84&lt;&gt;1,"",IF($B$4="PCs",COUNTIFS(itens_PC!$C$2:$C$5001,"C2",itens_PC!$D$2:$D$5001,"&gt;0",itens_PC!$B$2:$B$5001,"&lt;"&amp;U82,itens_PC!$L$2:$L$5001,"Nao",itens_PC!$F$2:$F$5001,"&gt;0"),IF($B$4="Financeiro",IFERROR(INDEX(financeiro!$D$2:$D$73,MATCH("c2",financeiro!$B$2:$B$73,0)),""),"")))</f>
        <v/>
      </c>
      <c r="V86" t="str">
        <f>IF(V84&lt;&gt;1,"",IF($B$4="PCs",COUNTIFS(itens_PC!$C$2:$C$5001,"C3",itens_PC!$D$2:$D$5001,"&gt;0",itens_PC!$B$2:$B$5001,"&lt;"&amp;V82,itens_PC!$L$2:$L$5001,"Nao",itens_PC!$F$2:$F$5001,"&gt;0"),IF($B$4="Financeiro",IFERROR(INDEX(financeiro!$D$2:$D$73,MATCH("c3",financeiro!$B$2:$B$73,0)),""),"")))</f>
        <v/>
      </c>
      <c r="W86" t="str">
        <f>IF(W84&lt;&gt;1,"",IF($B$4="PCs",COUNTIFS(itens_PC!$C$2:$C$5001,"C4",itens_PC!$D$2:$D$5001,"&gt;0",itens_PC!$B$2:$B$5001,"&lt;"&amp;W82,itens_PC!$L$2:$L$5001,"Nao",itens_PC!$F$2:$F$5001,"&gt;0"),IF($B$4="Financeiro",IFERROR(INDEX(financeiro!$D$2:$D$73,MATCH("c4",financeiro!$B$2:$B$73,0)),""),"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S87" t="s">
        <v>576</v>
      </c>
      <c r="T87" t="str">
        <f>IF(T84&lt;&gt;1,"",IF($B$4="PCs",ROUND(SUMIFS(itens_PC!$D$2:$D$5001,itens_PC!$C$2:$C$5001,"C1",itens_PC!$D$2:$D$5001,"&gt;0",itens_PC!$B$2:$B$5001,"&lt;"&amp;T82,itens_PC!$L$2:$L$5001,"Nao"),2),IF($B$4="Financeiro",ROUND(SUMIFS(financeiro!$C$2:$C$73,financeiro!$B$2:$B$73,"c1",financeiro!$A$2:$A$73,"&lt;"&amp;T83,financeiro!$G$2:$G$73,"Nao",financeiro!$C$2:$C$73,"&gt;0"),2),IF(AND($B$4="Itens",ISNUMBER(T90)),IF(T90=0,0,""),""))))</f>
        <v/>
      </c>
      <c r="U87" t="str">
        <f>IF(U84&lt;&gt;1,"",IF($B$4="PCs",ROUND(SUMIFS(itens_PC!$D$2:$D$5001,itens_PC!$C$2:$C$5001,"C2",itens_PC!$D$2:$D$5001,"&gt;0",itens_PC!$B$2:$B$5001,"&lt;"&amp;U82,itens_PC!$L$2:$L$5001,"Nao"),2),IF($B$4="Financeiro",ROUND(SUMIFS(financeiro!$C$2:$C$73,financeiro!$B$2:$B$73,"c2",financeiro!$A$2:$A$73,"&lt;"&amp;U83,financeiro!$G$2:$G$73,"Nao",financeiro!$C$2:$C$73,"&gt;0"),2),IF(AND($B$4="Itens",ISNUMBER(U90)),IF(U90=0,0,""),""))))</f>
        <v/>
      </c>
      <c r="V87" t="str">
        <f>IF(V84&lt;&gt;1,"",IF($B$4="PCs",ROUND(SUMIFS(itens_PC!$D$2:$D$5001,itens_PC!$C$2:$C$5001,"C3",itens_PC!$D$2:$D$5001,"&gt;0",itens_PC!$B$2:$B$5001,"&lt;"&amp;V82,itens_PC!$L$2:$L$5001,"Nao"),2),IF($B$4="Financeiro",ROUND(SUMIFS(financeiro!$C$2:$C$73,financeiro!$B$2:$B$73,"c3",financeiro!$A$2:$A$73,"&lt;"&amp;V83,financeiro!$G$2:$G$73,"Nao",financeiro!$C$2:$C$73,"&gt;0"),2),IF(AND($B$4="Itens",ISNUMBER(V90)),IF(V90=0,0,""),""))))</f>
        <v/>
      </c>
      <c r="W87" t="str">
        <f>IF(W84&lt;&gt;1,"",IF($B$4="PCs",ROUND(SUMIFS(itens_PC!$D$2:$D$5001,itens_PC!$C$2:$C$5001,"C4",itens_PC!$D$2:$D$5001,"&gt;0",itens_PC!$B$2:$B$5001,"&lt;"&amp;W82,itens_PC!$L$2:$L$5001,"Nao"),2),IF($B$4="Financeiro",ROUND(SUMIFS(financeiro!$C$2:$C$73,financeiro!$B$2:$B$73,"c4",financeiro!$A$2:$A$73,"&lt;"&amp;W83,financeiro!$G$2:$G$73,"Nao",financeiro!$C$2:$C$73,"&gt;0"),2),IF(AND($B$4="Itens",ISNUMBER(W90)),IF(W90=0,0,""),""))))</f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S88" t="s">
        <v>577</v>
      </c>
      <c r="T88" t="str">
        <f>IF(T84&lt;&gt;1,"",IF($B$4="PCs",IF(T85=0,0,IF(T86&lt;T85,"",ROUND(SUMIFS(itens_PC!$F$2:$F$5001,itens_PC!$C$2:$C$5001,"C1",itens_PC!$D$2:$D$5001,"&gt;0",itens_PC!$B$2:$B$5001,"&lt;"&amp;T82,itens_PC!$L$2:$L$5001,"Nao"),2))),IF($B$4="Financeiro",IF(T85=0,0,IF(NOT(ISNUMBER(T86)),"",IFERROR(ROUND(SUMPRODUCT((financeiro!$B$2:$B$73="c1")*(financeiro!$A$2:$A$73&lt;T83)*(financeiro!$G$2:$G$73="Nao")*(financeiro!$C$2:$C$73&gt;0)*ROUND(financeiro!$C$2:$C$73*T86,2)),2),""))),IF(AND($B$4="Itens",ISNUMBER(T90)),IF(T90=0,0,""),""))))</f>
        <v/>
      </c>
      <c r="U88" t="str">
        <f>IF(U84&lt;&gt;1,"",IF($B$4="PCs",IF(U85=0,0,IF(U86&lt;U85,"",ROUND(SUMIFS(itens_PC!$F$2:$F$5001,itens_PC!$C$2:$C$5001,"C2",itens_PC!$D$2:$D$5001,"&gt;0",itens_PC!$B$2:$B$5001,"&lt;"&amp;U82,itens_PC!$L$2:$L$5001,"Nao"),2))),IF($B$4="Financeiro",IF(U85=0,0,IF(NOT(ISNUMBER(U86)),"",IFERROR(ROUND(SUMPRODUCT((financeiro!$B$2:$B$73="c2")*(financeiro!$A$2:$A$73&lt;U83)*(financeiro!$G$2:$G$73="Nao")*(financeiro!$C$2:$C$73&gt;0)*ROUND(financeiro!$C$2:$C$73*U86,2)),2),""))),IF(AND($B$4="Itens",ISNUMBER(U90)),IF(U90=0,0,""),""))))</f>
        <v/>
      </c>
      <c r="V88" t="str">
        <f>IF(V84&lt;&gt;1,"",IF($B$4="PCs",IF(V85=0,0,IF(V86&lt;V85,"",ROUND(SUMIFS(itens_PC!$F$2:$F$5001,itens_PC!$C$2:$C$5001,"C3",itens_PC!$D$2:$D$5001,"&gt;0",itens_PC!$B$2:$B$5001,"&lt;"&amp;V82,itens_PC!$L$2:$L$5001,"Nao"),2))),IF($B$4="Financeiro",IF(V85=0,0,IF(NOT(ISNUMBER(V86)),"",IFERROR(ROUND(SUMPRODUCT((financeiro!$B$2:$B$73="c3")*(financeiro!$A$2:$A$73&lt;V83)*(financeiro!$G$2:$G$73="Nao")*(financeiro!$C$2:$C$73&gt;0)*ROUND(financeiro!$C$2:$C$73*V86,2)),2),""))),IF(AND($B$4="Itens",ISNUMBER(V90)),IF(V90=0,0,""),""))))</f>
        <v/>
      </c>
      <c r="W88" t="str">
        <f>IF(W84&lt;&gt;1,"",IF($B$4="PCs",IF(W85=0,0,IF(W86&lt;W85,"",ROUND(SUMIFS(itens_PC!$F$2:$F$5001,itens_PC!$C$2:$C$5001,"C4",itens_PC!$D$2:$D$5001,"&gt;0",itens_PC!$B$2:$B$5001,"&lt;"&amp;W82,itens_PC!$L$2:$L$5001,"Nao"),2))),IF($B$4="Financeiro",IF(W85=0,0,IF(NOT(ISNUMBER(W86)),"",IFERROR(ROUND(SUMPRODUCT((financeiro!$B$2:$B$73="c4")*(financeiro!$A$2:$A$73&lt;W83)*(financeiro!$G$2:$G$73="Nao")*(financeiro!$C$2:$C$73&gt;0)*ROUND(financeiro!$C$2:$C$73*W86,2)),2),""))),IF(AND($B$4="Itens",ISNUMBER(W90)),IF(W90=0,0,""),""))))</f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S89" t="s">
        <v>578</v>
      </c>
      <c r="T89" t="str">
        <f>IF(OR(T87="",T88=""),"",ROUND(T88-T87,2))</f>
        <v/>
      </c>
      <c r="U89" t="str">
        <f>IF(OR(U87="",U88=""),"",ROUND(U88-U87,2))</f>
        <v/>
      </c>
      <c r="V89" t="str">
        <f>IF(OR(V87="",V88=""),"",ROUND(V88-V87,2))</f>
        <v/>
      </c>
      <c r="W89" t="str">
        <f>IF(OR(W87="",W88=""),"",ROUND(W88-W87,2))</f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S90" t="s">
        <v>579</v>
      </c>
      <c r="T90" t="str">
        <f>IF($B$4="Itens",IF(COUNT(itens_Consumidos!$G$2:$G$200)=0,"",SUM(itens_Consumidos!$G$2:$G$200)),"")</f>
        <v/>
      </c>
      <c r="U90" t="str">
        <f>IF($B$4="Itens",IF(COUNT(itens_Consumidos!$I$2:$I$200)=0,"",SUM(itens_Consumidos!$I$2:$I$200)),"")</f>
        <v/>
      </c>
      <c r="V90" t="str">
        <f>IF($B$4="Itens",IF(COUNT(itens_Consumidos!$K$2:$K$200)=0,"",SUM(itens_Consumidos!$K$2:$K$200)),"")</f>
        <v/>
      </c>
      <c r="W90" t="str">
        <f>IF($B$4="Itens",IF(COUNT(itens_Consumidos!$M$2:$M$200)=0,"",SUM(itens_Consumidos!$M$2:$M$200)),"")</f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S91" t="s">
        <v>580</v>
      </c>
      <c r="T91" t="str">
        <f>IF(T84="","",IF(T84=0,"D",IF($B$4="Itens",IF(T90="","",IF(T90=0,"B","C")),IF(T85=0,"B",IF(T89="","C","A")))))</f>
        <v/>
      </c>
      <c r="U91" t="str">
        <f>IF(U84="","",IF(U84=0,"D",IF($B$4="Itens",IF(U90="","",IF(U90=0,"B","C")),IF(U85=0,"B",IF(U89="","C","A")))))</f>
        <v/>
      </c>
      <c r="V91" t="str">
        <f>IF(V84="","",IF(V84=0,"D",IF($B$4="Itens",IF(V90="","",IF(V90=0,"B","C")),IF(V85=0,"B",IF(V89="","C","A")))))</f>
        <v/>
      </c>
      <c r="W91" t="str">
        <f>IF(W84="","",IF(W84=0,"D",IF($B$4="Itens",IF(W90="","",IF(W90=0,"B","C")),IF(W85=0,"B",IF(W89="","C","A")))))</f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S92" t="s">
        <v>581</v>
      </c>
      <c r="T92" s="183" t="str">
        <f>IF(AND(T84=1,$B$4="Financeiro"),IF(COUNTIFS(financeiro!$B$2:$B$73,"c1",financeiro!$A$2:$A$73,"&lt;"&amp;T83,financeiro!$G$2:$G$73,"Nao")&gt;0,_xlfn.MINIFS(financeiro!$A$2:$A$73,financeiro!$B$2:$B$73,"c1",financeiro!$A$2:$A$73,"&lt;"&amp;T83,financeiro!$G$2:$G$73,"Nao"),EOMONTH(T81,-1)+1),"")</f>
        <v/>
      </c>
      <c r="U92" s="183" t="str">
        <f>IF(AND(U84=1,$B$4="Financeiro"),IF(COUNTIFS(financeiro!$B$2:$B$73,"c2",financeiro!$A$2:$A$73,"&lt;"&amp;U83,financeiro!$G$2:$G$73,"Nao")&gt;0,_xlfn.MINIFS(financeiro!$A$2:$A$73,financeiro!$B$2:$B$73,"c2",financeiro!$A$2:$A$73,"&lt;"&amp;U83,financeiro!$G$2:$G$73,"Nao"),EOMONTH(U81,-1)+1),"")</f>
        <v/>
      </c>
      <c r="V92" s="183" t="str">
        <f>IF(AND(V84=1,$B$4="Financeiro"),IF(COUNTIFS(financeiro!$B$2:$B$73,"c3",financeiro!$A$2:$A$73,"&lt;"&amp;V83,financeiro!$G$2:$G$73,"Nao")&gt;0,_xlfn.MINIFS(financeiro!$A$2:$A$73,financeiro!$B$2:$B$73,"c3",financeiro!$A$2:$A$73,"&lt;"&amp;V83,financeiro!$G$2:$G$73,"Nao"),EOMONTH(V81,-1)+1),"")</f>
        <v/>
      </c>
      <c r="W92" s="183" t="str">
        <f>IF(AND(W84=1,$B$4="Financeiro"),IF(COUNTIFS(financeiro!$B$2:$B$73,"c4",financeiro!$A$2:$A$73,"&lt;"&amp;W83,financeiro!$G$2:$G$73,"Nao")&gt;0,_xlfn.MINIFS(financeiro!$A$2:$A$73,financeiro!$B$2:$B$73,"c4",financeiro!$A$2:$A$73,"&lt;"&amp;W83,financeiro!$G$2:$G$73,"Nao"),EOMONTH(W81,-1)+1),"")</f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S93" t="s">
        <v>582</v>
      </c>
      <c r="T93" s="183" t="str">
        <f>IF(AND(T84=1,$B$4="Financeiro"),IF(COUNTIFS(financeiro!$B$2:$B$73,"c1",financeiro!$A$2:$A$73,"&lt;"&amp;T83,financeiro!$G$2:$G$73,"Nao")&gt;0,_xlfn.MAXIFS(financeiro!$A$2:$A$73,financeiro!$B$2:$B$73,"c1",financeiro!$A$2:$A$73,"&lt;"&amp;T83,financeiro!$G$2:$G$73,"Nao"),EOMONTH(T82,-2)+1),"")</f>
        <v/>
      </c>
      <c r="U93" s="183" t="str">
        <f>IF(AND(U84=1,$B$4="Financeiro"),IF(COUNTIFS(financeiro!$B$2:$B$73,"c2",financeiro!$A$2:$A$73,"&lt;"&amp;U83,financeiro!$G$2:$G$73,"Nao")&gt;0,_xlfn.MAXIFS(financeiro!$A$2:$A$73,financeiro!$B$2:$B$73,"c2",financeiro!$A$2:$A$73,"&lt;"&amp;U83,financeiro!$G$2:$G$73,"Nao"),EOMONTH(U82,-2)+1),"")</f>
        <v/>
      </c>
      <c r="V93" s="183" t="str">
        <f>IF(AND(V84=1,$B$4="Financeiro"),IF(COUNTIFS(financeiro!$B$2:$B$73,"c3",financeiro!$A$2:$A$73,"&lt;"&amp;V83,financeiro!$G$2:$G$73,"Nao")&gt;0,_xlfn.MAXIFS(financeiro!$A$2:$A$73,financeiro!$B$2:$B$73,"c3",financeiro!$A$2:$A$73,"&lt;"&amp;V83,financeiro!$G$2:$G$73,"Nao"),EOMONTH(V82,-2)+1),"")</f>
        <v/>
      </c>
      <c r="W93" s="183" t="str">
        <f>IF(AND(W84=1,$B$4="Financeiro"),IF(COUNTIFS(financeiro!$B$2:$B$73,"c4",financeiro!$A$2:$A$73,"&lt;"&amp;W83,financeiro!$G$2:$G$73,"Nao")&gt;0,_xlfn.MAXIFS(financeiro!$A$2:$A$73,financeiro!$B$2:$B$73,"c4",financeiro!$A$2:$A$73,"&lt;"&amp;W83,financeiro!$G$2:$G$73,"Nao"),EOMONTH(W82,-2)+1),"")</f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S94" t="s">
        <v>583</v>
      </c>
      <c r="T94" t="str">
        <f>IF(T84&lt;&gt;1,"",IF($B$4="Financeiro",RIGHT("0"&amp;MONTH(T92),2)&amp;"/"&amp;YEAR(T92)&amp;IF(T92=T93,""," a "&amp;RIGHT("0"&amp;MONTH(T93),2)&amp;"/"&amp;YEAR(T93)),RIGHT("0"&amp;DAY(T81),2)&amp;"/"&amp;RIGHT("0"&amp;MONTH(T81),2)&amp;"/"&amp;YEAR(T81)&amp;" a "&amp;RIGHT("0"&amp;DAY(T82-1),2)&amp;"/"&amp;RIGHT("0"&amp;MONTH(T82-1),2)&amp;"/"&amp;YEAR(T82-1)))</f>
        <v/>
      </c>
      <c r="U94" t="str">
        <f>IF(U84&lt;&gt;1,"",IF($B$4="Financeiro",RIGHT("0"&amp;MONTH(U92),2)&amp;"/"&amp;YEAR(U92)&amp;IF(U92=U93,""," a "&amp;RIGHT("0"&amp;MONTH(U93),2)&amp;"/"&amp;YEAR(U93)),RIGHT("0"&amp;DAY(U81),2)&amp;"/"&amp;RIGHT("0"&amp;MONTH(U81),2)&amp;"/"&amp;YEAR(U81)&amp;" a "&amp;RIGHT("0"&amp;DAY(U82-1),2)&amp;"/"&amp;RIGHT("0"&amp;MONTH(U82-1),2)&amp;"/"&amp;YEAR(U82-1)))</f>
        <v/>
      </c>
      <c r="V94" t="str">
        <f>IF(V84&lt;&gt;1,"",IF($B$4="Financeiro",RIGHT("0"&amp;MONTH(V92),2)&amp;"/"&amp;YEAR(V92)&amp;IF(V92=V93,""," a "&amp;RIGHT("0"&amp;MONTH(V93),2)&amp;"/"&amp;YEAR(V93)),RIGHT("0"&amp;DAY(V81),2)&amp;"/"&amp;RIGHT("0"&amp;MONTH(V81),2)&amp;"/"&amp;YEAR(V81)&amp;" a "&amp;RIGHT("0"&amp;DAY(V82-1),2)&amp;"/"&amp;RIGHT("0"&amp;MONTH(V82-1),2)&amp;"/"&amp;YEAR(V82-1)))</f>
        <v/>
      </c>
      <c r="W94" t="str">
        <f>IF(W84&lt;&gt;1,"",IF($B$4="Financeiro",RIGHT("0"&amp;MONTH(W92),2)&amp;"/"&amp;YEAR(W92)&amp;IF(W92=W93,""," a "&amp;RIGHT("0"&amp;MONTH(W93),2)&amp;"/"&amp;YEAR(W93)),RIGHT("0"&amp;DAY(W81),2)&amp;"/"&amp;RIGHT("0"&amp;MONTH(W81),2)&amp;"/"&amp;YEAR(W81)&amp;" a "&amp;RIGHT("0"&amp;DAY(W82-1),2)&amp;"/"&amp;RIGHT("0"&amp;MONTH(W82-1),2)&amp;"/"&amp;YEAR(W82-1)))</f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S95" t="s">
        <v>584</v>
      </c>
      <c r="T95" t="str">
        <f>IF(NOT(ISNUMBER(T82)),"",IF($B$4="Financeiro",RIGHT("0"&amp;MONTH(T82),2)&amp;"/"&amp;YEAR(T82),RIGHT("0"&amp;DAY(T82),2)&amp;"/"&amp;RIGHT("0"&amp;MONTH(T82),2)&amp;"/"&amp;YEAR(T82)))</f>
        <v/>
      </c>
      <c r="U95" t="str">
        <f>IF(NOT(ISNUMBER(U82)),"",IF($B$4="Financeiro",RIGHT("0"&amp;MONTH(U82),2)&amp;"/"&amp;YEAR(U82),RIGHT("0"&amp;DAY(U82),2)&amp;"/"&amp;RIGHT("0"&amp;MONTH(U82),2)&amp;"/"&amp;YEAR(U82)))</f>
        <v/>
      </c>
      <c r="V95" t="str">
        <f>IF(NOT(ISNUMBER(V82)),"",IF($B$4="Financeiro",RIGHT("0"&amp;MONTH(V82),2)&amp;"/"&amp;YEAR(V82),RIGHT("0"&amp;DAY(V82),2)&amp;"/"&amp;RIGHT("0"&amp;MONTH(V82),2)&amp;"/"&amp;YEAR(V82)))</f>
        <v/>
      </c>
      <c r="W95" t="str">
        <f>IF(NOT(ISNUMBER(W82)),"",IF($B$4="Financeiro",RIGHT("0"&amp;MONTH(W82),2)&amp;"/"&amp;YEAR(W82),RIGHT("0"&amp;DAY(W82),2)&amp;"/"&amp;RIGHT("0"&amp;MONTH(W82),2)&amp;"/"&amp;YEAR(W82)))</f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S96" t="s">
        <v>585</v>
      </c>
      <c r="T96" t="str">
        <f>IF(T91="","",T79&amp;IF(T91="D",$T$114,$T$113&amp;T95))</f>
        <v/>
      </c>
      <c r="U96" t="str">
        <f>IF(U91="","",U79&amp;IF(U91="D",$T$114,$T$113&amp;U95))</f>
        <v/>
      </c>
      <c r="V96" t="str">
        <f>IF(V91="","",V79&amp;IF(V91="D",$T$114,$T$113&amp;V95))</f>
        <v/>
      </c>
      <c r="W96" t="str">
        <f>IF(W91="","",W79&amp;IF(W91="D",$T$114,$T$113&amp;W95))</f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S97" t="s">
        <v>586</v>
      </c>
      <c r="T97" t="str">
        <f>IF(OR(T91="",T91="D"),"",IF(T91="B",$T$117&amp;T94,IF(T91="C",$T$118&amp;T94,T85&amp;IF($B$4="PCs",$T$115,$T$116)&amp;T94)))</f>
        <v/>
      </c>
      <c r="U97" t="str">
        <f>IF(OR(U91="",U91="D"),"",IF(U91="B",$T$117&amp;U94,IF(U91="C",$T$118&amp;U94,U85&amp;IF($B$4="PCs",$T$115,$T$116)&amp;U94)))</f>
        <v/>
      </c>
      <c r="V97" t="str">
        <f>IF(OR(V91="",V91="D"),"",IF(V91="B",$T$117&amp;V94,IF(V91="C",$T$118&amp;V94,V85&amp;IF($B$4="PCs",$T$115,$T$116)&amp;V94)))</f>
        <v/>
      </c>
      <c r="W97" t="str">
        <f>IF(OR(W91="",W91="D"),"",IF(W91="B",$T$117&amp;W94,IF(W91="C",$T$118&amp;W94,W85&amp;IF($B$4="PCs",$T$115,$T$116)&amp;W94)))</f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S99" t="s">
        <v>587</v>
      </c>
      <c r="T99">
        <f>IF(COUNTIF(T91:W91,"?*")&gt;0,1,0)</f>
        <v>0</v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S100" t="s">
        <v>588</v>
      </c>
      <c r="T100">
        <f>IF(COUNTIF(T91:W91,"A")+COUNTIF(T91:W91,"B")&gt;0,1,0)</f>
        <v>0</v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S101" t="s">
        <v>589</v>
      </c>
      <c r="T101">
        <f>IF(COUNTIF(T91:W91,"C")&gt;0,1,0)</f>
        <v>0</v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S102" t="s">
        <v>590</v>
      </c>
      <c r="T102">
        <f>IF(AND(T99=1,T100=0,T101=0),1,0)</f>
        <v>0</v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S104" t="s">
        <v>591</v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S105" t="s">
        <v>592</v>
      </c>
      <c r="T105" s="390" t="s">
        <v>593</v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S106" t="s">
        <v>594</v>
      </c>
      <c r="T106" s="390" t="s">
        <v>595</v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S107" t="s">
        <v>596</v>
      </c>
      <c r="T107" s="390" t="s">
        <v>597</v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S108" t="s">
        <v>598</v>
      </c>
      <c r="T108" s="390" t="s">
        <v>577</v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S109" t="s">
        <v>599</v>
      </c>
      <c r="T109" s="390" t="s">
        <v>600</v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S110" t="s">
        <v>601</v>
      </c>
      <c r="T110" s="390" t="s">
        <v>602</v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S111" t="s">
        <v>603</v>
      </c>
      <c r="T111" s="390" t="s">
        <v>604</v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S112" t="s">
        <v>605</v>
      </c>
      <c r="T112" s="390" t="s">
        <v>606</v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S113" t="s">
        <v>607</v>
      </c>
      <c r="T113" s="390" t="s">
        <v>608</v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S114" t="s">
        <v>609</v>
      </c>
      <c r="T114" s="390" t="s">
        <v>610</v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S115" t="s">
        <v>611</v>
      </c>
      <c r="T115" s="390" t="s">
        <v>612</v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S116" t="s">
        <v>613</v>
      </c>
      <c r="T116" s="390" t="s">
        <v>614</v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S117" t="s">
        <v>615</v>
      </c>
      <c r="T117" s="390" t="s">
        <v>616</v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S118" t="s">
        <v>617</v>
      </c>
      <c r="T118" s="390" t="s">
        <v>618</v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S119" t="s">
        <v>619</v>
      </c>
      <c r="T119" s="390" t="s">
        <v>620</v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IF(AND(RESULTADOS_DETALHE!$G$46="Sim",ISNUMBER(RESULTADOS_DETALHE!$C$46),RESULTADOS_DETALHE!$C$46&gt;=0),RESULTADOS_DETALHE!$C$46,"")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IF(AND(RESULTADOS_DETALHE!$G$47="Sim",ISNUMBER(RESULTADOS_DETALHE!$C$47),RESULTADOS_DETALHE!$C$47&gt;=0),RESULTADOS_DETALHE!$C$47,"")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IF(AND(RESULTADOS_DETALHE!$G$48="Sim",ISNUMBER(RESULTADOS_DETALHE!$C$48),RESULTADOS_DETALHE!$C$48&gt;=0),RESULTADOS_DETALHE!$C$48,"")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IF(AND(RESULTADOS_DETALHE!$G$49="Sim",ISNUMBER(RESULTADOS_DETALHE!$C$49),RESULTADOS_DETALHE!$C$49&gt;=0),RESULTADOS_DETALHE!$C$49,"")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IF(AND(RESULTADOS_DETALHE!$G$50="Sim",ISNUMBER(RESULTADOS_DETALHE!$C$50),RESULTADOS_DETALHE!$C$50&gt;=0),RESULTADOS_DETALHE!$C$50,"")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7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7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72" priority="4">
      <formula>OR(ISNUMBER(SEARCH("MANUAL",F36)),ISNUMBER(SEARCH("DIVERGENTE",F36)),ISNUMBER(SEARCH("INCOMPLETO",F36)))</formula>
    </cfRule>
  </conditionalFormatting>
  <conditionalFormatting sqref="J4">
    <cfRule type="expression" dxfId="7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70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556" t="s">
        <v>621</v>
      </c>
      <c r="B1" s="556"/>
      <c r="C1" s="556"/>
      <c r="D1" s="556"/>
      <c r="E1" s="556"/>
      <c r="F1" s="556"/>
      <c r="G1" s="557" t="str">
        <f ca="1">$B$3</f>
        <v>REVISE</v>
      </c>
      <c r="H1" s="558"/>
    </row>
    <row r="2" spans="1:10" ht="90.5" customHeight="1" x14ac:dyDescent="0.3">
      <c r="A2" s="559" t="s">
        <v>622</v>
      </c>
      <c r="B2" s="559"/>
      <c r="C2" s="559"/>
      <c r="D2" s="559"/>
      <c r="E2" s="559"/>
      <c r="F2" s="559"/>
      <c r="G2" s="56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56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6"/>
      <c r="E3" s="248" t="str">
        <f>$F$5</f>
        <v/>
      </c>
      <c r="F3" s="286"/>
      <c r="G3" s="563" t="str">
        <f>$D$6</f>
        <v/>
      </c>
      <c r="H3" s="564"/>
      <c r="J3" s="244" t="s">
        <v>47</v>
      </c>
    </row>
    <row r="4" spans="1:10" ht="18" customHeight="1" x14ac:dyDescent="0.3">
      <c r="A4" s="287" t="str">
        <f>IF(MEMORIA_RESULTADOS!$B$4="PCs","VTA OFICIAL — inclui retroativo reconhecido + retroativo potencial","VTA OFICIAL")</f>
        <v>VTA OFICIAL</v>
      </c>
      <c r="B4" s="288"/>
      <c r="C4" s="316" t="str">
        <f>$H$8</f>
        <v>REVISE</v>
      </c>
      <c r="D4" s="317" t="s">
        <v>527</v>
      </c>
      <c r="E4" s="318" t="str">
        <f>$H$14</f>
        <v>REVISE</v>
      </c>
      <c r="F4" s="317" t="s">
        <v>452</v>
      </c>
      <c r="G4" s="289"/>
      <c r="H4" s="319" t="str">
        <f ca="1">$H$33</f>
        <v>REVISE</v>
      </c>
    </row>
    <row r="5" spans="1:10" ht="34" customHeight="1" x14ac:dyDescent="0.3">
      <c r="A5" s="290"/>
      <c r="B5" s="249" t="str">
        <f>MEMORIA_RESULTADOS!$B$4</f>
        <v>SELECIONE O METODO EM CONTROLE!B1</v>
      </c>
      <c r="C5" s="328" t="str">
        <f>IF(VTA_FINAL="","",VTA_FINAL)</f>
        <v/>
      </c>
      <c r="D5" s="565" t="str">
        <f>$D$22</f>
        <v/>
      </c>
      <c r="E5" s="566"/>
      <c r="F5" s="250" t="str">
        <f>IF(CONTROLE!$B$3="","",CONTROLE!$B$3)</f>
        <v/>
      </c>
      <c r="G5" s="295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1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0"/>
      <c r="D6" s="250" t="str">
        <f>IF($H$5="","",$H$5-1)</f>
        <v/>
      </c>
      <c r="E6" s="321" t="str">
        <f>IF($D$22&lt;&gt;"",IF($J$11="","Ciclos apurados","Ciclos apurados — "&amp;$J$11),IF($J$6=0,"SELECIONE O MÉTODO NA ABA CONTROLE","INFORME A BASE DO MÉTODO"))</f>
        <v>SELECIONE O MÉTODO NA ABA CONTROLE</v>
      </c>
      <c r="F6" s="322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2"/>
      <c r="H6" s="293"/>
      <c r="J6" s="252">
        <f>IF(OR($B$5="Financeiro",$B$5="PCs",$B$5="Itens"),1,0)</f>
        <v>0</v>
      </c>
    </row>
    <row r="7" spans="1:10" ht="20" customHeight="1" x14ac:dyDescent="0.3">
      <c r="A7" s="294" t="str">
        <f ca="1">IF($J$5=0,"APURAÇÃO CONCLUÍDA","PENDÊNCIAS PARA CONCLUSÃO:")</f>
        <v>PENDÊNCIAS PARA CONCLUSÃO:</v>
      </c>
      <c r="B7" s="56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562"/>
      <c r="D7" s="562"/>
      <c r="E7" s="562"/>
      <c r="F7" s="562"/>
      <c r="G7" s="562"/>
      <c r="H7" s="562"/>
    </row>
    <row r="8" spans="1:10" ht="15" customHeight="1" x14ac:dyDescent="0.3">
      <c r="A8" s="370" t="str">
        <f>IF(MEMORIA_RESULTADOS!$B$4&lt;&gt;"PCs","","RETROATIVO POTENCIAL — POTENCIAL (incorporado ao VTA)")</f>
        <v/>
      </c>
      <c r="B8" s="370"/>
      <c r="C8" s="371" t="str">
        <f>IF(MEMORIA_RESULTADOS!$B$4&lt;&gt;"PCs","",IFERROR(RETROATIVO_POTENCIAL_VTA,""))</f>
        <v/>
      </c>
      <c r="D8" s="372" t="str">
        <f>IF(MEMORIA_RESULTADOS!$B$4&lt;&gt;"PCs","","RETROATIVO CONSIDERADO NO VTA")</f>
        <v/>
      </c>
      <c r="E8" s="373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5" t="str">
        <f>UPPER(CONTROLE!$B$2)</f>
        <v/>
      </c>
    </row>
    <row r="9" spans="1:10" ht="24" customHeight="1" x14ac:dyDescent="0.3">
      <c r="A9" s="567" t="s">
        <v>488</v>
      </c>
      <c r="B9" s="567"/>
      <c r="C9" s="567"/>
      <c r="D9" s="567"/>
      <c r="E9" s="567"/>
      <c r="F9" s="567"/>
      <c r="G9" s="567"/>
      <c r="H9" s="567"/>
      <c r="J9" s="252">
        <f>COUNTIF(parametros!$A$3:$A$6,"Sim")</f>
        <v>0</v>
      </c>
    </row>
    <row r="10" spans="1:10" ht="46" hidden="1" customHeight="1" x14ac:dyDescent="0.3">
      <c r="A10" s="257" t="s">
        <v>508</v>
      </c>
      <c r="B10" s="258" t="str">
        <f ca="1">IF(MEMORIA_RESULTADOS!$W$50="","",MEMORIA_RESULTADOS!$W$50)</f>
        <v/>
      </c>
      <c r="C10" s="56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569"/>
      <c r="E10" s="569"/>
      <c r="F10" s="568" t="s">
        <v>509</v>
      </c>
      <c r="G10" s="569"/>
      <c r="H10" s="30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6" t="s">
        <v>510</v>
      </c>
      <c r="B11" s="297" t="str">
        <f>IF(MEMORIA_RESULTADOS!$W$48="","",MEMORIA_RESULTADOS!$W$48)</f>
        <v/>
      </c>
      <c r="C11" s="578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579"/>
      <c r="E11" s="579"/>
      <c r="F11" s="578" t="s">
        <v>511</v>
      </c>
      <c r="G11" s="579"/>
      <c r="H11" s="301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6" t="s">
        <v>512</v>
      </c>
      <c r="B12" s="297" t="str">
        <f>IFERROR(comparativo_VTA!$B$208,"")</f>
        <v/>
      </c>
      <c r="C12" s="578" t="s">
        <v>732</v>
      </c>
      <c r="D12" s="579"/>
      <c r="E12" s="579"/>
      <c r="F12" s="578" t="s">
        <v>513</v>
      </c>
      <c r="G12" s="579"/>
      <c r="H12" s="301" t="s">
        <v>428</v>
      </c>
    </row>
    <row r="13" spans="1:10" ht="46" hidden="1" customHeight="1" x14ac:dyDescent="0.3">
      <c r="A13" s="298" t="s">
        <v>514</v>
      </c>
      <c r="B13" s="299" t="str">
        <f ca="1">IF(MEMORIA_RESULTADOS!$W$51="","",MEMORIA_RESULTADOS!$W$51)</f>
        <v/>
      </c>
      <c r="C13" s="576" t="s">
        <v>515</v>
      </c>
      <c r="D13" s="577"/>
      <c r="E13" s="577"/>
      <c r="F13" s="576" t="s">
        <v>516</v>
      </c>
      <c r="G13" s="577"/>
      <c r="H13" s="302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6" t="str">
        <f>IF($B$5="PCs","2. EXECUÇÃO RECONHECIDA EM PCs POR CICLO","2. EXECUÇÃO E RETROATIVO POR CICLO")</f>
        <v>2. EXECUÇÃO E RETROATIVO POR CICLO</v>
      </c>
      <c r="B15" s="256" t="str">
        <f>IF($B$5="PCs","Valor executado original",IF($B$5="Financeiro","Valor pago",IF($B$5="PCs","Valor original",IF($B$5="Itens","Valor consumido original","Valor de referência"))))</f>
        <v>Valor de referência</v>
      </c>
      <c r="C15" s="256" t="str">
        <f>IF($B$5="PCs","Valor executado atualizado",IF($B$5="Financeiro","Valor devido atualizado",IF($B$5="PCs","Valor atualizado",IF($B$5="Itens","Valor consumido atualizado","Valor atualizado"))))</f>
        <v>Valor atualizado</v>
      </c>
      <c r="D15" s="256" t="str">
        <f>IF($B$5="PCs","Reajuste incorporado","Diferença")</f>
        <v>Diferença</v>
      </c>
      <c r="E15" s="392" t="str">
        <f>IF(MEMORIA_RESULTADOS!$T$99=1,MEMORIA_RESULTADOS!$T$105,"")</f>
        <v/>
      </c>
      <c r="F15" s="256" t="str">
        <f>IF(MEMORIA_RESULTADOS!$T$100=1,IF(MEMORIA_RESULTADOS!$B$4="Financeiro",MEMORIA_RESULTADOS!$T$107,MEMORIA_RESULTADOS!$T$106),"")</f>
        <v/>
      </c>
      <c r="G15" s="256" t="str">
        <f>IF(MEMORIA_RESULTADOS!$T$100=1,MEMORIA_RESULTADOS!$T$108,"")</f>
        <v/>
      </c>
      <c r="H15" s="256" t="str">
        <f>IF(MEMORIA_RESULTADOS!$T$100=1,MEMORIA_RESULTADOS!$T$109,"")</f>
        <v/>
      </c>
    </row>
    <row r="16" spans="1:10" ht="20" customHeight="1" x14ac:dyDescent="0.3">
      <c r="A16" s="259" t="s">
        <v>21</v>
      </c>
      <c r="B16" s="26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0" t="str">
        <f>IF(OR(B16="",D16=""),"",ROUND(B16+D16,2))</f>
        <v/>
      </c>
      <c r="D16" s="260" t="str">
        <f>IF(B16="","",IF(MEMORIA_RESULTADOS!$E$10="",0,MEMORIA_RESULTADOS!$E$10))</f>
        <v/>
      </c>
      <c r="E16" s="540" t="str">
        <f>IF(MEMORIA_RESULTADOS!$T$99=1,MEMORIA_RESULTADOS!$T$110,"")</f>
        <v/>
      </c>
      <c r="F16" s="541"/>
      <c r="G16" s="541"/>
      <c r="H16" s="541"/>
    </row>
    <row r="17" spans="1:8" ht="27" customHeight="1" x14ac:dyDescent="0.3">
      <c r="A17" s="261" t="s">
        <v>22</v>
      </c>
      <c r="B17" s="262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2" t="str">
        <f>IF(OR(B17="",D17=""),"",ROUND(B17+D17,2))</f>
        <v/>
      </c>
      <c r="D17" s="393" t="str">
        <f>IF(B17="","",IF(MEMORIA_RESULTADOS!$E$11="",0,MEMORIA_RESULTADOS!$E$11))</f>
        <v/>
      </c>
      <c r="E17" s="395" t="str">
        <f>IF(MEMORIA_RESULTADOS!T$91="","",MEMORIA_RESULTADOS!T$96&amp;IF(MEMORIA_RESULTADOS!T$97="","",CHAR(10)&amp;MEMORIA_RESULTADOS!T$97))</f>
        <v/>
      </c>
      <c r="F17" s="394" t="str">
        <f>IF(OR(MEMORIA_RESULTADOS!T$91="A",MEMORIA_RESULTADOS!T$91="B"),MEMORIA_RESULTADOS!T$87,"")</f>
        <v/>
      </c>
      <c r="G17" s="391" t="str">
        <f>IF(OR(MEMORIA_RESULTADOS!T$91="A",MEMORIA_RESULTADOS!T$91="B"),MEMORIA_RESULTADOS!T$88,"")</f>
        <v/>
      </c>
      <c r="H17" s="391" t="str">
        <f>IF(OR(MEMORIA_RESULTADOS!T$91="A",MEMORIA_RESULTADOS!T$91="B"),MEMORIA_RESULTADOS!T$89,IF(MEMORIA_RESULTADOS!T$91="C",MEMORIA_RESULTADOS!$T$119,""))</f>
        <v/>
      </c>
    </row>
    <row r="18" spans="1:8" ht="27" customHeight="1" x14ac:dyDescent="0.3">
      <c r="A18" s="261" t="s">
        <v>23</v>
      </c>
      <c r="B18" s="262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2" t="str">
        <f>IF(OR(B18="",D18=""),"",ROUND(B18+D18,2))</f>
        <v/>
      </c>
      <c r="D18" s="393" t="str">
        <f>IF(B18="","",IF(MEMORIA_RESULTADOS!$E$12="",0,MEMORIA_RESULTADOS!$E$12))</f>
        <v/>
      </c>
      <c r="E18" s="395" t="str">
        <f>IF(MEMORIA_RESULTADOS!U$91="","",MEMORIA_RESULTADOS!U$96&amp;IF(MEMORIA_RESULTADOS!U$97="","",CHAR(10)&amp;MEMORIA_RESULTADOS!U$97))</f>
        <v/>
      </c>
      <c r="F18" s="394" t="str">
        <f>IF(OR(MEMORIA_RESULTADOS!U$91="A",MEMORIA_RESULTADOS!U$91="B"),MEMORIA_RESULTADOS!U$87,"")</f>
        <v/>
      </c>
      <c r="G18" s="391" t="str">
        <f>IF(OR(MEMORIA_RESULTADOS!U$91="A",MEMORIA_RESULTADOS!U$91="B"),MEMORIA_RESULTADOS!U$88,"")</f>
        <v/>
      </c>
      <c r="H18" s="391" t="str">
        <f>IF(OR(MEMORIA_RESULTADOS!U$91="A",MEMORIA_RESULTADOS!U$91="B"),MEMORIA_RESULTADOS!U$89,IF(MEMORIA_RESULTADOS!U$91="C",MEMORIA_RESULTADOS!$T$119,""))</f>
        <v/>
      </c>
    </row>
    <row r="19" spans="1:8" ht="27" customHeight="1" x14ac:dyDescent="0.3">
      <c r="A19" s="261" t="s">
        <v>24</v>
      </c>
      <c r="B19" s="262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2" t="str">
        <f>IF(OR(B19="",D19=""),"",ROUND(B19+D19,2))</f>
        <v/>
      </c>
      <c r="D19" s="393" t="str">
        <f>IF(B19="","",IF(MEMORIA_RESULTADOS!$E$13="",0,MEMORIA_RESULTADOS!$E$13))</f>
        <v/>
      </c>
      <c r="E19" s="395" t="str">
        <f>IF(MEMORIA_RESULTADOS!V$91="","",MEMORIA_RESULTADOS!V$96&amp;IF(MEMORIA_RESULTADOS!V$97="","",CHAR(10)&amp;MEMORIA_RESULTADOS!V$97))</f>
        <v/>
      </c>
      <c r="F19" s="394" t="str">
        <f>IF(OR(MEMORIA_RESULTADOS!V$91="A",MEMORIA_RESULTADOS!V$91="B"),MEMORIA_RESULTADOS!V$87,"")</f>
        <v/>
      </c>
      <c r="G19" s="391" t="str">
        <f>IF(OR(MEMORIA_RESULTADOS!V$91="A",MEMORIA_RESULTADOS!V$91="B"),MEMORIA_RESULTADOS!V$88,"")</f>
        <v/>
      </c>
      <c r="H19" s="391" t="str">
        <f>IF(OR(MEMORIA_RESULTADOS!V$91="A",MEMORIA_RESULTADOS!V$91="B"),MEMORIA_RESULTADOS!V$89,IF(MEMORIA_RESULTADOS!V$91="C",MEMORIA_RESULTADOS!$T$119,""))</f>
        <v/>
      </c>
    </row>
    <row r="20" spans="1:8" ht="27" customHeight="1" x14ac:dyDescent="0.3">
      <c r="A20" s="261" t="s">
        <v>25</v>
      </c>
      <c r="B20" s="262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2" t="str">
        <f>IF(OR(B20="",D20=""),"",ROUND(B20+D20,2))</f>
        <v/>
      </c>
      <c r="D20" s="393" t="str">
        <f>IF(B20="","",IF(MEMORIA_RESULTADOS!$E$14="",0,MEMORIA_RESULTADOS!$E$14))</f>
        <v/>
      </c>
      <c r="E20" s="395" t="str">
        <f>IF(MEMORIA_RESULTADOS!W$91="","",MEMORIA_RESULTADOS!W$96&amp;IF(MEMORIA_RESULTADOS!W$97="","",CHAR(10)&amp;MEMORIA_RESULTADOS!W$97))</f>
        <v/>
      </c>
      <c r="F20" s="394" t="str">
        <f>IF(OR(MEMORIA_RESULTADOS!W$91="A",MEMORIA_RESULTADOS!W$91="B"),MEMORIA_RESULTADOS!W$87,"")</f>
        <v/>
      </c>
      <c r="G20" s="391" t="str">
        <f>IF(OR(MEMORIA_RESULTADOS!W$91="A",MEMORIA_RESULTADOS!W$91="B"),MEMORIA_RESULTADOS!W$88,"")</f>
        <v/>
      </c>
      <c r="H20" s="391" t="str">
        <f>IF(OR(MEMORIA_RESULTADOS!W$91="A",MEMORIA_RESULTADOS!W$91="B"),MEMORIA_RESULTADOS!W$89,IF(MEMORIA_RESULTADOS!W$91="C",MEMORIA_RESULTADOS!$T$119,""))</f>
        <v/>
      </c>
    </row>
    <row r="21" spans="1:8" ht="26" customHeight="1" x14ac:dyDescent="0.3">
      <c r="A21" s="323" t="s">
        <v>429</v>
      </c>
      <c r="B21" s="324"/>
      <c r="C21" s="324"/>
      <c r="D21" s="324" t="str">
        <f>IF(ISNUMBER(MEMORIA_RESULTADOS!$B$5),ROUND(RETRO_OFICIAL-SUM($D$16:$D$20),2),"")</f>
        <v/>
      </c>
      <c r="E21" s="542" t="str">
        <f>IF(MEMORIA_RESULTADOS!$T$101=1,MEMORIA_RESULTADOS!$T$111,IF(MEMORIA_RESULTADOS!$T$102=1,MEMORIA_RESULTADOS!$T$112,""))</f>
        <v/>
      </c>
      <c r="F21" s="543"/>
      <c r="G21" s="543"/>
      <c r="H21" s="543"/>
    </row>
    <row r="22" spans="1:8" ht="42" customHeight="1" x14ac:dyDescent="0.3">
      <c r="A22" s="263" t="s">
        <v>26</v>
      </c>
      <c r="B22" s="264" t="str">
        <f>IF(COUNT(B16:B20)=0,"",ROUND(SUM(B16:B20),2))</f>
        <v/>
      </c>
      <c r="C22" s="264" t="str">
        <f>IF(OR(B22="",D22=""),"",ROUND(B22+D22,2))</f>
        <v/>
      </c>
      <c r="D22" s="264" t="str">
        <f>IFERROR(RETRO_OFICIAL,"")</f>
        <v/>
      </c>
      <c r="E22" s="536" t="str">
        <f>IF($G$22="","","Retroativo potencial — em análise"&amp;CHAR(10)&amp;"Valor potencial relacionado a itens ainda em análise. Não integra o retroativo reconhecido enquanto não houver confirmação.")</f>
        <v/>
      </c>
      <c r="F22" s="537"/>
      <c r="G22" s="538" t="str">
        <f>IF($B$5&lt;&gt;"PCs","",IFERROR(RETROATIVO_POTENCIAL_PC,""))</f>
        <v/>
      </c>
      <c r="H22" s="539"/>
    </row>
    <row r="23" spans="1:8" ht="15" customHeight="1" x14ac:dyDescent="0.3">
      <c r="A23" s="325" t="str">
        <f>IF(OR(MEMORIA_RESULTADOS!$B$4&lt;&gt;"PCs",MEMORIA_RESULTADOS!$T$28=0),"","PCs sem efeito financeiro: "&amp;MEMORIA_RESULTADOS!$T$28&amp;" PC(s)")</f>
        <v/>
      </c>
      <c r="B23" s="325" t="str">
        <f>IF(OR(MEMORIA_RESULTADOS!$B$4&lt;&gt;"PCs",MEMORIA_RESULTADOS!$T$28=0),"",MEMORIA_RESULTADOS!$T$29)</f>
        <v/>
      </c>
      <c r="C23" s="325" t="str">
        <f>IF(OR(MEMORIA_RESULTADOS!$B$4&lt;&gt;"PCs",MEMORIA_RESULTADOS!$T$28=0),"",ROUND(MEMORIA_RESULTADOS!$T$29+MEMORIA_RESULTADOS!$T$30,2))</f>
        <v/>
      </c>
      <c r="D23" s="325" t="str">
        <f>IF(OR(MEMORIA_RESULTADOS!$B$4&lt;&gt;"PCs",MEMORIA_RESULTADOS!$T$28=0),"",MEMORIA_RESULTADOS!$T$30)</f>
        <v/>
      </c>
      <c r="E23" s="582" t="str">
        <f>IF(OR(MEMORIA_RESULTADOS!$B$4&lt;&gt;"PCs",MEMORIA_RESULTADOS!$T$28=0),"","A diferença sem efeito financeiro não constitui "&amp;"retroativo. Consulte itens_PC -&gt; EFEITO_FINANCEIRO_PC = Nao.")</f>
        <v/>
      </c>
      <c r="F23" s="583"/>
      <c r="G23" s="583"/>
      <c r="H23" s="583"/>
    </row>
    <row r="24" spans="1:8" ht="22" customHeight="1" x14ac:dyDescent="0.3">
      <c r="A24" s="266" t="str">
        <f>IF($B$5="PCs","3. REMANESCENTE — REFERÊNCIAS POR CICLO","3. REMANESCENTE TOTAL POR CICLO")</f>
        <v>3. REMANESCENTE TOTAL POR CICLO</v>
      </c>
      <c r="B24" s="267"/>
      <c r="C24" s="267"/>
      <c r="D24" s="267"/>
      <c r="E24" s="267"/>
      <c r="F24" s="267"/>
      <c r="G24" s="267"/>
      <c r="H24" s="268" t="str">
        <f>IF(ISNUMBER(SEARCH("CONFERIR",MEMORIA_RESULTADOS!$F$36)),"VALIDADO","REVISE")</f>
        <v>REVISE</v>
      </c>
    </row>
    <row r="25" spans="1:8" ht="48" customHeight="1" x14ac:dyDescent="0.3">
      <c r="A25" s="269" t="s">
        <v>291</v>
      </c>
      <c r="B25" s="270" t="str">
        <f>IF($B$5="PCs","Saldo sem reajuste de referência do ciclo","Saldo sem reajuste")</f>
        <v>Saldo sem reajuste</v>
      </c>
      <c r="C25" s="270" t="str">
        <f>IF($B$5="PCs","Saldo atualizado de referência do ciclo","Saldo atualizado")</f>
        <v>Saldo atualizado</v>
      </c>
      <c r="D25" s="271" t="str">
        <f>IF($B$5="PCs","Diferença de referência do ciclo","Diferença")</f>
        <v>Diferença</v>
      </c>
      <c r="E25" s="584" t="str">
        <f>IF($B$5="PCs","Referências do ciclo; não são necessariamente saldos finais após execução. Os ciclos não se somam.","Cada linha é a fotografia de um ciclo — ciclos não se somam. O ciclo vigente aparece destacado.")</f>
        <v>Cada linha é a fotografia de um ciclo — ciclos não se somam. O ciclo vigente aparece destacado.</v>
      </c>
      <c r="F25" s="585"/>
      <c r="G25" s="585"/>
      <c r="H25" s="585"/>
    </row>
    <row r="26" spans="1:8" ht="19" customHeight="1" x14ac:dyDescent="0.3">
      <c r="A26" s="261" t="s">
        <v>21</v>
      </c>
      <c r="B26" s="262" t="str">
        <f>IF(IFERROR(VALUE(MID(UPPER(CONTROLE!$B$2),2,1)),-1)&lt;0,"",IF(COUNTIF(itens_Remanesc!$A$2:$A$200,"&lt;&gt;")=0,"",IFERROR(comparativo_VTA!$C$204,"")))</f>
        <v/>
      </c>
      <c r="C26" s="262" t="str">
        <f>IF(B26="","",ROUND(SUMPRODUCT(posicao_contratual!$G$2:$G$201,historico_VU!$C$2:$C$201),2))</f>
        <v/>
      </c>
      <c r="D26" s="262" t="str">
        <f>IF(OR(B26="",C26=""),"",ROUND(C26-B26,2))</f>
        <v/>
      </c>
      <c r="E26" s="272"/>
      <c r="F26" s="272"/>
      <c r="G26" s="272"/>
      <c r="H26" s="272"/>
    </row>
    <row r="27" spans="1:8" ht="19" customHeight="1" x14ac:dyDescent="0.3">
      <c r="A27" s="261" t="s">
        <v>22</v>
      </c>
      <c r="B27" s="262" t="str">
        <f>IF(IFERROR(VALUE(MID(UPPER(CONTROLE!$B$2),2,1)),-1)&lt;1,"",IF(COUNTIF(itens_Remanesc!$A$2:$A$200,"&lt;&gt;")=0,"",IFERROR(comparativo_VTA!$D$204,"")))</f>
        <v/>
      </c>
      <c r="C27" s="262" t="str">
        <f>IF(B27="","",ROUND(SUMPRODUCT(posicao_contratual!$K$2:$K$201,historico_VU!$D$2:$D$201),2))</f>
        <v/>
      </c>
      <c r="D27" s="262" t="str">
        <f>IF(OR(B27="",C27=""),"",ROUND(C27-B27,2))</f>
        <v/>
      </c>
      <c r="E27" s="272"/>
      <c r="F27" s="272"/>
      <c r="G27" s="272"/>
      <c r="H27" s="272"/>
    </row>
    <row r="28" spans="1:8" ht="19" customHeight="1" x14ac:dyDescent="0.3">
      <c r="A28" s="261" t="s">
        <v>23</v>
      </c>
      <c r="B28" s="262" t="str">
        <f>IF(IFERROR(VALUE(MID(UPPER(CONTROLE!$B$2),2,1)),-1)&lt;2,"",IF(COUNTIF(itens_Remanesc!$A$2:$A$200,"&lt;&gt;")=0,"",IFERROR(comparativo_VTA!$E$204,"")))</f>
        <v/>
      </c>
      <c r="C28" s="262" t="str">
        <f>IF(B28="","",ROUND(SUMPRODUCT(posicao_contratual!$O$2:$O$201,historico_VU!$E$2:$E$201),2))</f>
        <v/>
      </c>
      <c r="D28" s="262" t="str">
        <f>IF(OR(B28="",C28=""),"",ROUND(C28-B28,2))</f>
        <v/>
      </c>
      <c r="E28" s="272"/>
      <c r="F28" s="272"/>
      <c r="G28" s="272"/>
      <c r="H28" s="272"/>
    </row>
    <row r="29" spans="1:8" ht="19" customHeight="1" x14ac:dyDescent="0.3">
      <c r="A29" s="261" t="s">
        <v>24</v>
      </c>
      <c r="B29" s="262" t="str">
        <f>IF(IFERROR(VALUE(MID(UPPER(CONTROLE!$B$2),2,1)),-1)&lt;3,"",IF(COUNTIF(itens_Remanesc!$A$2:$A$200,"&lt;&gt;")=0,"",IFERROR(comparativo_VTA!$F$204,"")))</f>
        <v/>
      </c>
      <c r="C29" s="262" t="str">
        <f>IF(B29="","",ROUND(SUMPRODUCT(posicao_contratual!$S$2:$S$201,historico_VU!$F$2:$F$201),2))</f>
        <v/>
      </c>
      <c r="D29" s="262" t="str">
        <f>IF(OR(B29="",C29=""),"",ROUND(C29-B29,2))</f>
        <v/>
      </c>
      <c r="E29" s="272"/>
      <c r="F29" s="272"/>
      <c r="G29" s="272"/>
      <c r="H29" s="272"/>
    </row>
    <row r="30" spans="1:8" ht="19" customHeight="1" x14ac:dyDescent="0.3">
      <c r="A30" s="273" t="s">
        <v>25</v>
      </c>
      <c r="B30" s="274" t="str">
        <f>IF(IFERROR(VALUE(MID(UPPER(CONTROLE!$B$2),2,1)),-1)&lt;4,"",IF(COUNTIF(itens_Remanesc!$A$2:$A$200,"&lt;&gt;")=0,"",IFERROR(comparativo_VTA!$G$204,"")))</f>
        <v/>
      </c>
      <c r="C30" s="274" t="str">
        <f>IF(B30="","",ROUND(SUMPRODUCT(posicao_contratual!$W$2:$W$201,historico_VU!$G$2:$G$201),2))</f>
        <v/>
      </c>
      <c r="D30" s="274" t="str">
        <f>IF(OR(B30="",C30=""),"",ROUND(C30-B30,2))</f>
        <v/>
      </c>
      <c r="E30" s="265"/>
      <c r="F30" s="265"/>
      <c r="G30" s="265"/>
      <c r="H30" s="265"/>
    </row>
    <row r="31" spans="1:8" ht="7" hidden="1" customHeight="1" x14ac:dyDescent="0.3">
      <c r="A31" s="265"/>
      <c r="B31" s="265"/>
      <c r="C31" s="265"/>
      <c r="D31" s="265"/>
      <c r="E31" s="265"/>
      <c r="F31" s="265"/>
      <c r="G31" s="265"/>
      <c r="H31" s="265"/>
    </row>
    <row r="32" spans="1:8" ht="15" customHeight="1" x14ac:dyDescent="0.3">
      <c r="A32" s="265"/>
      <c r="B32" s="265"/>
      <c r="C32" s="265"/>
      <c r="D32" s="265"/>
      <c r="E32" s="265"/>
      <c r="F32" s="265"/>
      <c r="G32" s="265"/>
      <c r="H32" s="265"/>
    </row>
    <row r="33" spans="1:8" ht="22" customHeight="1" x14ac:dyDescent="0.3">
      <c r="A33" s="266" t="str">
        <f>IF(UPPER(CONTROLE!$B$2)="","4. CICLO ATUAL EM EXECUÇÃO","4. CICLO ATUAL EM EXECUÇÃO ("&amp;UPPER(CONTROLE!$B$2)&amp;")")</f>
        <v>4. CICLO ATUAL EM EXECUÇÃO</v>
      </c>
      <c r="B33" s="267"/>
      <c r="C33" s="267"/>
      <c r="D33" s="267"/>
      <c r="E33" s="267"/>
      <c r="F33" s="267"/>
      <c r="G33" s="267"/>
      <c r="H33" s="268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1" t="s">
        <v>430</v>
      </c>
      <c r="B34" s="275" t="str">
        <f>UPPER(CONTROLE!$B$2)</f>
        <v/>
      </c>
      <c r="C34" s="548"/>
      <c r="D34" s="549"/>
      <c r="E34" s="550" t="s">
        <v>449</v>
      </c>
      <c r="F34" s="551"/>
      <c r="G34" s="551"/>
      <c r="H34" s="551"/>
    </row>
    <row r="35" spans="1:8" ht="22" customHeight="1" x14ac:dyDescent="0.3">
      <c r="A35" s="261" t="s">
        <v>431</v>
      </c>
      <c r="B35" s="276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544" t="str">
        <f ca="1">IF($B$35="","Aguardando dado","")</f>
        <v>Aguardando dado</v>
      </c>
      <c r="D35" s="545"/>
      <c r="E35" s="552" t="str">
        <f ca="1">IF($A$39="","",$A$39)</f>
        <v/>
      </c>
      <c r="F35" s="553"/>
      <c r="G35" s="553"/>
      <c r="H35" s="554"/>
    </row>
    <row r="36" spans="1:8" ht="22" customHeight="1" x14ac:dyDescent="0.3">
      <c r="A36" s="261" t="s">
        <v>432</v>
      </c>
      <c r="B36" s="26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544" t="str">
        <f ca="1">IF($B$36="","Aguardando dado","")</f>
        <v>Aguardando dado</v>
      </c>
      <c r="D36" s="545"/>
      <c r="E36" s="555"/>
      <c r="F36" s="553"/>
      <c r="G36" s="553"/>
      <c r="H36" s="554"/>
    </row>
    <row r="37" spans="1:8" ht="22" customHeight="1" x14ac:dyDescent="0.3">
      <c r="A37" s="261" t="s">
        <v>433</v>
      </c>
      <c r="B37" s="262" t="str">
        <f>IFERROR(INDEX($C$26:$C$30,MATCH(UPPER(CONTROLE!$B$2),$A$26:$A$30,0)),"")</f>
        <v/>
      </c>
      <c r="C37" s="544" t="str">
        <f>IF($B$37="","Aguardando dado","")</f>
        <v>Aguardando dado</v>
      </c>
      <c r="D37" s="545"/>
      <c r="E37" s="555"/>
      <c r="F37" s="553"/>
      <c r="G37" s="553"/>
      <c r="H37" s="554"/>
    </row>
    <row r="38" spans="1:8" ht="22" customHeight="1" x14ac:dyDescent="0.3">
      <c r="A38" s="263" t="s">
        <v>434</v>
      </c>
      <c r="B38" s="264" t="str">
        <f ca="1">IF(OR(B36="",B37=""),"",ROUND(B37-B36,2))</f>
        <v/>
      </c>
      <c r="C38" s="546" t="str">
        <f ca="1">IF($B$38="","Aguardando dado","")</f>
        <v>Aguardando dado</v>
      </c>
      <c r="D38" s="547"/>
      <c r="E38" s="555"/>
      <c r="F38" s="553"/>
      <c r="G38" s="553"/>
      <c r="H38" s="554"/>
    </row>
    <row r="39" spans="1:8" ht="15" customHeight="1" x14ac:dyDescent="0.3">
      <c r="A39" s="580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581"/>
      <c r="C39" s="581"/>
      <c r="D39" s="581"/>
      <c r="E39" s="581"/>
      <c r="F39" s="581"/>
      <c r="G39" s="581"/>
      <c r="H39" s="581"/>
    </row>
    <row r="40" spans="1:8" ht="14" hidden="1" customHeight="1" x14ac:dyDescent="0.3">
      <c r="A40" s="265"/>
      <c r="B40" s="265"/>
      <c r="C40" s="265"/>
      <c r="D40" s="265"/>
      <c r="E40" s="265"/>
      <c r="F40" s="265"/>
      <c r="G40" s="265"/>
      <c r="H40" s="265"/>
    </row>
    <row r="41" spans="1:8" ht="22" hidden="1" customHeight="1" x14ac:dyDescent="0.3">
      <c r="A41" s="277" t="s">
        <v>450</v>
      </c>
      <c r="B41" s="278"/>
      <c r="C41" s="278"/>
      <c r="D41" s="326" t="s">
        <v>451</v>
      </c>
      <c r="E41" s="278"/>
      <c r="F41" s="278"/>
      <c r="G41" s="278"/>
      <c r="H41" s="278"/>
    </row>
    <row r="42" spans="1:8" ht="24" hidden="1" customHeight="1" x14ac:dyDescent="0.3">
      <c r="A42" s="279" t="s">
        <v>435</v>
      </c>
      <c r="B42" s="279" t="s">
        <v>291</v>
      </c>
      <c r="C42" s="279" t="s">
        <v>436</v>
      </c>
      <c r="D42" s="279" t="s">
        <v>437</v>
      </c>
      <c r="E42" s="279" t="s">
        <v>438</v>
      </c>
      <c r="F42" s="279" t="s">
        <v>439</v>
      </c>
      <c r="G42" s="279" t="s">
        <v>440</v>
      </c>
      <c r="H42" s="279" t="s">
        <v>441</v>
      </c>
    </row>
    <row r="43" spans="1:8" ht="24" hidden="1" customHeight="1" x14ac:dyDescent="0.3">
      <c r="A43" s="280" t="s">
        <v>287</v>
      </c>
      <c r="B43" s="281" t="s">
        <v>26</v>
      </c>
      <c r="C43" s="239"/>
      <c r="D43" s="236"/>
      <c r="E43" s="236"/>
      <c r="F43" s="237"/>
      <c r="G43" s="238"/>
      <c r="H43" s="282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0" t="s">
        <v>442</v>
      </c>
      <c r="B44" s="281" t="s">
        <v>26</v>
      </c>
      <c r="C44" s="239"/>
      <c r="D44" s="236"/>
      <c r="E44" s="236"/>
      <c r="F44" s="237"/>
      <c r="G44" s="238"/>
      <c r="H44" s="282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0" t="s">
        <v>443</v>
      </c>
      <c r="B45" s="281" t="s">
        <v>26</v>
      </c>
      <c r="C45" s="239"/>
      <c r="D45" s="236"/>
      <c r="E45" s="236"/>
      <c r="F45" s="237"/>
      <c r="G45" s="238"/>
      <c r="H45" s="282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0" t="s">
        <v>444</v>
      </c>
      <c r="B46" s="281" t="s">
        <v>21</v>
      </c>
      <c r="C46" s="239"/>
      <c r="D46" s="236"/>
      <c r="E46" s="236"/>
      <c r="F46" s="237"/>
      <c r="G46" s="238"/>
      <c r="H46" s="282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0" t="s">
        <v>444</v>
      </c>
      <c r="B47" s="281" t="s">
        <v>22</v>
      </c>
      <c r="C47" s="239"/>
      <c r="D47" s="236"/>
      <c r="E47" s="236"/>
      <c r="F47" s="237"/>
      <c r="G47" s="238"/>
      <c r="H47" s="282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0" t="s">
        <v>444</v>
      </c>
      <c r="B48" s="281" t="s">
        <v>23</v>
      </c>
      <c r="C48" s="239"/>
      <c r="D48" s="236"/>
      <c r="E48" s="236"/>
      <c r="F48" s="237"/>
      <c r="G48" s="238"/>
      <c r="H48" s="282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0" t="s">
        <v>444</v>
      </c>
      <c r="B49" s="281" t="s">
        <v>24</v>
      </c>
      <c r="C49" s="239"/>
      <c r="D49" s="236"/>
      <c r="E49" s="236"/>
      <c r="F49" s="237"/>
      <c r="G49" s="238"/>
      <c r="H49" s="282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3" t="s">
        <v>444</v>
      </c>
      <c r="B50" s="284" t="s">
        <v>25</v>
      </c>
      <c r="C50" s="240"/>
      <c r="D50" s="241"/>
      <c r="E50" s="241"/>
      <c r="F50" s="242"/>
      <c r="G50" s="243"/>
      <c r="H50" s="285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5"/>
      <c r="B51" s="265"/>
      <c r="C51" s="265"/>
      <c r="D51" s="265"/>
      <c r="E51" s="265"/>
      <c r="F51" s="265"/>
      <c r="G51" s="265"/>
      <c r="H51" s="265"/>
    </row>
    <row r="52" spans="1:8" ht="15" customHeight="1" x14ac:dyDescent="0.3">
      <c r="A52" s="265"/>
      <c r="B52" s="265"/>
      <c r="C52" s="265"/>
      <c r="D52" s="265"/>
      <c r="E52" s="265"/>
      <c r="F52" s="265"/>
      <c r="G52" s="265"/>
      <c r="H52" s="265"/>
    </row>
    <row r="53" spans="1:8" ht="20" customHeight="1" x14ac:dyDescent="0.3">
      <c r="A53" s="570" t="s">
        <v>523</v>
      </c>
      <c r="B53" s="567"/>
      <c r="C53" s="567"/>
      <c r="D53" s="567"/>
      <c r="E53" s="567"/>
      <c r="F53" s="567"/>
      <c r="G53" s="567"/>
      <c r="H53" s="571"/>
    </row>
    <row r="54" spans="1:8" ht="13" customHeight="1" x14ac:dyDescent="0.3">
      <c r="A54" s="358" t="s">
        <v>445</v>
      </c>
      <c r="B54" s="359" t="s">
        <v>427</v>
      </c>
      <c r="C54" s="572" t="s">
        <v>490</v>
      </c>
      <c r="D54" s="573"/>
      <c r="E54" s="572"/>
      <c r="F54" s="572"/>
      <c r="G54" s="572"/>
      <c r="H54" s="572"/>
    </row>
    <row r="55" spans="1:8" ht="30" customHeight="1" x14ac:dyDescent="0.3">
      <c r="A55" s="333" t="s">
        <v>491</v>
      </c>
      <c r="B55" s="345" t="str">
        <f>IF($B$5&lt;&gt;"PCs","",MEMORIA_RESULTADOS!$T$33)</f>
        <v/>
      </c>
      <c r="C55" s="574" t="s">
        <v>492</v>
      </c>
      <c r="D55" s="575"/>
      <c r="E55" s="574"/>
      <c r="F55" s="574"/>
      <c r="G55" s="574"/>
      <c r="H55" s="574"/>
    </row>
    <row r="56" spans="1:8" ht="30" customHeight="1" x14ac:dyDescent="0.3">
      <c r="A56" s="333" t="s">
        <v>493</v>
      </c>
      <c r="B56" s="345" t="str">
        <f>IF($B$5&lt;&gt;"PCs","",MEMORIA_RESULTADOS!$T$34)</f>
        <v/>
      </c>
      <c r="C56" s="574" t="s">
        <v>494</v>
      </c>
      <c r="D56" s="575"/>
      <c r="E56" s="574"/>
      <c r="F56" s="574"/>
      <c r="G56" s="574"/>
      <c r="H56" s="574"/>
    </row>
    <row r="57" spans="1:8" ht="30" customHeight="1" x14ac:dyDescent="0.3">
      <c r="A57" s="333" t="s">
        <v>495</v>
      </c>
      <c r="B57" s="345" t="str">
        <f>IF($B$5&lt;&gt;"PCs","",MEMORIA_RESULTADOS!$T$35)</f>
        <v/>
      </c>
      <c r="C57" s="574" t="s">
        <v>496</v>
      </c>
      <c r="D57" s="575"/>
      <c r="E57" s="574"/>
      <c r="F57" s="574"/>
      <c r="G57" s="574"/>
      <c r="H57" s="574"/>
    </row>
    <row r="58" spans="1:8" ht="30" customHeight="1" x14ac:dyDescent="0.3">
      <c r="A58" s="333" t="s">
        <v>446</v>
      </c>
      <c r="B58" s="345" t="str">
        <f>IF($B$5&lt;&gt;"PCs","",MEMORIA_RESULTADOS!$T$36)</f>
        <v/>
      </c>
      <c r="C58" s="574" t="s">
        <v>497</v>
      </c>
      <c r="D58" s="575"/>
      <c r="E58" s="574"/>
      <c r="F58" s="574"/>
      <c r="G58" s="574"/>
      <c r="H58" s="574"/>
    </row>
    <row r="59" spans="1:8" ht="30" customHeight="1" x14ac:dyDescent="0.3">
      <c r="A59" s="333" t="s">
        <v>447</v>
      </c>
      <c r="B59" s="345" t="str">
        <f>IF($B$5&lt;&gt;"PCs","",MEMORIA_RESULTADOS!$T$37)</f>
        <v/>
      </c>
      <c r="C59" s="574" t="s">
        <v>498</v>
      </c>
      <c r="D59" s="575"/>
      <c r="E59" s="574"/>
      <c r="F59" s="574"/>
      <c r="G59" s="574"/>
      <c r="H59" s="574"/>
    </row>
    <row r="60" spans="1:8" ht="36" customHeight="1" x14ac:dyDescent="0.3">
      <c r="A60" s="333" t="s">
        <v>448</v>
      </c>
      <c r="B60" s="345" t="str">
        <f>$D$22</f>
        <v/>
      </c>
      <c r="C60" s="574" t="s">
        <v>528</v>
      </c>
      <c r="D60" s="575"/>
      <c r="E60" s="574"/>
      <c r="F60" s="574"/>
      <c r="G60" s="574"/>
      <c r="H60" s="574"/>
    </row>
    <row r="61" spans="1:8" ht="30" customHeight="1" x14ac:dyDescent="0.3">
      <c r="A61" s="333" t="s">
        <v>529</v>
      </c>
      <c r="B61" s="345" t="str">
        <f>IF($B$5&lt;&gt;"PCs","",IFERROR(RETROATIVO_POTENCIAL_VTA,""))</f>
        <v/>
      </c>
      <c r="C61" s="574" t="s">
        <v>546</v>
      </c>
      <c r="D61" s="575"/>
      <c r="E61" s="574"/>
      <c r="F61" s="574"/>
      <c r="G61" s="574"/>
      <c r="H61" s="574"/>
    </row>
    <row r="62" spans="1:8" ht="30" customHeight="1" x14ac:dyDescent="0.3">
      <c r="A62" s="333" t="s">
        <v>530</v>
      </c>
      <c r="B62" s="345" t="str">
        <f>IF(OR($B$5&lt;&gt;"PCs",$D$22=""),"",ROUND(N($D$22)+N(RETROATIVO_POTENCIAL_VTA),2))</f>
        <v/>
      </c>
      <c r="C62" s="574" t="s">
        <v>531</v>
      </c>
      <c r="D62" s="575"/>
      <c r="E62" s="574"/>
      <c r="F62" s="574"/>
      <c r="G62" s="574"/>
      <c r="H62" s="574"/>
    </row>
    <row r="63" spans="1:8" ht="30" customHeight="1" x14ac:dyDescent="0.3">
      <c r="A63" s="333" t="s">
        <v>532</v>
      </c>
      <c r="B63" s="345" t="str">
        <f ca="1">$B$36</f>
        <v/>
      </c>
      <c r="C63" s="574" t="s">
        <v>499</v>
      </c>
      <c r="D63" s="575"/>
      <c r="E63" s="574"/>
      <c r="F63" s="574"/>
      <c r="G63" s="574"/>
      <c r="H63" s="574"/>
    </row>
    <row r="64" spans="1:8" ht="30" customHeight="1" x14ac:dyDescent="0.3">
      <c r="A64" s="333" t="s">
        <v>533</v>
      </c>
      <c r="B64" s="345" t="str">
        <f ca="1">$B$38</f>
        <v/>
      </c>
      <c r="C64" s="574" t="s">
        <v>500</v>
      </c>
      <c r="D64" s="575"/>
      <c r="E64" s="574"/>
      <c r="F64" s="574"/>
      <c r="G64" s="574"/>
      <c r="H64" s="574"/>
    </row>
    <row r="65" spans="1:8" ht="30" customHeight="1" x14ac:dyDescent="0.3">
      <c r="A65" s="333" t="s">
        <v>534</v>
      </c>
      <c r="B65" s="346" t="str">
        <f>IF(VTA_FINAL="","",VTA_FINAL)</f>
        <v/>
      </c>
      <c r="C65" s="574" t="s">
        <v>535</v>
      </c>
      <c r="D65" s="575"/>
      <c r="E65" s="574"/>
      <c r="F65" s="574"/>
      <c r="G65" s="574"/>
      <c r="H65" s="574"/>
    </row>
    <row r="66" spans="1:8" ht="30" customHeight="1" x14ac:dyDescent="0.3">
      <c r="A66" s="333" t="s">
        <v>536</v>
      </c>
      <c r="B66" s="345" t="str">
        <f ca="1">$B$13</f>
        <v/>
      </c>
      <c r="C66" s="574" t="s">
        <v>501</v>
      </c>
      <c r="D66" s="575"/>
      <c r="E66" s="574"/>
      <c r="F66" s="574"/>
      <c r="G66" s="574"/>
      <c r="H66" s="574"/>
    </row>
    <row r="67" spans="1:8" ht="30" customHeight="1" x14ac:dyDescent="0.3">
      <c r="A67" s="333" t="s">
        <v>537</v>
      </c>
      <c r="B67" s="374" t="str">
        <f ca="1">$B$3</f>
        <v>REVISE</v>
      </c>
      <c r="C67" s="574" t="s">
        <v>502</v>
      </c>
      <c r="D67" s="575"/>
      <c r="E67" s="574"/>
      <c r="F67" s="574"/>
      <c r="G67" s="574"/>
      <c r="H67" s="574"/>
    </row>
    <row r="68" spans="1:8" ht="14.5" x14ac:dyDescent="0.3">
      <c r="A68" s="589" t="s">
        <v>462</v>
      </c>
      <c r="B68" s="589"/>
      <c r="C68" s="589"/>
      <c r="D68" s="589"/>
      <c r="E68" s="589"/>
      <c r="F68" s="589"/>
      <c r="G68" s="589"/>
      <c r="H68" s="589"/>
    </row>
    <row r="69" spans="1:8" ht="34" customHeight="1" x14ac:dyDescent="0.3">
      <c r="A69" s="590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590"/>
      <c r="C69" s="590"/>
      <c r="D69" s="590"/>
      <c r="E69" s="590"/>
      <c r="F69" s="590"/>
      <c r="G69" s="590"/>
      <c r="H69" s="590"/>
    </row>
    <row r="70" spans="1:8" x14ac:dyDescent="0.3">
      <c r="A70" s="364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4"/>
      <c r="C70" s="364"/>
      <c r="D70" s="364"/>
      <c r="E70" s="364"/>
      <c r="F70" s="364"/>
      <c r="G70" s="364"/>
      <c r="H70" s="364"/>
    </row>
    <row r="71" spans="1:8" ht="14.5" x14ac:dyDescent="0.3">
      <c r="A71" s="492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492"/>
      <c r="C71" s="492"/>
      <c r="D71" s="492"/>
      <c r="E71" s="492"/>
      <c r="F71" s="492"/>
      <c r="G71" s="492"/>
      <c r="H71" s="492"/>
    </row>
    <row r="72" spans="1:8" x14ac:dyDescent="0.3">
      <c r="A72" s="334" t="s">
        <v>291</v>
      </c>
      <c r="B72" s="334" t="s">
        <v>503</v>
      </c>
      <c r="C72" s="334" t="s">
        <v>504</v>
      </c>
      <c r="D72" s="334" t="s">
        <v>489</v>
      </c>
      <c r="E72" s="334" t="s">
        <v>505</v>
      </c>
    </row>
    <row r="73" spans="1:8" x14ac:dyDescent="0.3">
      <c r="A73" s="335" t="s">
        <v>21</v>
      </c>
      <c r="B73" s="345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5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5" t="str">
        <f>IF(MEMORIA_RESULTADOS!$B$4&lt;&gt;"Financeiro","Nao aplicavel ao metodo selecionado",IF(OR(B73="",C73="",NOT(ISNUMBER(C73))),"",ROUND(B73-C73,2)))</f>
        <v>Nao aplicavel ao metodo selecionado</v>
      </c>
      <c r="E73" s="336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5" t="s">
        <v>22</v>
      </c>
      <c r="B74" s="345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5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5" t="str">
        <f>IF(MEMORIA_RESULTADOS!$B$4&lt;&gt;"Financeiro","Nao aplicavel ao metodo selecionado",IF(OR(B74="",C74="",NOT(ISNUMBER(C74))),"",ROUND(B74-C74,2)))</f>
        <v>Nao aplicavel ao metodo selecionado</v>
      </c>
      <c r="E74" s="336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5" t="s">
        <v>23</v>
      </c>
      <c r="B75" s="345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5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5" t="str">
        <f>IF(MEMORIA_RESULTADOS!$B$4&lt;&gt;"Financeiro","Nao aplicavel ao metodo selecionado",IF(OR(B75="",C75="",NOT(ISNUMBER(C75))),"",ROUND(B75-C75,2)))</f>
        <v>Nao aplicavel ao metodo selecionado</v>
      </c>
      <c r="E75" s="336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5" t="s">
        <v>24</v>
      </c>
      <c r="B76" s="345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5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5" t="str">
        <f>IF(MEMORIA_RESULTADOS!$B$4&lt;&gt;"Financeiro","Nao aplicavel ao metodo selecionado",IF(OR(B76="",C76="",NOT(ISNUMBER(C76))),"",ROUND(B76-C76,2)))</f>
        <v>Nao aplicavel ao metodo selecionado</v>
      </c>
      <c r="E76" s="336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1" t="s">
        <v>25</v>
      </c>
      <c r="B77" s="362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2" t="str">
        <f>IF(MEMORIA_RESULTADOS!$B$4&lt;&gt;"Financeiro","Nao aplicavel ao metodo selecionado","Sem historico quantitativo suficiente")</f>
        <v>Nao aplicavel ao metodo selecionado</v>
      </c>
      <c r="D77" s="362" t="str">
        <f>IF(MEMORIA_RESULTADOS!$B$4&lt;&gt;"Financeiro","Nao aplicavel ao metodo selecionado",IF(OR(B77="",C77="",NOT(ISNUMBER(C77))),"",ROUND(B77-C77,2)))</f>
        <v>Nao aplicavel ao metodo selecionado</v>
      </c>
      <c r="E77" s="363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0"/>
      <c r="G77" s="360"/>
      <c r="H77" s="360"/>
    </row>
    <row r="78" spans="1:8" x14ac:dyDescent="0.3">
      <c r="A78" s="365"/>
      <c r="B78" s="360"/>
      <c r="C78" s="360"/>
      <c r="D78" s="360"/>
      <c r="E78" s="360"/>
      <c r="F78" s="360"/>
      <c r="G78" s="360"/>
      <c r="H78" s="360"/>
    </row>
    <row r="79" spans="1:8" ht="15.5" x14ac:dyDescent="0.3">
      <c r="A79" s="586" t="s">
        <v>506</v>
      </c>
      <c r="B79" s="586"/>
      <c r="C79" s="586"/>
      <c r="D79" s="586"/>
      <c r="E79" s="586"/>
      <c r="F79" s="586"/>
      <c r="G79" s="586"/>
      <c r="H79" s="586"/>
    </row>
    <row r="80" spans="1:8" ht="28" customHeight="1" x14ac:dyDescent="0.3">
      <c r="A80" s="587" t="str">
        <f>IF($B$5="PCs","Execução atualizada consolidada + saldo remanescente final atualizado + retroativo potencial = VTA oficial. O quadro de PCs reconhecidos acima não substitui a execução consolidada, que pode incluir posição física.","O VTA reúne a execução já realizada, os ajustes contratuais aplicáveis e o saldo que ainda falta executar, todos nos valores correspondentes.")</f>
        <v>O VTA reúne a execução já realizada, os ajustes contratuais aplicáveis e o saldo que ainda falta executar, todos nos valores correspondentes.</v>
      </c>
      <c r="B80" s="587"/>
      <c r="C80" s="587"/>
      <c r="D80" s="587"/>
      <c r="E80" s="587"/>
      <c r="F80" s="587"/>
      <c r="G80" s="587"/>
      <c r="H80" s="587"/>
    </row>
    <row r="81" spans="1:8" ht="28" customHeight="1" x14ac:dyDescent="0.3">
      <c r="A81" s="588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588"/>
      <c r="C81" s="588"/>
      <c r="D81" s="588"/>
      <c r="E81" s="588"/>
      <c r="F81" s="588"/>
      <c r="G81" s="588"/>
      <c r="H81" s="588"/>
    </row>
    <row r="82" spans="1:8" x14ac:dyDescent="0.3">
      <c r="A82" s="337" t="s">
        <v>465</v>
      </c>
      <c r="B82" s="338" t="s">
        <v>427</v>
      </c>
      <c r="C82" s="337" t="s">
        <v>466</v>
      </c>
    </row>
    <row r="83" spans="1:8" ht="24" x14ac:dyDescent="0.3">
      <c r="A83" s="339" t="str">
        <f>IF($B$5="PCs","Execução realizada — valor atualizado","Executado apurado")</f>
        <v>Executado apurado</v>
      </c>
      <c r="B83" s="345" t="str">
        <f>IF($B$5="PCs",IF(MEMORIA_RESULTADOS!$T$25="CALCULO MANUAL REQUERIDO","",ROUND(MEMORIA_RESULTADOS!$T$21+MEMORIA_RESULTADOS!$T$22+IF(MEMORIA_RESULTADOS!$W$49=1,$B$36,0),2)),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REQUERIDO","",ROUND(MEMORIA_RESULTADOS!$T$21+MEMORIA_RESULTADOS!$T$22,2)),""))))</f>
        <v/>
      </c>
      <c r="C83" s="340" t="str">
        <f>IF($B$5="PCs","Já contém o reajuste/retroativo reconhecido incorporado à execução.",IF(MEMORIA_RESULTADOS!$B$4="Financeiro","Valores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CONTROLE!B1."))))</f>
        <v>Selecione o metodo em CONTROLE!B1.</v>
      </c>
    </row>
    <row r="84" spans="1:8" x14ac:dyDescent="0.3">
      <c r="A84" s="339" t="str">
        <f>IF(MEMORIA_RESULTADOS!$B$4="PCs","(+) Retroativo potencial — POTENCIAL","(+) Ajustes ainda devidos")</f>
        <v>(+) Ajustes ainda devidos</v>
      </c>
      <c r="B84" s="345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0" t="str">
        <f>IF($B$5="PCs","Parcela prudencial sujeita à confirmação da área gestora. ","")&amp;(IF(MEMORIA_RESULTADOS!$B$4="Financeiro","Reajuste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atualizada.",""))))</f>
        <v/>
      </c>
    </row>
    <row r="85" spans="1:8" ht="24" x14ac:dyDescent="0.3">
      <c r="A85" s="339" t="str">
        <f>IF($B$5="PCs","Saldo remanescente final atualizado","(+) Remanescente atualizado")</f>
        <v>(+) Remanescente atualizado</v>
      </c>
      <c r="B85" s="345" t="str">
        <f ca="1">IF($B$5="PCs",IF(MEMORIA_RESULTADOS!$T$25="CALCULO MANUAL REQUERIDO","",IF(MEMORIA_RESULTADOS!$W$49=1,SUM(INDIRECT("CICLO_EM_EXECUCAO!G13:G211")),MEMORIA_RESULTADOS!$T$23)),IF(MEMORIA_RESULTADOS!$D$35="","",MEMORIA_RESULTADOS!$D$35))</f>
        <v/>
      </c>
      <c r="C85" s="340" t="str">
        <f>IF($B$5="PCs","Parcela final utilizada no VTA; não somar os saldos históricos.","Saldo que ainda falta executar, já atualizado.")</f>
        <v>Saldo que ainda falta executar, já atualizado.</v>
      </c>
    </row>
    <row r="86" spans="1:8" ht="144.5" customHeight="1" x14ac:dyDescent="0.35">
      <c r="A86" s="342" t="str">
        <f>IF($B$5="PCs","VALOR TOTAL ATUALIZADO DO CONTRATO","(=) VTA Oficial")</f>
        <v>(=) VTA Oficial</v>
      </c>
      <c r="B86" s="347" t="str">
        <f>IF(VTA_FINAL="","",VTA_FINAL)</f>
        <v/>
      </c>
      <c r="C86" s="341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4" t="s">
        <v>507</v>
      </c>
      <c r="B87" s="348" t="str">
        <f ca="1">IF(OR($B$83="",$B$85="",$B$86=""),"",ROUND($B$86-($B$83+N($B$84)+$B$85),2))</f>
        <v/>
      </c>
      <c r="C87" s="343" t="str">
        <f ca="1"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1">
    <mergeCell ref="A79:H79"/>
    <mergeCell ref="A80:H80"/>
    <mergeCell ref="A81:H81"/>
    <mergeCell ref="C66:H66"/>
    <mergeCell ref="A68:H68"/>
    <mergeCell ref="C67:H67"/>
    <mergeCell ref="A69:H69"/>
    <mergeCell ref="A71:H71"/>
    <mergeCell ref="C61:H61"/>
    <mergeCell ref="C62:H62"/>
    <mergeCell ref="C63:H63"/>
    <mergeCell ref="C64:H64"/>
    <mergeCell ref="C65:H65"/>
    <mergeCell ref="C56:H56"/>
    <mergeCell ref="C57:H57"/>
    <mergeCell ref="C58:H58"/>
    <mergeCell ref="C59:H59"/>
    <mergeCell ref="C60:H60"/>
    <mergeCell ref="A9:H9"/>
    <mergeCell ref="F10:G10"/>
    <mergeCell ref="A53:H53"/>
    <mergeCell ref="C54:H54"/>
    <mergeCell ref="C55:H55"/>
    <mergeCell ref="F13:G13"/>
    <mergeCell ref="C12:E12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A1:F1"/>
    <mergeCell ref="G1:H1"/>
    <mergeCell ref="A2:F2"/>
    <mergeCell ref="G2:H2"/>
    <mergeCell ref="B7:H7"/>
    <mergeCell ref="G3:H3"/>
    <mergeCell ref="D5:E5"/>
    <mergeCell ref="C37:D37"/>
    <mergeCell ref="C38:D38"/>
    <mergeCell ref="C34:D34"/>
    <mergeCell ref="E34:H34"/>
    <mergeCell ref="E35:H38"/>
    <mergeCell ref="E22:F22"/>
    <mergeCell ref="G22:H22"/>
    <mergeCell ref="E16:H16"/>
    <mergeCell ref="E21:H21"/>
    <mergeCell ref="C36:D36"/>
  </mergeCells>
  <conditionalFormatting sqref="A61:B61">
    <cfRule type="expression" dxfId="69" priority="60" stopIfTrue="1">
      <formula>$B$61&lt;&gt;""</formula>
    </cfRule>
  </conditionalFormatting>
  <conditionalFormatting sqref="A8:C8">
    <cfRule type="expression" dxfId="68" priority="58" stopIfTrue="1">
      <formula>$C$8&lt;&gt;""</formula>
    </cfRule>
  </conditionalFormatting>
  <conditionalFormatting sqref="A84:C84">
    <cfRule type="expression" dxfId="67" priority="56" stopIfTrue="1">
      <formula>(METODO_RETROATIVO="PCs")*(N(RETROATIVO_POTENCIAL_APURADO)&lt;&gt;0)</formula>
    </cfRule>
  </conditionalFormatting>
  <conditionalFormatting sqref="A7:H7">
    <cfRule type="expression" dxfId="65" priority="53" stopIfTrue="1">
      <formula>$J$5=0</formula>
    </cfRule>
    <cfRule type="expression" dxfId="64" priority="54" stopIfTrue="1">
      <formula>$J$5&gt;0</formula>
    </cfRule>
  </conditionalFormatting>
  <conditionalFormatting sqref="B38">
    <cfRule type="cellIs" dxfId="63" priority="28" stopIfTrue="1" operator="lessThan">
      <formula>0</formula>
    </cfRule>
  </conditionalFormatting>
  <conditionalFormatting sqref="C4">
    <cfRule type="cellIs" dxfId="62" priority="44" stopIfTrue="1" operator="equal">
      <formula>"REVISE"</formula>
    </cfRule>
    <cfRule type="cellIs" dxfId="61" priority="46" stopIfTrue="1" operator="equal">
      <formula>"VALIDADO"</formula>
    </cfRule>
    <cfRule type="cellIs" dxfId="60" priority="45" stopIfTrue="1" operator="equal">
      <formula>"ESTIMADO"</formula>
    </cfRule>
  </conditionalFormatting>
  <conditionalFormatting sqref="C86">
    <cfRule type="expression" dxfId="59" priority="57" stopIfTrue="1">
      <formula>(METODO_RETROATIVO="PCs")*(N(RETROATIVO_POTENCIAL_APURADO)&lt;&gt;0)</formula>
    </cfRule>
  </conditionalFormatting>
  <conditionalFormatting sqref="D4:D5 D6:E6">
    <cfRule type="expression" dxfId="58" priority="40" stopIfTrue="1">
      <formula>$H$14="VALIDADO"</formula>
    </cfRule>
  </conditionalFormatting>
  <conditionalFormatting sqref="D8:E8">
    <cfRule type="expression" dxfId="57" priority="59" stopIfTrue="1">
      <formula>$E$8&lt;&gt;""</formula>
    </cfRule>
  </conditionalFormatting>
  <conditionalFormatting sqref="E4">
    <cfRule type="cellIs" dxfId="56" priority="49" stopIfTrue="1" operator="equal">
      <formula>"VALIDADO"</formula>
    </cfRule>
    <cfRule type="cellIs" dxfId="55" priority="48" stopIfTrue="1" operator="equal">
      <formula>"ESTIMADO"</formula>
    </cfRule>
    <cfRule type="cellIs" dxfId="54" priority="47" stopIfTrue="1" operator="equal">
      <formula>"REVISE"</formula>
    </cfRule>
  </conditionalFormatting>
  <conditionalFormatting sqref="E22:H22">
    <cfRule type="expression" dxfId="53" priority="55" stopIfTrue="1">
      <formula>$G$22&lt;&gt;""</formula>
    </cfRule>
  </conditionalFormatting>
  <conditionalFormatting sqref="F4:G4 F5:H6">
    <cfRule type="expression" dxfId="52" priority="41" stopIfTrue="1">
      <formula>$H$33="VALIDADO"</formula>
    </cfRule>
    <cfRule type="expression" dxfId="51" priority="42" stopIfTrue="1">
      <formula>$H$33="REVISE"</formula>
    </cfRule>
    <cfRule type="expression" dxfId="50" priority="43" stopIfTrue="1">
      <formula>$H$33="ESTIMADO"</formula>
    </cfRule>
  </conditionalFormatting>
  <conditionalFormatting sqref="G1">
    <cfRule type="cellIs" dxfId="49" priority="31" stopIfTrue="1" operator="equal">
      <formula>"REVISE"</formula>
    </cfRule>
    <cfRule type="cellIs" dxfId="48" priority="32" stopIfTrue="1" operator="equal">
      <formula>"ESTIMADO"</formula>
    </cfRule>
    <cfRule type="cellIs" dxfId="47" priority="33" stopIfTrue="1" operator="equal">
      <formula>"VALIDADO"</formula>
    </cfRule>
  </conditionalFormatting>
  <conditionalFormatting sqref="H4">
    <cfRule type="cellIs" dxfId="46" priority="51" stopIfTrue="1" operator="equal">
      <formula>"ESTIMADO"</formula>
    </cfRule>
    <cfRule type="cellIs" dxfId="45" priority="50" stopIfTrue="1" operator="equal">
      <formula>"REVISE"</formula>
    </cfRule>
    <cfRule type="cellIs" dxfId="44" priority="52" stopIfTrue="1" operator="equal">
      <formula>"VALIDADO"</formula>
    </cfRule>
  </conditionalFormatting>
  <conditionalFormatting sqref="H17:H20">
    <cfRule type="expression" dxfId="43" priority="61" stopIfTrue="1">
      <formula>$H17&lt;&gt;""</formula>
    </cfRule>
  </conditionalFormatting>
  <conditionalFormatting sqref="H24">
    <cfRule type="cellIs" dxfId="42" priority="12" stopIfTrue="1" operator="equal">
      <formula>"VALIDADO"</formula>
    </cfRule>
    <cfRule type="cellIs" dxfId="41" priority="11" stopIfTrue="1" operator="equal">
      <formula>"ESTIMADO"</formula>
    </cfRule>
    <cfRule type="cellIs" dxfId="40" priority="10" stopIfTrue="1" operator="equal">
      <formula>"REVISE"</formula>
    </cfRule>
  </conditionalFormatting>
  <conditionalFormatting sqref="H33">
    <cfRule type="cellIs" dxfId="39" priority="15" stopIfTrue="1" operator="equal">
      <formula>"VALIDADO"</formula>
    </cfRule>
    <cfRule type="cellIs" dxfId="38" priority="14" stopIfTrue="1" operator="equal">
      <formula>"ESTIMADO"</formula>
    </cfRule>
    <cfRule type="cellIs" dxfId="37" priority="13" stopIfTrue="1" operator="equal">
      <formula>"REVISE"</formula>
    </cfRule>
  </conditionalFormatting>
  <conditionalFormatting sqref="H43:H50">
    <cfRule type="cellIs" dxfId="36" priority="30" stopIfTrue="1" operator="equal">
      <formula>"VALIDADO"</formula>
    </cfRule>
    <cfRule type="cellIs" dxfId="35" priority="29" stopIfTrue="1" operator="equal">
      <formula>"REVISE"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939B-AFFC-42AA-89F9-22CBF974AF28}">
  <sheetPr>
    <tabColor rgb="FF8A1538"/>
    <pageSetUpPr fitToPage="1"/>
  </sheetPr>
  <dimension ref="B1:G73"/>
  <sheetViews>
    <sheetView showGridLines="0" zoomScaleNormal="100" workbookViewId="0">
      <selection activeCell="B9" sqref="B9"/>
    </sheetView>
  </sheetViews>
  <sheetFormatPr defaultRowHeight="13" x14ac:dyDescent="0.35"/>
  <cols>
    <col min="1" max="1" width="2.6328125" style="396" customWidth="1"/>
    <col min="2" max="2" width="34.6328125" style="396" customWidth="1"/>
    <col min="3" max="6" width="26.6328125" style="396" customWidth="1"/>
    <col min="7" max="7" width="38.6328125" style="396" customWidth="1"/>
    <col min="8" max="8" width="2.6328125" style="396" customWidth="1"/>
    <col min="9" max="16384" width="8.7265625" style="396"/>
  </cols>
  <sheetData>
    <row r="1" spans="2:7" ht="6" customHeight="1" x14ac:dyDescent="0.35"/>
    <row r="2" spans="2:7" ht="30" customHeight="1" x14ac:dyDescent="0.35">
      <c r="B2" s="398" t="s">
        <v>697</v>
      </c>
      <c r="C2" s="397"/>
      <c r="D2" s="397"/>
      <c r="E2" s="397"/>
      <c r="F2" s="397"/>
      <c r="G2" s="397"/>
    </row>
    <row r="3" spans="2:7" ht="18" customHeight="1" x14ac:dyDescent="0.35">
      <c r="B3" s="399" t="s">
        <v>741</v>
      </c>
      <c r="C3" s="397"/>
      <c r="D3" s="397"/>
      <c r="E3" s="397"/>
      <c r="F3" s="397"/>
      <c r="G3" s="397"/>
    </row>
    <row r="4" spans="2:7" ht="8" customHeight="1" x14ac:dyDescent="0.35"/>
    <row r="5" spans="2:7" ht="16" customHeight="1" x14ac:dyDescent="0.3">
      <c r="B5" s="404" t="s">
        <v>698</v>
      </c>
      <c r="C5" s="400" t="s">
        <v>699</v>
      </c>
      <c r="D5" s="400" t="s">
        <v>700</v>
      </c>
      <c r="E5" s="400" t="s">
        <v>701</v>
      </c>
      <c r="F5" s="400" t="s">
        <v>702</v>
      </c>
      <c r="G5" s="406" t="s">
        <v>703</v>
      </c>
    </row>
    <row r="6" spans="2:7" ht="22" customHeight="1" x14ac:dyDescent="0.35">
      <c r="B6" s="405" t="str">
        <f>IF(METODO_RETROATIVO="Financeiro",MEMORIA_RESULTADOS!$AG$3,IF(METODO_RETROATIVO="PCs",MEMORIA_RESULTADOS!$AG$4,IF(METODO_RETROATIVO="Itens",MEMORIA_RESULTADOS!$AG$5,MEMORIA_RESULTADOS!$AG$6)))</f>
        <v>Método não selecionado</v>
      </c>
      <c r="C6" s="401" t="str">
        <f>IF(CONTROLE!$B$2="",MEMORIA_RESULTADOS!$AG$2,UPPER(CONTROLE!$B$2))</f>
        <v>—</v>
      </c>
      <c r="D6" s="402" t="str">
        <f>IF(ISNUMBER(CONTROLE!$B$3),CONTROLE!$B$3,MEMORIA_RESULTADOS!$AG$2)</f>
        <v>—</v>
      </c>
      <c r="E6" s="401" t="str">
        <f>IF(CONTROLE!$B$7="",MEMORIA_RESULTADOS!$AG$2,CONTROLE!$B$7)</f>
        <v>—</v>
      </c>
      <c r="F6" s="403" t="str">
        <f>IF(ISNUMBER(RESULTADOS_DETALHE!$D$6),RESULTADOS_DETALHE!$D$6,MEMORIA_RESULTADOS!$AG$2)</f>
        <v>—</v>
      </c>
      <c r="G6" s="407" t="str">
        <f ca="1">IF(STATUS_RESULTADOS="",MEMORIA_RESULTADOS!$AG$2,STATUS_RESULTADOS)</f>
        <v>REVISE</v>
      </c>
    </row>
    <row r="7" spans="2:7" ht="10" customHeight="1" thickBot="1" x14ac:dyDescent="0.4"/>
    <row r="8" spans="2:7" ht="18" customHeight="1" thickTop="1" x14ac:dyDescent="0.35">
      <c r="B8" s="408" t="s">
        <v>704</v>
      </c>
      <c r="C8" s="410" t="s">
        <v>473</v>
      </c>
      <c r="D8" s="412" t="s">
        <v>474</v>
      </c>
      <c r="E8" s="414" t="s">
        <v>705</v>
      </c>
      <c r="F8" s="416" t="s">
        <v>702</v>
      </c>
      <c r="G8" s="418" t="s">
        <v>706</v>
      </c>
    </row>
    <row r="9" spans="2:7" ht="32" customHeight="1" x14ac:dyDescent="0.35">
      <c r="B9" s="420" t="str">
        <f>IF(ISNUMBER(VTA_FINAL),VTA_FINAL,MEMORIA_RESULTADOS!$AG$2)</f>
        <v>—</v>
      </c>
      <c r="C9" s="421" t="str">
        <f>IF(ISNUMBER(RESULTADOS_DETALHE!$D$22),RESULTADOS_DETALHE!$D$22,MEMORIA_RESULTADOS!$AG$2)</f>
        <v>—</v>
      </c>
      <c r="D9" s="422" t="str">
        <f>IF(NOT(METODO_RETROATIVO="PCs"),MEMORIA_RESULTADOS!$AG$2,IF(ISNUMBER(RETROATIVO_POTENCIAL_VTA),RETROATIVO_POTENCIAL_VTA,MEMORIA_RESULTADOS!$AG$2))</f>
        <v>—</v>
      </c>
      <c r="E9" s="423" t="str">
        <f ca="1">IF(ISNUMBER(SALDO_REMANESCENTE_ATUAL),SALDO_REMANESCENTE_ATUAL,MEMORIA_RESULTADOS!$AG$2)</f>
        <v>—</v>
      </c>
      <c r="F9" s="424" t="str">
        <f>F6</f>
        <v>—</v>
      </c>
      <c r="G9" s="425" t="str">
        <f ca="1">RESULTADOS_DETALHE!$A$7</f>
        <v>PENDÊNCIAS PARA CONCLUSÃO:</v>
      </c>
    </row>
    <row r="10" spans="2:7" ht="44" customHeight="1" x14ac:dyDescent="0.35">
      <c r="B10" s="409" t="str">
        <f>IF(AND(METODO_RETROATIVO="PCs",N(RETROATIVO_POTENCIAL_VTA)&lt;&gt;0),MEMORIA_RESULTADOS!$AG$8,MEMORIA_RESULTADOS!$AG$7)</f>
        <v>Valor Total Atualizado do contrato pelo método selecionado.</v>
      </c>
      <c r="C10" s="411" t="str">
        <f>MEMORIA_RESULTADOS!$AG$9</f>
        <v>Diferença reconhecida a pagar à contratada.</v>
      </c>
      <c r="D10" s="413" t="str">
        <f>IF(METODO_RETROATIVO="PCs",MEMORIA_RESULTADOS!$AG$10,MEMORIA_RESULTADOS!$AG$11)</f>
        <v>Não se aplica ao método selecionado.</v>
      </c>
      <c r="E10" s="415" t="str">
        <f>MEMORIA_RESULTADOS!$AG$12</f>
        <v>Saldo atualizado que ainda falta executar.</v>
      </c>
      <c r="F10" s="417" t="str">
        <f>IF(ISNUMBER(F9),MEMORIA_RESULTADOS!$AG$13,MEMORIA_RESULTADOS!$AG$14)</f>
        <v>Aguardando percentuais completos dos ciclos.</v>
      </c>
      <c r="G10" s="419" t="str">
        <f ca="1">RESULTADOS_DETALHE!$B$7</f>
        <v xml:space="preserve">Informar / concluir: composição do VTA; retroativo por ciclo; remanescente por ciclo; situação do ciclo atual; </v>
      </c>
    </row>
    <row r="11" spans="2:7" ht="12" customHeight="1" x14ac:dyDescent="0.35"/>
    <row r="12" spans="2:7" ht="24" customHeight="1" x14ac:dyDescent="0.35">
      <c r="B12" s="426" t="s">
        <v>707</v>
      </c>
      <c r="C12" s="427"/>
      <c r="D12" s="427"/>
      <c r="E12" s="427"/>
      <c r="F12" s="427"/>
      <c r="G12" s="427"/>
    </row>
    <row r="13" spans="2:7" ht="22" customHeight="1" x14ac:dyDescent="0.35">
      <c r="B13" s="468" t="s">
        <v>465</v>
      </c>
      <c r="C13" s="469" t="s">
        <v>427</v>
      </c>
      <c r="D13" s="598" t="s">
        <v>298</v>
      </c>
      <c r="E13" s="598"/>
      <c r="F13" s="598"/>
      <c r="G13" s="598"/>
    </row>
    <row r="14" spans="2:7" ht="30" customHeight="1" x14ac:dyDescent="0.35">
      <c r="B14" s="428" t="str">
        <f>RESULTADOS_DETALHE!$A$83</f>
        <v>Executado apurado</v>
      </c>
      <c r="C14" s="432" t="str">
        <f>IF(RESULTADOS_DETALHE!$B$83="",MEMORIA_RESULTADOS!$AG$2,RESULTADOS_DETALHE!$B$83)</f>
        <v>—</v>
      </c>
      <c r="D14" s="602" t="str">
        <f>IF(METODO_RETROATIVO="PCs",MEMORIA_RESULTADOS!$AG$24,IF(METODO_RETROATIVO="Itens",MEMORIA_RESULTADOS!$AG$26,MEMORIA_RESULTADOS!$AG$25))</f>
        <v>Valores efetivamente pagos, conforme a aba financeiro.</v>
      </c>
      <c r="E14" s="602"/>
      <c r="F14" s="602"/>
      <c r="G14" s="602"/>
    </row>
    <row r="15" spans="2:7" ht="30" customHeight="1" x14ac:dyDescent="0.35">
      <c r="B15" s="429" t="str">
        <f>RESULTADOS_DETALHE!$A$84</f>
        <v>(+) Ajustes ainda devidos</v>
      </c>
      <c r="C15" s="433" t="str">
        <f>IF(RESULTADOS_DETALHE!$B$84="",MEMORIA_RESULTADOS!$AG$2,RESULTADOS_DETALHE!$B$84)</f>
        <v>—</v>
      </c>
      <c r="D15" s="597" t="str">
        <f>IF(METODO_RETROATIVO="PCs",MEMORIA_RESULTADOS!$AG$27,IF(METODO_RETROATIVO="Itens",MEMORIA_RESULTADOS!$AG$29,MEMORIA_RESULTADOS!$AG$28))</f>
        <v>Reajuste já reconhecido e ainda não contido no valor pago.</v>
      </c>
      <c r="E15" s="597"/>
      <c r="F15" s="597"/>
      <c r="G15" s="597"/>
    </row>
    <row r="16" spans="2:7" ht="30" customHeight="1" thickBot="1" x14ac:dyDescent="0.4">
      <c r="B16" s="429" t="str">
        <f>RESULTADOS_DETALHE!$A$85</f>
        <v>(+) Remanescente atualizado</v>
      </c>
      <c r="C16" s="433" t="str">
        <f ca="1">IF(RESULTADOS_DETALHE!$B$85="",MEMORIA_RESULTADOS!$AG$2,RESULTADOS_DETALHE!$B$85)</f>
        <v>—</v>
      </c>
      <c r="D16" s="603" t="str">
        <f>IF(METODO_RETROATIVO="PCs",MEMORIA_RESULTADOS!$AG$30,MEMORIA_RESULTADOS!$AG$31)</f>
        <v>Saldo que ainda falta executar, já atualizado.</v>
      </c>
      <c r="E16" s="603"/>
      <c r="F16" s="603"/>
      <c r="G16" s="603"/>
    </row>
    <row r="17" spans="2:7" ht="30" customHeight="1" x14ac:dyDescent="0.35">
      <c r="B17" s="435" t="str">
        <f>RESULTADOS_DETALHE!$A$86</f>
        <v>(=) VTA Oficial</v>
      </c>
      <c r="C17" s="436" t="str">
        <f>IF(RESULTADOS_DETALHE!$B$86="",MEMORIA_RESULTADOS!$AG$2,RESULTADOS_DETALHE!$B$86)</f>
        <v>—</v>
      </c>
      <c r="D17" s="604" t="str">
        <f>MEMORIA_RESULTADOS!$AG$32</f>
        <v>Resultado final do método de apuração selecionado.</v>
      </c>
      <c r="E17" s="604"/>
      <c r="F17" s="604"/>
      <c r="G17" s="604"/>
    </row>
    <row r="18" spans="2:7" ht="30" customHeight="1" x14ac:dyDescent="0.35">
      <c r="B18" s="470" t="str">
        <f>MEMORIA_RESULTADOS!$AG$33</f>
        <v>VTA sem a parcela potencial (referência)</v>
      </c>
      <c r="C18" s="471" t="str">
        <f>IF(NOT(METODO_RETROATIVO="PCs"),MEMORIA_RESULTADOS!$AG$2,IF(ISNUMBER(VTA_SEM_POTENCIAL),VTA_SEM_POTENCIAL,MEMORIA_RESULTADOS!$AG$2))</f>
        <v>—</v>
      </c>
      <c r="D18" s="601" t="str">
        <f>IF(METODO_RETROATIVO="PCs",MEMORIA_RESULTADOS!$AG$34,MEMORIA_RESULTADOS!$AG$40)</f>
        <v>Não se aplica ao método selecionado.</v>
      </c>
      <c r="E18" s="601"/>
      <c r="F18" s="601"/>
      <c r="G18" s="601"/>
    </row>
    <row r="19" spans="2:7" ht="30" customHeight="1" x14ac:dyDescent="0.35">
      <c r="B19" s="430" t="str">
        <f>MEMORIA_RESULTADOS!$AG$35</f>
        <v>Parcela potencial negativa apurada</v>
      </c>
      <c r="C19" s="433" t="str">
        <f>IF(NOT(METODO_RETROATIVO="PCs"),MEMORIA_RESULTADOS!$AG$2,IF(N(RETROATIVO_POTENCIAL_NEGATIVO)&lt;0,RETROATIVO_POTENCIAL_NEGATIVO,0))</f>
        <v>—</v>
      </c>
      <c r="D19" s="597" t="str">
        <f>IF(NOT(METODO_RETROATIVO="PCs"),MEMORIA_RESULTADOS!$AG$40,IF(N(RETROATIVO_POTENCIAL_NEGATIVO)&lt;0,MEMORIA_RESULTADOS!$AG$36,MEMORIA_RESULTADOS!$AG$37))</f>
        <v>Não se aplica ao método selecionado.</v>
      </c>
      <c r="E19" s="597"/>
      <c r="F19" s="597"/>
      <c r="G19" s="597"/>
    </row>
    <row r="20" spans="2:7" ht="30" customHeight="1" x14ac:dyDescent="0.35">
      <c r="B20" s="431" t="str">
        <f>MEMORIA_RESULTADOS!$AG$38</f>
        <v>Conferência da formação (deve ser R$ 0,00)</v>
      </c>
      <c r="C20" s="434" t="str">
        <f ca="1">IF(CONFERENCIA_FORMACAO_VTA="",MEMORIA_RESULTADOS!$AG$2,CONFERENCIA_FORMACAO_VTA)</f>
        <v>—</v>
      </c>
      <c r="D20" s="597" t="str">
        <f ca="1">IF(RESULTADOS_DETALHE!$C$87="",MEMORIA_RESULTADOS!$AG$39,RESULTADOS_DETALHE!$C$87)</f>
        <v>Aguardando base para conferir.</v>
      </c>
      <c r="E20" s="597"/>
      <c r="F20" s="597"/>
      <c r="G20" s="597"/>
    </row>
    <row r="21" spans="2:7" ht="12" customHeight="1" x14ac:dyDescent="0.35"/>
    <row r="22" spans="2:7" ht="24" customHeight="1" x14ac:dyDescent="0.35">
      <c r="B22" s="426" t="s">
        <v>708</v>
      </c>
      <c r="C22" s="427"/>
      <c r="D22" s="427"/>
      <c r="E22" s="427"/>
      <c r="F22" s="427"/>
      <c r="G22" s="427"/>
    </row>
    <row r="23" spans="2:7" ht="22" customHeight="1" x14ac:dyDescent="0.35">
      <c r="B23" s="468" t="s">
        <v>709</v>
      </c>
      <c r="C23" s="472" t="s">
        <v>441</v>
      </c>
      <c r="D23" s="598" t="s">
        <v>710</v>
      </c>
      <c r="E23" s="598"/>
      <c r="F23" s="598"/>
      <c r="G23" s="598"/>
    </row>
    <row r="24" spans="2:7" ht="30" customHeight="1" x14ac:dyDescent="0.35">
      <c r="B24" s="437" t="s">
        <v>711</v>
      </c>
      <c r="C24" s="438" t="str">
        <f>IF(RESULTADOS_DETALHE!$H$8="",MEMORIA_RESULTADOS!$AG$2,RESULTADOS_DETALHE!$H$8)</f>
        <v>REVISE</v>
      </c>
      <c r="D24" s="599" t="s">
        <v>712</v>
      </c>
      <c r="E24" s="599"/>
      <c r="F24" s="599"/>
      <c r="G24" s="599"/>
    </row>
    <row r="25" spans="2:7" ht="30" customHeight="1" x14ac:dyDescent="0.35">
      <c r="B25" s="430" t="s">
        <v>713</v>
      </c>
      <c r="C25" s="439" t="str">
        <f>IF(RESULTADOS_DETALHE!$H$14="",MEMORIA_RESULTADOS!$AG$2,RESULTADOS_DETALHE!$H$14)</f>
        <v>REVISE</v>
      </c>
      <c r="D25" s="600" t="s">
        <v>714</v>
      </c>
      <c r="E25" s="600"/>
      <c r="F25" s="600"/>
      <c r="G25" s="600"/>
    </row>
    <row r="26" spans="2:7" ht="30" customHeight="1" x14ac:dyDescent="0.35">
      <c r="B26" s="430" t="s">
        <v>715</v>
      </c>
      <c r="C26" s="439" t="str">
        <f>IF(RESULTADOS_DETALHE!$H$24="",MEMORIA_RESULTADOS!$AG$2,RESULTADOS_DETALHE!$H$24)</f>
        <v>REVISE</v>
      </c>
      <c r="D26" s="600" t="s">
        <v>716</v>
      </c>
      <c r="E26" s="600"/>
      <c r="F26" s="600"/>
      <c r="G26" s="600"/>
    </row>
    <row r="27" spans="2:7" ht="30" customHeight="1" x14ac:dyDescent="0.35">
      <c r="B27" s="430" t="s">
        <v>430</v>
      </c>
      <c r="C27" s="439" t="str">
        <f ca="1">IF(RESULTADOS_DETALHE!$H$33="",MEMORIA_RESULTADOS!$AG$2,RESULTADOS_DETALHE!$H$33)</f>
        <v>REVISE</v>
      </c>
      <c r="D27" s="600" t="s">
        <v>717</v>
      </c>
      <c r="E27" s="600"/>
      <c r="F27" s="600"/>
      <c r="G27" s="600"/>
    </row>
    <row r="28" spans="2:7" ht="30" customHeight="1" x14ac:dyDescent="0.35">
      <c r="B28" s="430" t="s">
        <v>718</v>
      </c>
      <c r="C28" s="441" t="str">
        <f ca="1">IF(ISNUMBER(RESULTADOS_DETALHE!$B$35),RESULTADOS_DETALHE!$B$35,MEMORIA_RESULTADOS!$AG$2)</f>
        <v>—</v>
      </c>
      <c r="D28" s="600" t="s">
        <v>719</v>
      </c>
      <c r="E28" s="600"/>
      <c r="F28" s="600"/>
      <c r="G28" s="600"/>
    </row>
    <row r="29" spans="2:7" ht="30" customHeight="1" x14ac:dyDescent="0.35">
      <c r="B29" s="430" t="s">
        <v>720</v>
      </c>
      <c r="C29" s="439" t="str">
        <f ca="1">IF(RESULTADOS_DETALHE!$H$13="",MEMORIA_RESULTADOS!$AG$2,RESULTADOS_DETALHE!$H$13)</f>
        <v>POSICAO ATUAL NAO INFORMADA</v>
      </c>
      <c r="D29" s="600" t="s">
        <v>721</v>
      </c>
      <c r="E29" s="600"/>
      <c r="F29" s="600"/>
      <c r="G29" s="600"/>
    </row>
    <row r="30" spans="2:7" ht="30" customHeight="1" x14ac:dyDescent="0.35">
      <c r="B30" s="430" t="s">
        <v>722</v>
      </c>
      <c r="C30" s="442" t="str">
        <f ca="1">IF(RESULTADOS_DETALHE!$B$13="",MEMORIA_RESULTADOS!$AG$2,RESULTADOS_DETALHE!$B$13)</f>
        <v>—</v>
      </c>
      <c r="D30" s="600" t="s">
        <v>723</v>
      </c>
      <c r="E30" s="600"/>
      <c r="F30" s="600"/>
      <c r="G30" s="600"/>
    </row>
    <row r="31" spans="2:7" ht="30" customHeight="1" x14ac:dyDescent="0.35">
      <c r="B31" s="431" t="s">
        <v>724</v>
      </c>
      <c r="C31" s="440" t="str">
        <f>IF(COUNTA(RESULTADOS_DETALHE!$C$43:$G$50)=0,MEMORIA_RESULTADOS!$AG$17,IF(COUNTIF(RESULTADOS_DETALHE!$H$43:$H$50,"REVISE")&gt;0,"REVISE","VALIDADO"))</f>
        <v>SEM AJUSTES</v>
      </c>
      <c r="D31" s="606" t="s">
        <v>740</v>
      </c>
      <c r="E31" s="605"/>
      <c r="F31" s="605"/>
      <c r="G31" s="605"/>
    </row>
    <row r="32" spans="2:7" ht="12" customHeight="1" x14ac:dyDescent="0.35"/>
    <row r="33" spans="2:7" ht="24" customHeight="1" x14ac:dyDescent="0.35">
      <c r="B33" s="426" t="s">
        <v>725</v>
      </c>
      <c r="C33" s="427"/>
      <c r="D33" s="427"/>
      <c r="E33" s="427"/>
      <c r="F33" s="427"/>
      <c r="G33" s="427"/>
    </row>
    <row r="34" spans="2:7" ht="22" customHeight="1" x14ac:dyDescent="0.35">
      <c r="B34" s="468" t="s">
        <v>291</v>
      </c>
      <c r="C34" s="472" t="s">
        <v>726</v>
      </c>
      <c r="D34" s="472" t="s">
        <v>727</v>
      </c>
      <c r="E34" s="472" t="s">
        <v>728</v>
      </c>
      <c r="F34" s="472" t="s">
        <v>729</v>
      </c>
      <c r="G34" s="469" t="s">
        <v>441</v>
      </c>
    </row>
    <row r="35" spans="2:7" ht="30" customHeight="1" x14ac:dyDescent="0.35">
      <c r="B35" s="443" t="str">
        <f>"C0"&amp;IF(UPPER(CONTROLE!$B$2)="C0"," (vigente)","")</f>
        <v>C0</v>
      </c>
      <c r="C35" s="446" t="str">
        <f>IF(ISNUMBER(parametros!$C$2),parametros!$C$2,MEMORIA_RESULTADOS!$AG$2)</f>
        <v>—</v>
      </c>
      <c r="D35" s="446" t="str">
        <f>IF(ISNUMBER(parametros!$D$2),parametros!$D$2,MEMORIA_RESULTADOS!$AG$2)</f>
        <v>—</v>
      </c>
      <c r="E35" s="447" t="str">
        <f>IF(ISNUMBER(parametros!$E$2),parametros!$E$2,MEMORIA_RESULTADOS!$AG$2)</f>
        <v>—</v>
      </c>
      <c r="F35" s="446" t="str">
        <f>IF(ISNUMBER(parametros!$H$2),parametros!$H$2,IF(parametros!$H$2="",MEMORIA_RESULTADOS!$AG$2,parametros!$H$2))</f>
        <v>—</v>
      </c>
      <c r="G35" s="452" t="str">
        <f>IF(parametros!$G$2&lt;&gt;"",parametros!$G$2,IF(parametros!$A$2="Sim",MEMORIA_RESULTADOS!$AG$15,IF(ISNUMBER(parametros!$C$2),MEMORIA_RESULTADOS!$AG$16,MEMORIA_RESULTADOS!$AG$2)))</f>
        <v>—</v>
      </c>
    </row>
    <row r="36" spans="2:7" ht="30" customHeight="1" x14ac:dyDescent="0.35">
      <c r="B36" s="444" t="str">
        <f>"C1"&amp;IF(UPPER(CONTROLE!$B$2)="C1"," (vigente)","")</f>
        <v>C1</v>
      </c>
      <c r="C36" s="448" t="str">
        <f>IF(ISNUMBER(parametros!$C$3),parametros!$C$3,MEMORIA_RESULTADOS!$AG$2)</f>
        <v>—</v>
      </c>
      <c r="D36" s="448" t="str">
        <f>IF(ISNUMBER(parametros!$D$3),parametros!$D$3,MEMORIA_RESULTADOS!$AG$2)</f>
        <v>—</v>
      </c>
      <c r="E36" s="449" t="str">
        <f>IF(ISNUMBER(parametros!$E$3),parametros!$E$3,MEMORIA_RESULTADOS!$AG$2)</f>
        <v>—</v>
      </c>
      <c r="F36" s="448" t="str">
        <f>IF(ISNUMBER(parametros!$H$3),parametros!$H$3,IF(parametros!$H$3="",MEMORIA_RESULTADOS!$AG$2,parametros!$H$3))</f>
        <v>—</v>
      </c>
      <c r="G36" s="453" t="str">
        <f>IF(parametros!$G$3&lt;&gt;"",parametros!$G$3,IF(parametros!$A$3="Sim",MEMORIA_RESULTADOS!$AG$15,IF(ISNUMBER(parametros!$C$3),MEMORIA_RESULTADOS!$AG$16,MEMORIA_RESULTADOS!$AG$2)))</f>
        <v>—</v>
      </c>
    </row>
    <row r="37" spans="2:7" ht="30" customHeight="1" x14ac:dyDescent="0.35">
      <c r="B37" s="444" t="str">
        <f>"C2"&amp;IF(UPPER(CONTROLE!$B$2)="C2"," (vigente)","")</f>
        <v>C2</v>
      </c>
      <c r="C37" s="448" t="str">
        <f>IF(ISNUMBER(parametros!$C$4),parametros!$C$4,MEMORIA_RESULTADOS!$AG$2)</f>
        <v>—</v>
      </c>
      <c r="D37" s="448" t="str">
        <f>IF(ISNUMBER(parametros!$D$4),parametros!$D$4,MEMORIA_RESULTADOS!$AG$2)</f>
        <v>—</v>
      </c>
      <c r="E37" s="449" t="str">
        <f>IF(ISNUMBER(parametros!$E$4),parametros!$E$4,MEMORIA_RESULTADOS!$AG$2)</f>
        <v>—</v>
      </c>
      <c r="F37" s="448" t="str">
        <f>IF(ISNUMBER(parametros!$H$4),parametros!$H$4,IF(parametros!$H$4="",MEMORIA_RESULTADOS!$AG$2,parametros!$H$4))</f>
        <v>—</v>
      </c>
      <c r="G37" s="453" t="str">
        <f>IF(parametros!$G$4&lt;&gt;"",parametros!$G$4,IF(parametros!$A$4="Sim",MEMORIA_RESULTADOS!$AG$15,IF(ISNUMBER(parametros!$C$4),MEMORIA_RESULTADOS!$AG$16,MEMORIA_RESULTADOS!$AG$2)))</f>
        <v>—</v>
      </c>
    </row>
    <row r="38" spans="2:7" ht="30" customHeight="1" x14ac:dyDescent="0.35">
      <c r="B38" s="444" t="str">
        <f>"C3"&amp;IF(UPPER(CONTROLE!$B$2)="C3"," (vigente)","")</f>
        <v>C3</v>
      </c>
      <c r="C38" s="448" t="str">
        <f>IF(ISNUMBER(parametros!$C$5),parametros!$C$5,MEMORIA_RESULTADOS!$AG$2)</f>
        <v>—</v>
      </c>
      <c r="D38" s="448" t="str">
        <f>IF(ISNUMBER(parametros!$D$5),parametros!$D$5,MEMORIA_RESULTADOS!$AG$2)</f>
        <v>—</v>
      </c>
      <c r="E38" s="449" t="str">
        <f>IF(ISNUMBER(parametros!$E$5),parametros!$E$5,MEMORIA_RESULTADOS!$AG$2)</f>
        <v>—</v>
      </c>
      <c r="F38" s="448" t="str">
        <f>IF(ISNUMBER(parametros!$H$5),parametros!$H$5,IF(parametros!$H$5="",MEMORIA_RESULTADOS!$AG$2,parametros!$H$5))</f>
        <v>—</v>
      </c>
      <c r="G38" s="453" t="str">
        <f>IF(parametros!$G$5&lt;&gt;"",parametros!$G$5,IF(parametros!$A$5="Sim",MEMORIA_RESULTADOS!$AG$15,IF(ISNUMBER(parametros!$C$5),MEMORIA_RESULTADOS!$AG$16,MEMORIA_RESULTADOS!$AG$2)))</f>
        <v>—</v>
      </c>
    </row>
    <row r="39" spans="2:7" ht="30" customHeight="1" x14ac:dyDescent="0.35">
      <c r="B39" s="445" t="str">
        <f>"C4"&amp;IF(UPPER(CONTROLE!$B$2)="C4"," (vigente)","")</f>
        <v>C4</v>
      </c>
      <c r="C39" s="450" t="str">
        <f>IF(ISNUMBER(parametros!$C$6),parametros!$C$6,MEMORIA_RESULTADOS!$AG$2)</f>
        <v>—</v>
      </c>
      <c r="D39" s="450" t="str">
        <f>IF(ISNUMBER(parametros!$D$6),parametros!$D$6,MEMORIA_RESULTADOS!$AG$2)</f>
        <v>—</v>
      </c>
      <c r="E39" s="451" t="str">
        <f>IF(ISNUMBER(parametros!$E$6),parametros!$E$6,MEMORIA_RESULTADOS!$AG$2)</f>
        <v>—</v>
      </c>
      <c r="F39" s="450" t="str">
        <f>IF(ISNUMBER(parametros!$H$6),parametros!$H$6,IF(parametros!$H$6="",MEMORIA_RESULTADOS!$AG$2,parametros!$H$6))</f>
        <v>—</v>
      </c>
      <c r="G39" s="454" t="str">
        <f>IF(parametros!$G$6&lt;&gt;"",parametros!$G$6,IF(parametros!$A$6="Sim",MEMORIA_RESULTADOS!$AG$15,IF(ISNUMBER(parametros!$C$6),MEMORIA_RESULTADOS!$AG$16,MEMORIA_RESULTADOS!$AG$2)))</f>
        <v>—</v>
      </c>
    </row>
    <row r="40" spans="2:7" ht="12" customHeight="1" x14ac:dyDescent="0.35"/>
    <row r="41" spans="2:7" ht="24" customHeight="1" x14ac:dyDescent="0.35">
      <c r="B41" s="427" t="str">
        <f>RESULTADOS_DETALHE!$A$15</f>
        <v>2. EXECUÇÃO E RETROATIVO POR CICLO</v>
      </c>
      <c r="C41" s="427"/>
      <c r="D41" s="427"/>
      <c r="E41" s="427"/>
      <c r="F41" s="427"/>
      <c r="G41" s="427"/>
    </row>
    <row r="42" spans="2:7" ht="22" customHeight="1" x14ac:dyDescent="0.35">
      <c r="B42" s="468" t="s">
        <v>291</v>
      </c>
      <c r="C42" s="473" t="str">
        <f>RESULTADOS_DETALHE!$B$15</f>
        <v>Valor de referência</v>
      </c>
      <c r="D42" s="473" t="str">
        <f>RESULTADOS_DETALHE!$C$15</f>
        <v>Valor atualizado</v>
      </c>
      <c r="E42" s="473" t="str">
        <f>RESULTADOS_DETALHE!$D$15</f>
        <v>Diferença</v>
      </c>
    </row>
    <row r="43" spans="2:7" ht="20" customHeight="1" x14ac:dyDescent="0.35">
      <c r="B43" s="455" t="s">
        <v>21</v>
      </c>
      <c r="C43" s="432" t="str">
        <f>IF(RESULTADOS_DETALHE!$B$16="",MEMORIA_RESULTADOS!$AG$2,RESULTADOS_DETALHE!$B$16)</f>
        <v>—</v>
      </c>
      <c r="D43" s="432" t="str">
        <f>IF(RESULTADOS_DETALHE!$C$16="",MEMORIA_RESULTADOS!$AG$2,RESULTADOS_DETALHE!$C$16)</f>
        <v>—</v>
      </c>
      <c r="E43" s="432" t="str">
        <f>IF(RESULTADOS_DETALHE!$D$16="",MEMORIA_RESULTADOS!$AG$2,RESULTADOS_DETALHE!$D$16)</f>
        <v>—</v>
      </c>
    </row>
    <row r="44" spans="2:7" ht="20" customHeight="1" x14ac:dyDescent="0.35">
      <c r="B44" s="456" t="s">
        <v>22</v>
      </c>
      <c r="C44" s="433" t="str">
        <f>IF(RESULTADOS_DETALHE!$B$17="",MEMORIA_RESULTADOS!$AG$2,RESULTADOS_DETALHE!$B$17)</f>
        <v>—</v>
      </c>
      <c r="D44" s="433" t="str">
        <f>IF(RESULTADOS_DETALHE!$C$17="",MEMORIA_RESULTADOS!$AG$2,RESULTADOS_DETALHE!$C$17)</f>
        <v>—</v>
      </c>
      <c r="E44" s="433" t="str">
        <f>IF(RESULTADOS_DETALHE!$D$17="",MEMORIA_RESULTADOS!$AG$2,RESULTADOS_DETALHE!$D$17)</f>
        <v>—</v>
      </c>
    </row>
    <row r="45" spans="2:7" ht="20" customHeight="1" x14ac:dyDescent="0.35">
      <c r="B45" s="456" t="s">
        <v>23</v>
      </c>
      <c r="C45" s="433" t="str">
        <f>IF(RESULTADOS_DETALHE!$B$18="",MEMORIA_RESULTADOS!$AG$2,RESULTADOS_DETALHE!$B$18)</f>
        <v>—</v>
      </c>
      <c r="D45" s="433" t="str">
        <f>IF(RESULTADOS_DETALHE!$C$18="",MEMORIA_RESULTADOS!$AG$2,RESULTADOS_DETALHE!$C$18)</f>
        <v>—</v>
      </c>
      <c r="E45" s="433" t="str">
        <f>IF(RESULTADOS_DETALHE!$D$18="",MEMORIA_RESULTADOS!$AG$2,RESULTADOS_DETALHE!$D$18)</f>
        <v>—</v>
      </c>
    </row>
    <row r="46" spans="2:7" ht="20" customHeight="1" x14ac:dyDescent="0.35">
      <c r="B46" s="456" t="s">
        <v>24</v>
      </c>
      <c r="C46" s="433" t="str">
        <f>IF(RESULTADOS_DETALHE!$B$19="",MEMORIA_RESULTADOS!$AG$2,RESULTADOS_DETALHE!$B$19)</f>
        <v>—</v>
      </c>
      <c r="D46" s="433" t="str">
        <f>IF(RESULTADOS_DETALHE!$C$19="",MEMORIA_RESULTADOS!$AG$2,RESULTADOS_DETALHE!$C$19)</f>
        <v>—</v>
      </c>
      <c r="E46" s="433" t="str">
        <f>IF(RESULTADOS_DETALHE!$D$19="",MEMORIA_RESULTADOS!$AG$2,RESULTADOS_DETALHE!$D$19)</f>
        <v>—</v>
      </c>
    </row>
    <row r="47" spans="2:7" ht="20" customHeight="1" x14ac:dyDescent="0.35">
      <c r="B47" s="456" t="s">
        <v>25</v>
      </c>
      <c r="C47" s="433" t="str">
        <f>IF(RESULTADOS_DETALHE!$B$20="",MEMORIA_RESULTADOS!$AG$2,RESULTADOS_DETALHE!$B$20)</f>
        <v>—</v>
      </c>
      <c r="D47" s="433" t="str">
        <f>IF(RESULTADOS_DETALHE!$C$20="",MEMORIA_RESULTADOS!$AG$2,RESULTADOS_DETALHE!$C$20)</f>
        <v>—</v>
      </c>
      <c r="E47" s="433" t="str">
        <f>IF(RESULTADOS_DETALHE!$D$20="",MEMORIA_RESULTADOS!$AG$2,RESULTADOS_DETALHE!$D$20)</f>
        <v>—</v>
      </c>
    </row>
    <row r="48" spans="2:7" ht="20" customHeight="1" thickBot="1" x14ac:dyDescent="0.4">
      <c r="B48" s="457" t="s">
        <v>429</v>
      </c>
      <c r="C48" s="433"/>
      <c r="D48" s="433"/>
      <c r="E48" s="433" t="str">
        <f>IF(RESULTADOS_DETALHE!$D$21="",MEMORIA_RESULTADOS!$AG$2,RESULTADOS_DETALHE!$D$21)</f>
        <v>—</v>
      </c>
    </row>
    <row r="49" spans="2:7" ht="20" customHeight="1" x14ac:dyDescent="0.35">
      <c r="B49" s="458" t="s">
        <v>26</v>
      </c>
      <c r="C49" s="459" t="str">
        <f>IF(RESULTADOS_DETALHE!$B$22="",MEMORIA_RESULTADOS!$AG$2,RESULTADOS_DETALHE!$B$22)</f>
        <v>—</v>
      </c>
      <c r="D49" s="459" t="str">
        <f>IF(RESULTADOS_DETALHE!$C$22="",MEMORIA_RESULTADOS!$AG$2,RESULTADOS_DETALHE!$C$22)</f>
        <v>—</v>
      </c>
      <c r="E49" s="459" t="str">
        <f>IF(RESULTADOS_DETALHE!$D$22="",MEMORIA_RESULTADOS!$AG$2,RESULTADOS_DETALHE!$D$22)</f>
        <v>—</v>
      </c>
    </row>
    <row r="50" spans="2:7" ht="12" customHeight="1" x14ac:dyDescent="0.35"/>
    <row r="51" spans="2:7" ht="24" customHeight="1" x14ac:dyDescent="0.35">
      <c r="B51" s="426" t="s">
        <v>730</v>
      </c>
      <c r="C51" s="427"/>
      <c r="D51" s="427"/>
      <c r="E51" s="427"/>
      <c r="F51" s="427"/>
      <c r="G51" s="427"/>
    </row>
    <row r="52" spans="2:7" ht="30" customHeight="1" x14ac:dyDescent="0.35">
      <c r="B52" s="595" t="str">
        <f>IF(RESULTADOS_DETALHE!$E$15="",MEMORIA_RESULTADOS!$AG$18,RESULTADOS_DETALHE!$E$16)</f>
        <v>Não há ciclo reajustado computado nesta apuração.</v>
      </c>
      <c r="C52" s="596"/>
      <c r="D52" s="596"/>
      <c r="E52" s="596"/>
      <c r="F52" s="596"/>
      <c r="G52" s="596"/>
    </row>
    <row r="53" spans="2:7" ht="22" customHeight="1" x14ac:dyDescent="0.35">
      <c r="B53" s="462" t="str">
        <f>IF(RESULTADOS_DETALHE!$E$15="","","Ciclo")</f>
        <v/>
      </c>
      <c r="C53" s="464" t="str">
        <f>RESULTADOS_DETALHE!$F$15&amp;""</f>
        <v/>
      </c>
      <c r="D53" s="464" t="str">
        <f>RESULTADOS_DETALHE!$G$15&amp;""</f>
        <v/>
      </c>
      <c r="E53" s="464" t="str">
        <f>IF(RESULTADOS_DETALHE!$H$15&lt;&gt;"",RESULTADOS_DETALHE!$H$15,IF(RESULTADOS_DETALHE!$E$15&lt;&gt;"",MEMORIA_RESULTADOS!$T$109,""))</f>
        <v/>
      </c>
      <c r="F53" s="594" t="str">
        <f>IF(RESULTADOS_DETALHE!$E$15="","",MEMORIA_RESULTADOS!$AG$19)</f>
        <v/>
      </c>
      <c r="G53" s="594"/>
    </row>
    <row r="54" spans="2:7" ht="32" customHeight="1" x14ac:dyDescent="0.35">
      <c r="B54" s="463" t="str">
        <f>IF(RESULTADOS_DETALHE!$E$17="","","C1")</f>
        <v/>
      </c>
      <c r="C54" s="465" t="str">
        <f>IF(RESULTADOS_DETALHE!$F$17="","",RESULTADOS_DETALHE!$F$17)</f>
        <v/>
      </c>
      <c r="D54" s="465" t="str">
        <f>IF(RESULTADOS_DETALHE!$G$17="","",RESULTADOS_DETALHE!$G$17)</f>
        <v/>
      </c>
      <c r="E54" s="465" t="str">
        <f>IF(RESULTADOS_DETALHE!$H$17="","",RESULTADOS_DETALHE!$H$17)</f>
        <v/>
      </c>
      <c r="F54" s="591" t="str">
        <f>RESULTADOS_DETALHE!$E$17&amp;""</f>
        <v/>
      </c>
      <c r="G54" s="591"/>
    </row>
    <row r="55" spans="2:7" ht="32" customHeight="1" x14ac:dyDescent="0.35">
      <c r="B55" s="463" t="str">
        <f>IF(RESULTADOS_DETALHE!$E$18="","","C2")</f>
        <v/>
      </c>
      <c r="C55" s="465" t="str">
        <f>IF(RESULTADOS_DETALHE!$F$18="","",RESULTADOS_DETALHE!$F$18)</f>
        <v/>
      </c>
      <c r="D55" s="465" t="str">
        <f>IF(RESULTADOS_DETALHE!$G$18="","",RESULTADOS_DETALHE!$G$18)</f>
        <v/>
      </c>
      <c r="E55" s="465" t="str">
        <f>IF(RESULTADOS_DETALHE!$H$18="","",RESULTADOS_DETALHE!$H$18)</f>
        <v/>
      </c>
      <c r="F55" s="591" t="str">
        <f>RESULTADOS_DETALHE!$E$18&amp;""</f>
        <v/>
      </c>
      <c r="G55" s="591"/>
    </row>
    <row r="56" spans="2:7" ht="32" customHeight="1" x14ac:dyDescent="0.35">
      <c r="B56" s="463" t="str">
        <f>IF(RESULTADOS_DETALHE!$E$19="","","C3")</f>
        <v/>
      </c>
      <c r="C56" s="465" t="str">
        <f>IF(RESULTADOS_DETALHE!$F$19="","",RESULTADOS_DETALHE!$F$19)</f>
        <v/>
      </c>
      <c r="D56" s="465" t="str">
        <f>IF(RESULTADOS_DETALHE!$G$19="","",RESULTADOS_DETALHE!$G$19)</f>
        <v/>
      </c>
      <c r="E56" s="465" t="str">
        <f>IF(RESULTADOS_DETALHE!$H$19="","",RESULTADOS_DETALHE!$H$19)</f>
        <v/>
      </c>
      <c r="F56" s="591" t="str">
        <f>RESULTADOS_DETALHE!$E$19&amp;""</f>
        <v/>
      </c>
      <c r="G56" s="591"/>
    </row>
    <row r="57" spans="2:7" ht="32" customHeight="1" x14ac:dyDescent="0.35">
      <c r="B57" s="463" t="str">
        <f>IF(RESULTADOS_DETALHE!$E$20="","","C4")</f>
        <v/>
      </c>
      <c r="C57" s="465" t="str">
        <f>IF(RESULTADOS_DETALHE!$F$20="","",RESULTADOS_DETALHE!$F$20)</f>
        <v/>
      </c>
      <c r="D57" s="465" t="str">
        <f>IF(RESULTADOS_DETALHE!$G$20="","",RESULTADOS_DETALHE!$G$20)</f>
        <v/>
      </c>
      <c r="E57" s="465" t="str">
        <f>IF(RESULTADOS_DETALHE!$H$20="","",RESULTADOS_DETALHE!$H$20)</f>
        <v/>
      </c>
      <c r="F57" s="591" t="str">
        <f>RESULTADOS_DETALHE!$E$20&amp;""</f>
        <v/>
      </c>
      <c r="G57" s="591"/>
    </row>
    <row r="58" spans="2:7" ht="30" customHeight="1" x14ac:dyDescent="0.35">
      <c r="B58" s="595" t="str">
        <f>RESULTADOS_DETALHE!$E$21&amp;""</f>
        <v/>
      </c>
      <c r="C58" s="596"/>
      <c r="D58" s="596"/>
      <c r="E58" s="596"/>
      <c r="F58" s="596"/>
      <c r="G58" s="596"/>
    </row>
    <row r="59" spans="2:7" ht="8" customHeight="1" x14ac:dyDescent="0.35"/>
    <row r="60" spans="2:7" ht="30" customHeight="1" x14ac:dyDescent="0.35">
      <c r="B60" s="592" t="s">
        <v>731</v>
      </c>
      <c r="C60" s="593"/>
      <c r="D60" s="593"/>
      <c r="E60" s="593"/>
      <c r="F60" s="593"/>
      <c r="G60" s="593"/>
    </row>
    <row r="61" spans="2:7" ht="12" customHeight="1" x14ac:dyDescent="0.35"/>
    <row r="62" spans="2:7" ht="24" customHeight="1" x14ac:dyDescent="0.35">
      <c r="B62" s="466" t="str">
        <f>IF(METODO_RETROATIVO="PCs",MEMORIA_RESULTADOS!$AG$20,"")</f>
        <v/>
      </c>
    </row>
    <row r="63" spans="2:7" ht="22" customHeight="1" x14ac:dyDescent="0.35">
      <c r="B63" s="462" t="str">
        <f>IF(METODO_RETROATIVO="PCs",MEMORIA_RESULTADOS!$AG$21,"")</f>
        <v/>
      </c>
      <c r="C63" s="461" t="str">
        <f>IF(METODO_RETROATIVO="PCs",MEMORIA_RESULTADOS!$AG$22,"")</f>
        <v/>
      </c>
      <c r="D63" s="594" t="str">
        <f>IF(METODO_RETROATIVO="PCs",MEMORIA_RESULTADOS!$AG$23,"")</f>
        <v/>
      </c>
      <c r="E63" s="594"/>
      <c r="F63" s="594"/>
      <c r="G63" s="594"/>
    </row>
    <row r="64" spans="2:7" ht="30" customHeight="1" x14ac:dyDescent="0.35">
      <c r="B64" s="460" t="str">
        <f>IF(METODO_RETROATIVO="PCs",RESULTADOS_DETALHE!$A$55,"")</f>
        <v/>
      </c>
      <c r="C64" s="467" t="str">
        <f>IF(METODO_RETROATIVO="PCs",IF(RESULTADOS_DETALHE!$B$55="",MEMORIA_RESULTADOS!$AG$2,RESULTADOS_DETALHE!$B$55),"")</f>
        <v/>
      </c>
      <c r="D64" s="591" t="str">
        <f>IF(METODO_RETROATIVO="PCs",RESULTADOS_DETALHE!$C$55,"")</f>
        <v/>
      </c>
      <c r="E64" s="591"/>
      <c r="F64" s="591"/>
      <c r="G64" s="591"/>
    </row>
    <row r="65" spans="2:7" ht="30" customHeight="1" x14ac:dyDescent="0.35">
      <c r="B65" s="460" t="str">
        <f>IF(METODO_RETROATIVO="PCs",RESULTADOS_DETALHE!$A$56,"")</f>
        <v/>
      </c>
      <c r="C65" s="467" t="str">
        <f>IF(METODO_RETROATIVO="PCs",IF(RESULTADOS_DETALHE!$B$56="",MEMORIA_RESULTADOS!$AG$2,RESULTADOS_DETALHE!$B$56),"")</f>
        <v/>
      </c>
      <c r="D65" s="591" t="str">
        <f>IF(METODO_RETROATIVO="PCs",RESULTADOS_DETALHE!$C$56,"")</f>
        <v/>
      </c>
      <c r="E65" s="591"/>
      <c r="F65" s="591"/>
      <c r="G65" s="591"/>
    </row>
    <row r="66" spans="2:7" ht="30" customHeight="1" x14ac:dyDescent="0.35">
      <c r="B66" s="460" t="str">
        <f>IF(METODO_RETROATIVO="PCs",RESULTADOS_DETALHE!$A$57,"")</f>
        <v/>
      </c>
      <c r="C66" s="467" t="str">
        <f>IF(METODO_RETROATIVO="PCs",IF(RESULTADOS_DETALHE!$B$57="",MEMORIA_RESULTADOS!$AG$2,RESULTADOS_DETALHE!$B$57),"")</f>
        <v/>
      </c>
      <c r="D66" s="591" t="str">
        <f>IF(METODO_RETROATIVO="PCs",RESULTADOS_DETALHE!$C$57,"")</f>
        <v/>
      </c>
      <c r="E66" s="591"/>
      <c r="F66" s="591"/>
      <c r="G66" s="591"/>
    </row>
    <row r="67" spans="2:7" ht="30" customHeight="1" x14ac:dyDescent="0.35">
      <c r="B67" s="460" t="str">
        <f>IF(METODO_RETROATIVO="PCs",RESULTADOS_DETALHE!$A$58,"")</f>
        <v/>
      </c>
      <c r="C67" s="467" t="str">
        <f>IF(METODO_RETROATIVO="PCs",IF(RESULTADOS_DETALHE!$B$58="",MEMORIA_RESULTADOS!$AG$2,RESULTADOS_DETALHE!$B$58),"")</f>
        <v/>
      </c>
      <c r="D67" s="591" t="str">
        <f>IF(METODO_RETROATIVO="PCs",RESULTADOS_DETALHE!$C$58,"")</f>
        <v/>
      </c>
      <c r="E67" s="591"/>
      <c r="F67" s="591"/>
      <c r="G67" s="591"/>
    </row>
    <row r="68" spans="2:7" ht="30" customHeight="1" x14ac:dyDescent="0.35">
      <c r="B68" s="460" t="str">
        <f>IF(METODO_RETROATIVO="PCs",RESULTADOS_DETALHE!$A$59,"")</f>
        <v/>
      </c>
      <c r="C68" s="467" t="str">
        <f>IF(METODO_RETROATIVO="PCs",IF(RESULTADOS_DETALHE!$B$59="",MEMORIA_RESULTADOS!$AG$2,RESULTADOS_DETALHE!$B$59),"")</f>
        <v/>
      </c>
      <c r="D68" s="591" t="str">
        <f>IF(METODO_RETROATIVO="PCs",RESULTADOS_DETALHE!$C$59,"")</f>
        <v/>
      </c>
      <c r="E68" s="591"/>
      <c r="F68" s="591"/>
      <c r="G68" s="591"/>
    </row>
    <row r="69" spans="2:7" ht="30" customHeight="1" x14ac:dyDescent="0.35">
      <c r="B69" s="460" t="str">
        <f>IF(METODO_RETROATIVO="PCs",RESULTADOS_DETALHE!$A$60,"")</f>
        <v/>
      </c>
      <c r="C69" s="467" t="str">
        <f>IF(METODO_RETROATIVO="PCs",IF(RESULTADOS_DETALHE!$B$60="",MEMORIA_RESULTADOS!$AG$2,RESULTADOS_DETALHE!$B$60),"")</f>
        <v/>
      </c>
      <c r="D69" s="591" t="str">
        <f>IF(METODO_RETROATIVO="PCs",RESULTADOS_DETALHE!$C$60,"")</f>
        <v/>
      </c>
      <c r="E69" s="591"/>
      <c r="F69" s="591"/>
      <c r="G69" s="591"/>
    </row>
    <row r="70" spans="2:7" ht="30" customHeight="1" x14ac:dyDescent="0.35">
      <c r="B70" s="460" t="str">
        <f>IF(METODO_RETROATIVO="PCs",RESULTADOS_DETALHE!$A$61,"")</f>
        <v/>
      </c>
      <c r="C70" s="467" t="str">
        <f>IF(METODO_RETROATIVO="PCs",IF(RESULTADOS_DETALHE!$B$61="",MEMORIA_RESULTADOS!$AG$2,RESULTADOS_DETALHE!$B$61),"")</f>
        <v/>
      </c>
      <c r="D70" s="591" t="str">
        <f>IF(METODO_RETROATIVO="PCs",RESULTADOS_DETALHE!$C$61,"")</f>
        <v/>
      </c>
      <c r="E70" s="591"/>
      <c r="F70" s="591"/>
      <c r="G70" s="591"/>
    </row>
    <row r="71" spans="2:7" ht="30" customHeight="1" x14ac:dyDescent="0.35">
      <c r="B71" s="460" t="str">
        <f>IF(METODO_RETROATIVO="PCs",RESULTADOS_DETALHE!$A$62,"")</f>
        <v/>
      </c>
      <c r="C71" s="467" t="str">
        <f>IF(METODO_RETROATIVO="PCs",IF(RESULTADOS_DETALHE!$B$62="",MEMORIA_RESULTADOS!$AG$2,RESULTADOS_DETALHE!$B$62),"")</f>
        <v/>
      </c>
      <c r="D71" s="591" t="str">
        <f>IF(METODO_RETROATIVO="PCs",RESULTADOS_DETALHE!$C$62,"")</f>
        <v/>
      </c>
      <c r="E71" s="591"/>
      <c r="F71" s="591"/>
      <c r="G71" s="591"/>
    </row>
    <row r="72" spans="2:7" ht="20" customHeight="1" x14ac:dyDescent="0.35"/>
    <row r="73" spans="2:7" ht="20" customHeight="1" x14ac:dyDescent="0.35"/>
  </sheetData>
  <mergeCells count="34">
    <mergeCell ref="D18:G18"/>
    <mergeCell ref="D13:G13"/>
    <mergeCell ref="D14:G14"/>
    <mergeCell ref="D15:G15"/>
    <mergeCell ref="D16:G16"/>
    <mergeCell ref="D17:G17"/>
    <mergeCell ref="B52:G52"/>
    <mergeCell ref="D19:G19"/>
    <mergeCell ref="D20:G20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B58:G58"/>
    <mergeCell ref="F53:G53"/>
    <mergeCell ref="F54:G54"/>
    <mergeCell ref="F55:G55"/>
    <mergeCell ref="F56:G56"/>
    <mergeCell ref="F57:G57"/>
    <mergeCell ref="D69:G69"/>
    <mergeCell ref="D70:G70"/>
    <mergeCell ref="D71:G71"/>
    <mergeCell ref="B60:G60"/>
    <mergeCell ref="D63:G63"/>
    <mergeCell ref="D64:G64"/>
    <mergeCell ref="D65:G65"/>
    <mergeCell ref="D66:G66"/>
    <mergeCell ref="D67:G67"/>
    <mergeCell ref="D68:G68"/>
  </mergeCells>
  <conditionalFormatting sqref="B10">
    <cfRule type="expression" dxfId="34" priority="4">
      <formula>AND(METODO_RETROATIVO="PCs",N(RETROATIVO_POTENCIAL_VTA)&lt;&gt;0)</formula>
    </cfRule>
  </conditionalFormatting>
  <conditionalFormatting sqref="B53:F53">
    <cfRule type="expression" dxfId="33" priority="29">
      <formula>$B$53&lt;&gt;""</formula>
    </cfRule>
  </conditionalFormatting>
  <conditionalFormatting sqref="B54:F57">
    <cfRule type="expression" dxfId="32" priority="30">
      <formula>$B$53&lt;&gt;""</formula>
    </cfRule>
  </conditionalFormatting>
  <conditionalFormatting sqref="B15:G15">
    <cfRule type="expression" dxfId="31" priority="7">
      <formula>AND(METODO_RETROATIVO="PCs",N(RETROATIVO_POTENCIAL_APURADO)&lt;&gt;0)</formula>
    </cfRule>
  </conditionalFormatting>
  <conditionalFormatting sqref="B19:G19">
    <cfRule type="expression" dxfId="30" priority="8">
      <formula>AND(METODO_RETROATIVO="PCs",N(RETROATIVO_POTENCIAL_NEGATIVO)&lt;0)</formula>
    </cfRule>
  </conditionalFormatting>
  <conditionalFormatting sqref="B35:G39">
    <cfRule type="expression" dxfId="29" priority="28">
      <formula>ISNUMBER(SEARCH("vigente",$B35))</formula>
    </cfRule>
  </conditionalFormatting>
  <conditionalFormatting sqref="B62:G62">
    <cfRule type="expression" dxfId="28" priority="32">
      <formula>METODO_RETROATIVO="PCs"</formula>
    </cfRule>
  </conditionalFormatting>
  <conditionalFormatting sqref="B63:G63">
    <cfRule type="expression" dxfId="27" priority="33">
      <formula>METODO_RETROATIVO="PCs"</formula>
    </cfRule>
  </conditionalFormatting>
  <conditionalFormatting sqref="B64:G71">
    <cfRule type="expression" dxfId="26" priority="34">
      <formula>METODO_RETROATIVO="PCs"</formula>
    </cfRule>
  </conditionalFormatting>
  <conditionalFormatting sqref="B70:G70">
    <cfRule type="expression" dxfId="25" priority="35">
      <formula>AND(METODO_RETROATIVO="PCs",N(RETROATIVO_POTENCIAL_VTA)&lt;&gt;0)</formula>
    </cfRule>
  </conditionalFormatting>
  <conditionalFormatting sqref="C20">
    <cfRule type="expression" dxfId="24" priority="9">
      <formula>AND(ISNUMBER($C$20),$C$20&lt;&gt;0)</formula>
    </cfRule>
  </conditionalFormatting>
  <conditionalFormatting sqref="C24">
    <cfRule type="expression" dxfId="23" priority="10">
      <formula>OR($C$24="VALIDADO",$C$24="RECONCILIADO")</formula>
    </cfRule>
    <cfRule type="expression" dxfId="22" priority="11">
      <formula>ISNUMBER(SEARCH("ESTIMAD",$C$24))</formula>
    </cfRule>
    <cfRule type="expression" dxfId="21" priority="12">
      <formula>ISNUMBER(SEARCH("REVISE",$C$24))</formula>
    </cfRule>
  </conditionalFormatting>
  <conditionalFormatting sqref="C25">
    <cfRule type="expression" dxfId="20" priority="13">
      <formula>OR($C$25="VALIDADO",$C$25="RECONCILIADO")</formula>
    </cfRule>
    <cfRule type="expression" dxfId="19" priority="14">
      <formula>ISNUMBER(SEARCH("ESTIMAD",$C$25))</formula>
    </cfRule>
    <cfRule type="expression" dxfId="18" priority="15">
      <formula>ISNUMBER(SEARCH("REVISE",$C$25))</formula>
    </cfRule>
  </conditionalFormatting>
  <conditionalFormatting sqref="C26">
    <cfRule type="expression" dxfId="17" priority="18">
      <formula>ISNUMBER(SEARCH("REVISE",$C$26))</formula>
    </cfRule>
    <cfRule type="expression" dxfId="16" priority="16">
      <formula>OR($C$26="VALIDADO",$C$26="RECONCILIADO")</formula>
    </cfRule>
    <cfRule type="expression" dxfId="15" priority="17">
      <formula>ISNUMBER(SEARCH("ESTIMAD",$C$26))</formula>
    </cfRule>
  </conditionalFormatting>
  <conditionalFormatting sqref="C27">
    <cfRule type="expression" dxfId="14" priority="21">
      <formula>ISNUMBER(SEARCH("REVISE",$C$27))</formula>
    </cfRule>
    <cfRule type="expression" dxfId="13" priority="19">
      <formula>OR($C$27="VALIDADO",$C$27="RECONCILIADO")</formula>
    </cfRule>
    <cfRule type="expression" dxfId="12" priority="20">
      <formula>ISNUMBER(SEARCH("ESTIMAD",$C$27))</formula>
    </cfRule>
  </conditionalFormatting>
  <conditionalFormatting sqref="C29">
    <cfRule type="expression" dxfId="11" priority="22">
      <formula>OR($C$29="VALIDADO",$C$29="RECONCILIADO")</formula>
    </cfRule>
    <cfRule type="expression" dxfId="10" priority="23">
      <formula>ISNUMBER(SEARCH("ESTIMAD",$C$29))</formula>
    </cfRule>
    <cfRule type="expression" dxfId="9" priority="24">
      <formula>ISNUMBER(SEARCH("REVISE",$C$29))</formula>
    </cfRule>
  </conditionalFormatting>
  <conditionalFormatting sqref="C31">
    <cfRule type="expression" dxfId="8" priority="25">
      <formula>OR($C$31="VALIDADO",$C$31="RECONCILIADO")</formula>
    </cfRule>
    <cfRule type="expression" dxfId="7" priority="26">
      <formula>ISNUMBER(SEARCH("ESTIMAD",$C$31))</formula>
    </cfRule>
    <cfRule type="expression" dxfId="6" priority="27">
      <formula>ISNUMBER(SEARCH("REVISE",$C$31))</formula>
    </cfRule>
  </conditionalFormatting>
  <conditionalFormatting sqref="E54:E57">
    <cfRule type="expression" dxfId="5" priority="31">
      <formula>$E54&lt;&gt;""</formula>
    </cfRule>
  </conditionalFormatting>
  <conditionalFormatting sqref="G6">
    <cfRule type="expression" dxfId="4" priority="3">
      <formula>ISNUMBER(SEARCH("REVISE",$G$6))</formula>
    </cfRule>
    <cfRule type="expression" dxfId="3" priority="2">
      <formula>ISNUMBER(SEARCH("ESTIMAD",$G$6))</formula>
    </cfRule>
    <cfRule type="expression" dxfId="2" priority="1">
      <formula>OR($G$6="VALIDADO",$G$6="RECONCILIADO")</formula>
    </cfRule>
  </conditionalFormatting>
  <conditionalFormatting sqref="G8:G10">
    <cfRule type="expression" dxfId="1" priority="6">
      <formula>LEFT($G$9,4)="APUR"</formula>
    </cfRule>
    <cfRule type="expression" dxfId="0" priority="5">
      <formula>LEFT($G$9,4)="PEND"</formula>
    </cfRule>
  </conditionalFormatting>
  <printOptions horizontalCentered="1"/>
  <pageMargins left="0.511811024" right="0.511811024" top="0.78740157499999996" bottom="0.78740157499999996" header="0.31496062000000002" footer="0.31496062000000002"/>
  <pageSetup paperSize="9" scale="7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43</vt:i4>
      </vt:variant>
    </vt:vector>
  </HeadingPairs>
  <TitlesOfParts>
    <vt:vector size="59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RESULTADOS_DETALHE</vt:lpstr>
      <vt:lpstr>RESULTADOS</vt:lpstr>
      <vt:lpstr>AJUSTE_MANUAL_VTA</vt:lpstr>
      <vt:lpstr>AJUSTES_DEVIDOS</vt:lpstr>
      <vt:lpstr>RESULTADOS!Area_de_impressao</vt:lpstr>
      <vt:lpstr>RESULTADOS_DETALHE!Area_de_impressao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2026-10-05T17:31:16Z</dcterms:modified>
</cp:coreProperties>
</file>