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6.RESULTADOS_FINAL_1\templates\"/>
    </mc:Choice>
  </mc:AlternateContent>
  <xr:revisionPtr revIDLastSave="0" documentId="13_ncr:1_{799F04FF-4530-4C06-AC25-E496DAE88CC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B8" i="13"/>
  <c r="I9" i="9"/>
  <c r="W49" i="14"/>
  <c r="A70" i="15" l="1"/>
  <c r="A131" i="1"/>
  <c r="B22" i="1"/>
  <c r="A180" i="1"/>
  <c r="B180" i="1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B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G22" i="15" s="1"/>
  <c r="E22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AB87" i="5" l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R187" i="5" s="1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G111" i="11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P151" i="5" s="1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AT83" i="5"/>
  <c r="L51" i="5"/>
  <c r="H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AT60" i="5"/>
  <c r="M5" i="5"/>
  <c r="AB5" i="5"/>
  <c r="AB147" i="14"/>
  <c r="AB142" i="14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B84" i="5"/>
  <c r="E158" i="1"/>
  <c r="G158" i="1"/>
  <c r="F158" i="1"/>
  <c r="D158" i="1"/>
  <c r="C158" i="1"/>
  <c r="L188" i="5"/>
  <c r="H188" i="5"/>
  <c r="F188" i="5"/>
  <c r="J102" i="5"/>
  <c r="AB70" i="5"/>
  <c r="M70" i="5"/>
  <c r="Q33" i="5"/>
  <c r="O33" i="5"/>
  <c r="BB105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H195" i="11"/>
  <c r="J195" i="11" s="1"/>
  <c r="H19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J32" i="5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E161" i="11"/>
  <c r="G161" i="11" s="1"/>
  <c r="F160" i="5"/>
  <c r="N160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BB28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L26" i="5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BB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BB187" i="5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F103" i="5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P7" i="7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7" i="7"/>
  <c r="I3" i="9"/>
  <c r="I4" i="9" s="1"/>
  <c r="BB8" i="5"/>
  <c r="F17" i="5"/>
  <c r="K40" i="11"/>
  <c r="M40" i="11" s="1"/>
  <c r="J39" i="5"/>
  <c r="R7" i="7"/>
  <c r="S7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T21" i="14"/>
  <c r="O7" i="7"/>
  <c r="BB145" i="5" l="1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187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Z169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B63" i="15"/>
  <c r="B207" i="1"/>
  <c r="G2" i="15" l="1"/>
  <c r="C87" i="15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<sst xmlns="http://schemas.openxmlformats.org/spreadsheetml/2006/main" count="40657" uniqueCount="533">
  <si>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</si>
  <si>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</si>
  <si>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</si>
  <si>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</si>
  <si>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</si>
  <si>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</si>
  <si>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</si>
  <si>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</si>
  <si>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</si>
  <si>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</si>
  <si>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</si>
  <si>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</si>
  <si>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</si>
  <si>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</si>
  <si>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</si>
  <si>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</si>
  <si>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</si>
  <si>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</si>
  <si>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</si>
  <si>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</si>
  <si>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</si>
  <si>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</si>
  <si>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</si>
  <si>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</si>
  <si>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</si>
  <si>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</si>
  <si>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</si>
  <si>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</si>
  <si>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</si>
  <si>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</si>
  <si>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</si>
  <si>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</si>
  <si>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</si>
  <si>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</si>
  <si>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</si>
  <si>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</si>
  <si>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</si>
  <si>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</si>
  <si>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</si>
  <si>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</si>
  <si>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</si>
  <si>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</si>
  <si>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</si>
  <si>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</si>
  <si>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</si>
  <si>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</si>
  <si>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</si>
  <si>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</si>
  <si>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</si>
  <si>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</si>
  <si>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</si>
  <si>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</si>
  <si>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</si>
  <si>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</si>
  <si>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</si>
  <si>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</si>
  <si>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</si>
  <si>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</si>
  <si>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</si>
  <si>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</si>
  <si>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</si>
  <si>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</si>
  <si>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</si>
  <si>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</si>
  <si>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</si>
  <si>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</si>
  <si>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</si>
  <si>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</si>
  <si>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</si>
  <si>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</si>
  <si>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</si>
  <si>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</si>
  <si>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</si>
  <si>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</si>
  <si>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</si>
  <si>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</si>
  <si>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</si>
  <si>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</si>
  <si>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</si>
  <si>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</si>
  <si>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</si>
  <si>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</si>
  <si>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</si>
  <si>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</si>
  <si>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</si>
  <si>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</si>
  <si>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</si>
  <si>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</si>
  <si>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</si>
  <si>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</si>
  <si>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</si>
  <si>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</si>
  <si>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</si>
  <si>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</si>
  <si>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</si>
  <si>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</si>
  <si>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</si>
  <si>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</si>
  <si>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</si>
  <si>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</si>
  <si>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</si>
  <si>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</si>
  <si>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</si>
  <si>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</si>
  <si>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</si>
  <si>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</si>
  <si>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</si>
  <si>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</si>
  <si>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</si>
  <si>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</si>
  <si>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</si>
  <si>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</si>
  <si>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</si>
  <si>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</si>
  <si>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</si>
  <si>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</si>
  <si>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</si>
  <si>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</si>
  <si>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</si>
  <si>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</si>
  <si>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</si>
  <si>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</si>
  <si>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</si>
  <si>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</si>
  <si>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</si>
  <si>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</si>
  <si>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</si>
  <si>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</si>
  <si>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</si>
  <si>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</si>
  <si>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</si>
  <si>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</si>
  <si>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</si>
  <si>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</si>
  <si>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</si>
  <si>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</si>
  <si>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</si>
  <si>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</si>
  <si>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</si>
  <si>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</si>
  <si>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</si>
  <si>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</si>
  <si>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</si>
  <si>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</si>
  <si>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</si>
  <si>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</si>
  <si>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</si>
  <si>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</si>
  <si>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</si>
  <si>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</si>
  <si>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</si>
  <si>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</si>
  <si>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</si>
  <si>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</si>
  <si>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</si>
  <si>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</si>
  <si>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</si>
  <si>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</si>
  <si>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</si>
  <si>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</si>
  <si>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</si>
  <si>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</si>
  <si>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</si>
  <si>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</si>
  <si>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</si>
  <si>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</si>
  <si>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</si>
  <si>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</si>
  <si>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</si>
  <si>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</si>
  <si>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</si>
  <si>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</si>
  <si>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</si>
  <si>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</si>
  <si>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</si>
  <si>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</si>
  <si>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</si>
  <si>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</si>
  <si>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</si>
  <si>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</si>
  <si>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</si>
  <si>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</si>
  <si>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</si>
  <si>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</si>
  <si>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</si>
  <si>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</si>
  <si>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</si>
  <si>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</si>
  <si>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</si>
  <si>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</si>
  <si>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</si>
  <si>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</si>
  <si>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</si>
  <si>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</si>
  <si>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</si>
  <si>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</si>
  <si>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</si>
  <si>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</si>
  <si>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</si>
  <si>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</si>
  <si>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</si>
  <si>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</si>
  <si>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</si>
  <si>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</si>
  <si>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</si>
  <si>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</si>
  <si>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</si>
  <si>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</si>
  <si>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</si>
  <si>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</si>
  <si>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</si>
  <si>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</si>
  <si>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</si>
  <si>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</si>
  <si>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</si>
  <si>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</si>
  <si>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</si>
  <si>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</si>
  <si>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</si>
  <si>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</si>
  <si>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</si>
  <si>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</si>
  <si>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</si>
  <si>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</si>
  <si>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</si>
  <si>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</si>
  <si>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</si>
  <si>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</si>
  <si>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</si>
  <si>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</si>
  <si>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</si>
  <si>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</si>
  <si>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</si>
  <si>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</si>
  <si>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</si>
  <si>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</si>
  <si>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</si>
  <si>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</si>
  <si>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</si>
  <si>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</si>
  <si>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</si>
  <si>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</si>
  <si>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</si>
  <si>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</si>
  <si>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</si>
  <si>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</si>
  <si>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</si>
  <si>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</si>
  <si>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</si>
  <si>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</si>
  <si>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</si>
  <si>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</si>
  <si>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</si>
  <si>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</si>
  <si>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</si>
  <si>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</si>
  <si>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</si>
  <si>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</si>
  <si>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</si>
  <si>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</si>
  <si>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</si>
  <si>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</si>
  <si>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</si>
  <si>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</si>
  <si>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</si>
  <si>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</si>
  <si>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</si>
  <si>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</si>
  <si>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</si>
  <si>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</si>
  <si>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</si>
  <si>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</si>
  <si>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</si>
  <si>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</si>
  <si>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</si>
  <si>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</si>
  <si>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</si>
  <si>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</si>
  <si>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</si>
  <si>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</si>
  <si>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</si>
  <si>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</si>
  <si>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</si>
  <si>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</si>
  <si>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</si>
  <si>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</si>
  <si>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</si>
  <si>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</si>
  <si>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</si>
  <si>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</si>
  <si>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</si>
  <si>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</si>
  <si>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</si>
  <si>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</si>
  <si>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</si>
  <si>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</si>
  <si>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</si>
  <si>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</si>
  <si>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</si>
  <si>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</si>
  <si>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</si>
  <si>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</si>
  <si>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</si>
  <si>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</si>
  <si>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</si>
  <si>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</si>
  <si>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</si>
  <si>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</si>
  <si>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</si>
  <si>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</si>
  <si>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</si>
  <si>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</si>
  <si>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</si>
  <si>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</si>
  <si>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</si>
  <si>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</si>
  <si>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</si>
  <si>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</si>
  <si>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</si>
  <si>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</si>
  <si>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</si>
  <si>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</si>
  <si>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</si>
  <si>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</si>
  <si>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</si>
  <si>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</si>
  <si>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</si>
  <si>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</si>
  <si>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</si>
  <si>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</si>
  <si>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</si>
  <si>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</si>
  <si>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</si>
  <si>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</si>
  <si>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</si>
  <si>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</si>
  <si>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</si>
  <si>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</si>
  <si>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</si>
  <si>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</si>
  <si>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</si>
  <si>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</si>
  <si>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</si>
  <si>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</si>
  <si>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</si>
  <si>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</si>
  <si>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</si>
  <si>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</si>
  <si>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</si>
  <si>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</si>
  <si>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</si>
  <si>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</si>
  <si>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</si>
  <si>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</si>
  <si>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</si>
  <si>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</si>
  <si>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</si>
  <si>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</si>
  <si>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</si>
  <si>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</si>
  <si>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</si>
  <si>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</si>
  <si>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</si>
  <si>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</si>
  <si>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</si>
  <si>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</si>
  <si>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</si>
  <si>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</si>
  <si>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</si>
  <si>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</si>
  <si>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</si>
  <si>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</si>
  <si>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</si>
  <si>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</si>
  <si>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</si>
  <si>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</si>
  <si>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</si>
  <si>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</si>
  <si>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</si>
  <si>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</si>
  <si>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</si>
  <si>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</si>
  <si>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</si>
  <si>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</si>
  <si>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</si>
  <si>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</si>
  <si>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</si>
  <si>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</si>
  <si>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</si>
  <si>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</si>
  <si>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</si>
  <si>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</si>
  <si>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</si>
  <si>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</si>
  <si>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</si>
  <si>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</si>
  <si>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</si>
  <si>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</si>
  <si>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</si>
  <si>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</si>
  <si>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</si>
  <si>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</si>
  <si>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</si>
  <si>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</si>
  <si>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</si>
  <si>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</si>
  <si>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</si>
  <si>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</si>
  <si>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</si>
  <si>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</si>
  <si>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</si>
  <si>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</si>
  <si>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</si>
  <si>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</si>
  <si>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</si>
  <si>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</si>
  <si>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</si>
  <si>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</si>
  <si>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</si>
  <si>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</si>
  <si>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</si>
  <si>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</si>
  <si>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</si>
  <si>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</si>
  <si>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</si>
  <si>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</si>
  <si>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</si>
  <si>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</si>
  <si>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</si>
  <si>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</si>
  <si>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</si>
  <si>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</si>
  <si>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</si>
  <si>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</si>
  <si>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</si>
  <si>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</si>
  <si>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</si>
  <si>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</si>
  <si>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</si>
  <si>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</si>
  <si>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</si>
  <si>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</si>
  <si>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</si>
  <si>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</si>
  <si>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</si>
  <si>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</si>
  <si>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</si>
  <si>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</si>
  <si>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</si>
  <si>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</si>
  <si>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</si>
  <si>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</si>
  <si>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</si>
  <si>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</si>
  <si>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</si>
  <si>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</si>
  <si>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</si>
  <si>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</si>
  <si>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</si>
  <si>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</si>
  <si>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3. Total enquadrado nos ciclos</t>
  </si>
  <si>
    <t>4. Total com efeito financeiro</t>
  </si>
  <si>
    <t>5. Total sem efeito financeiro</t>
  </si>
  <si>
    <t>6. Retroativo reconhecido</t>
  </si>
  <si>
    <t>9. VTA oficial</t>
  </si>
  <si>
    <t>12. Status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</si>
  <si>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</si>
  <si>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</si>
  <si>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</si>
  <si>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</si>
  <si>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</si>
  <si>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</si>
  <si>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</si>
  <si>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</si>
  <si>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</si>
  <si>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</si>
  <si>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</si>
  <si>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</si>
  <si>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</si>
  <si>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</si>
  <si>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</si>
  <si>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</si>
  <si>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</si>
  <si>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</si>
  <si>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</si>
  <si>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</si>
  <si>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Desembolsado informado</t>
  </si>
  <si>
    <t>Remanescente atualizado (base) do item</t>
  </si>
  <si>
    <t>Execucao Consumida Atualizada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</si>
  <si>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</si>
  <si>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</si>
  <si>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</si>
  <si>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</si>
  <si>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</si>
  <si>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</si>
  <si>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</si>
  <si>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</si>
  <si>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</si>
  <si>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</si>
  <si>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</si>
  <si>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</si>
  <si>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</si>
  <si>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</si>
  <si>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</si>
  <si>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</si>
  <si>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</si>
  <si>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</si>
  <si>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</si>
  <si>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</si>
  <si>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SUMPRODUCT(posicao_contratual!B x C) x RESULTADOS!H5 (fator historico integral)</t>
  </si>
  <si>
    <t>ITEM
(NOVO ITEM: cadastrar em itens_Remanesc PRIMEIRO - N001, N002...; QTD_BASE_ORIGINAL fica 0 automaticamente; informar o VU_ORIGINAL. Depois, a data e a quantidade aqui.)</t>
  </si>
  <si>
    <t>6. TOTAIS E INDICADORES DE CONFERÊNCIA</t>
  </si>
  <si>
    <t>REFERÊNCIA PARA CONFERÊNCIA</t>
  </si>
  <si>
    <t>1. Total cadastrado de pedidos de compra</t>
  </si>
  <si>
    <t>Inventário integral dos pedidos, sem corte de data.</t>
  </si>
  <si>
    <t>2. Total considerado até a data de corte</t>
  </si>
  <si>
    <t>Exclui os pedidos com data posterior à data de corte.</t>
  </si>
  <si>
    <t>Pedidos distribuídos por ciclo, já sem os posteriores ao corte.</t>
  </si>
  <si>
    <t>Pedidos com efeito financeiro reconhecido até a data de corte.</t>
  </si>
  <si>
    <t>Enquadrado menos o total com efeito: competências anteriores ao início dos efeitos.</t>
  </si>
  <si>
    <t>Retroativo oficial apurado — o mesmo total do quadro 2.</t>
  </si>
  <si>
    <t>7. Execução física do ciclo atual</t>
  </si>
  <si>
    <t>Execução informada pela fiscalização quando a posição física está completa.</t>
  </si>
  <si>
    <t>8. Remanescente físico atual</t>
  </si>
  <si>
    <t>Remanescente na abertura do ciclo menos a execução física.</t>
  </si>
  <si>
    <t>Resultado final do método de apuração selecionado.</t>
  </si>
  <si>
    <t>10. Referências auditáveis</t>
  </si>
  <si>
    <t>Posição atual, última abertura e contrato integralmente reajustado.</t>
  </si>
  <si>
    <t>11. Reconciliação</t>
  </si>
  <si>
    <t>Diferença entre as duas formas de cálculo; 0,00 reconcilia.</t>
  </si>
  <si>
    <t>Conclusão global desta aba.</t>
  </si>
  <si>
    <t>COMPOSIÇÃO ADOTADA — VTA = execução já realizada + ajustes ainda devidos + saldo remanescente atualizado.</t>
  </si>
  <si>
    <t>Saldo que ainda falta executar, já atualizado.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</si>
</sst>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79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5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5" xfId="0" applyFont="1" applyFill="1" applyBorder="1"/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36" fillId="51" borderId="54" xfId="0" applyFont="1" applyFill="1" applyBorder="1" applyAlignment="1">
      <alignment horizontal="left" vertical="center" indent="1"/>
    </xf>
    <xf numFmtId="0" fontId="36" fillId="51" borderId="54" xfId="0" applyFont="1" applyFill="1" applyBorder="1" applyAlignment="1">
      <alignment horizontal="left" vertical="center"/>
    </xf>
    <xf numFmtId="0" fontId="73" fillId="53" borderId="3" xfId="0" applyFont="1" applyFill="1" applyBorder="1" applyAlignment="1">
      <alignment horizontal="left" indent="1"/>
    </xf>
    <xf numFmtId="0" fontId="50" fillId="53" borderId="3" xfId="0" applyFont="1" applyFill="1" applyBorder="1" applyAlignment="1">
      <alignment horizontal="left" wrapText="1"/>
    </xf>
    <xf numFmtId="0" fontId="73" fillId="53" borderId="3" xfId="0" applyFont="1" applyFill="1" applyBorder="1" applyAlignment="1">
      <alignment horizontal="right"/>
    </xf>
    <xf numFmtId="0" fontId="8" fillId="53" borderId="3" xfId="0" applyFont="1" applyFill="1" applyBorder="1" applyAlignment="1">
      <alignment horizontal="right"/>
    </xf>
    <xf numFmtId="0" fontId="36" fillId="51" borderId="0" xfId="0" applyFont="1" applyFill="1" applyBorder="1" applyAlignment="1">
      <alignment horizontal="left" vertical="center"/>
    </xf>
    <xf numFmtId="0" fontId="73" fillId="65" borderId="0" xfId="0" applyFont="1" applyFill="1" applyBorder="1" applyAlignment="1">
      <alignment horizontal="left"/>
    </xf>
    <xf numFmtId="0" fontId="8" fillId="54" borderId="3" xfId="0" applyFont="1" applyFill="1" applyBorder="1" applyAlignment="1">
      <alignment vertical="center" wrapText="1"/>
    </xf>
    <xf numFmtId="0" fontId="73" fillId="53" borderId="3" xfId="0" applyFont="1" applyFill="1" applyBorder="1" applyAlignment="1">
      <alignment horizontal="center"/>
    </xf>
    <xf numFmtId="0" fontId="50" fillId="53" borderId="3" xfId="0" applyFont="1" applyFill="1" applyBorder="1" applyAlignment="1">
      <alignment horizontal="center" wrapText="1"/>
    </xf>
    <xf numFmtId="0" fontId="75" fillId="0" borderId="0" xfId="0" applyFont="1" applyBorder="1"/>
    <xf numFmtId="0" fontId="76" fillId="51" borderId="0" xfId="0" applyFont="1" applyFill="1" applyBorder="1" applyAlignment="1">
      <alignment horizontal="left" vertical="center"/>
    </xf>
    <xf numFmtId="0" fontId="8" fillId="54" borderId="3" xfId="0" applyFont="1" applyFill="1" applyBorder="1" applyAlignment="1">
      <alignment vertical="center"/>
    </xf>
    <xf numFmtId="0" fontId="8" fillId="54" borderId="3" xfId="0" applyFont="1" applyFill="1" applyBorder="1" applyAlignment="1">
      <alignment horizontal="right" vertical="center"/>
    </xf>
    <xf numFmtId="0" fontId="73" fillId="53" borderId="3" xfId="0" applyFont="1" applyFill="1" applyBorder="1" applyAlignment="1">
      <alignment horizontal="left"/>
    </xf>
    <xf numFmtId="0" fontId="74" fillId="53" borderId="3" xfId="0" applyFont="1" applyFill="1" applyBorder="1" applyAlignment="1">
      <alignment horizontal="left" wrapText="1"/>
    </xf>
    <xf numFmtId="0" fontId="59" fillId="51" borderId="3" xfId="0" applyFont="1" applyFill="1" applyBorder="1" applyAlignment="1">
      <alignment horizontal="left" wrapText="1"/>
    </xf>
    <xf numFmtId="0" fontId="36" fillId="51" borderId="3" xfId="0" applyFont="1" applyFill="1" applyBorder="1"/>
    <xf numFmtId="0" fontId="50" fillId="46" borderId="3" xfId="0" applyFont="1" applyFill="1" applyBorder="1" applyAlignment="1">
      <alignment horizontal="left" wrapText="1"/>
    </xf>
    <xf numFmtId="0" fontId="50" fillId="46" borderId="3" xfId="0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9" xfId="0" applyFont="1" applyBorder="1" applyAlignment="1">
      <alignment horizontal="left" vertical="center" wrapText="1"/>
    </xf>
    <xf numFmtId="183" fontId="78" fillId="0" borderId="39" xfId="0" applyNumberFormat="1" applyFont="1" applyAlignment="1">
      <alignment horizontal="right" vertical="center"/>
    </xf>
    <xf numFmtId="0" fontId="8" fillId="54" borderId="3" xfId="0" applyFont="1" applyFill="1" applyBorder="1" applyAlignment="1">
      <alignment horizontal="left" vertical="center"/>
    </xf>
    <xf numFmtId="178" fontId="73" fillId="53" borderId="3" xfId="0" applyNumberFormat="1" applyFont="1" applyFill="1" applyBorder="1" applyAlignment="1">
      <alignment horizontal="right"/>
    </xf>
    <xf numFmtId="178" fontId="8" fillId="53" borderId="3" xfId="0" applyNumberFormat="1" applyFont="1" applyFill="1" applyBorder="1" applyAlignment="1">
      <alignment horizontal="right"/>
    </xf>
    <xf numFmtId="0" fontId="73" fillId="65" borderId="39" xfId="0" applyFont="1" applyFill="1" applyBorder="1" applyAlignment="1">
      <alignment horizontal="left" vertical="center"/>
    </xf>
    <xf numFmtId="178" fontId="36" fillId="51" borderId="3" xfId="0" applyNumberFormat="1" applyFont="1" applyFill="1" applyBorder="1" applyAlignment="1">
      <alignment horizontal="right"/>
    </xf>
    <xf numFmtId="178" fontId="50" fillId="46" borderId="3" xfId="0" applyNumberFormat="1" applyFont="1" applyFill="1" applyBorder="1" applyAlignment="1">
      <alignment horizontal="right"/>
    </xf>
    <xf numFmtId="0" fontId="77" fillId="0" borderId="39" xfId="0" applyFont="1" applyBorder="1" applyAlignment="1">
      <alignment horizontal="left" vertical="center" wrapText="1"/>
    </xf>
    <xf numFmtId="178" fontId="78" fillId="0" borderId="39" xfId="0" applyNumberFormat="1" applyFont="1" applyAlignment="1">
      <alignment horizontal="right" vertical="center"/>
    </xf>
  </cellXfs>
  <cellStyles count="1">
    <cellStyle name="Normal" xfId="0" builtinId="0"/>
  </cellStyles>
  <dxfs count="66">
    <dxf>
      <font>
        <color rgb="FF7F6000"/>
      </font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3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348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46267.459820254633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45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46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46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47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47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70" t="s">
        <v>49</v>
      </c>
      <c r="B9" s="371"/>
      <c r="C9" s="371"/>
      <c r="D9" s="371"/>
      <c r="E9" s="371"/>
      <c r="F9" s="372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5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19"/>
      <c r="B74" s="320" t="s">
        <v>26</v>
      </c>
      <c r="C74" s="321">
        <f>SUM(C2:C73)</f>
        <v>0</v>
      </c>
      <c r="D74" s="320"/>
      <c r="E74" s="321">
        <f>SUM(E2:E73)</f>
        <v>0</v>
      </c>
      <c r="F74" s="321">
        <f>SUM(F2:F73)</f>
        <v>0</v>
      </c>
      <c r="G74" s="322"/>
    </row>
  </sheetData>
  <conditionalFormatting sqref="A2:G73">
    <cfRule type="expression" dxfId="64" priority="1" stopIfTrue="1">
      <formula>AND($C2&lt;&gt;"",$G2="")</formula>
    </cfRule>
    <cfRule type="expression" dxfId="6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9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9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9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40" t="str">
        <f>"QTD. EXECUTADA - C1"&amp;CHAR(10)&amp;"Calculada automaticamente"</f>
        <v>QTD. EXECUTADA - C1
Calculada automaticamente</v>
      </c>
      <c r="N1" s="40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40" t="str">
        <f>"QTD. EXECUTADA - C3"&amp;CHAR(10)&amp;"Calculada automaticamente"</f>
        <v>QTD. EXECUTADA - C3
Calculada automaticamente</v>
      </c>
      <c r="R1" s="40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2" priority="2">
      <formula>$U2="TOTAL"</formula>
    </cfRule>
  </conditionalFormatting>
  <conditionalFormatting sqref="E2:E201">
    <cfRule type="expression" dxfId="61" priority="3" stopIfTrue="1">
      <formula>AND($A2&lt;&gt;"",ISNUMBER($BI2),$BI2&gt;1)</formula>
    </cfRule>
    <cfRule type="expression" dxfId="60" priority="3">
      <formula>AND($A2&lt;&gt;"",ISNUMBER(E2),E2&gt;0)</formula>
    </cfRule>
    <cfRule type="expression" dxfId="59" priority="4">
      <formula>AND($A2&lt;&gt;"",E2=0)</formula>
    </cfRule>
    <cfRule type="expression" dxfId="58" priority="5">
      <formula>AND($A2&lt;&gt;"",E2="",OR(NOT(ISNUMBER($BI2)),$BI2&lt;=1))</formula>
    </cfRule>
  </conditionalFormatting>
  <conditionalFormatting sqref="G2:G201">
    <cfRule type="expression" dxfId="57" priority="6" stopIfTrue="1">
      <formula>AND($A2&lt;&gt;"",ISNUMBER($BI2),$BI2&gt;2)</formula>
    </cfRule>
    <cfRule type="expression" dxfId="56" priority="7">
      <formula>AND($A2&lt;&gt;"",ISNUMBER(G2),G2&gt;0)</formula>
    </cfRule>
    <cfRule type="expression" dxfId="55" priority="8">
      <formula>AND($A2&lt;&gt;"",G2=0)</formula>
    </cfRule>
    <cfRule type="expression" dxfId="54" priority="9">
      <formula>AND($A2&lt;&gt;"",G2="",OR(NOT(ISNUMBER($BI2)),$BI2&lt;=2))</formula>
    </cfRule>
  </conditionalFormatting>
  <conditionalFormatting sqref="I2:I201">
    <cfRule type="expression" dxfId="53" priority="10" stopIfTrue="1">
      <formula>AND($A2&lt;&gt;"",ISNUMBER($BI2),$BI2&gt;3)</formula>
    </cfRule>
    <cfRule type="expression" dxfId="52" priority="11">
      <formula>AND($A2&lt;&gt;"",ISNUMBER(I2),I2&gt;0)</formula>
    </cfRule>
    <cfRule type="expression" dxfId="51" priority="12">
      <formula>AND($A2&lt;&gt;"",I2=0)</formula>
    </cfRule>
    <cfRule type="expression" dxfId="50" priority="13">
      <formula>AND($A2&lt;&gt;"",I2="",OR(NOT(ISNUMBER($BI2)),$BI2&lt;=3))</formula>
    </cfRule>
  </conditionalFormatting>
  <conditionalFormatting sqref="K2:K201">
    <cfRule type="expression" dxfId="49" priority="14" stopIfTrue="1">
      <formula>AND($A2&lt;&gt;"",ISNUMBER($BI2),$BI2&gt;4)</formula>
    </cfRule>
    <cfRule type="expression" dxfId="48" priority="15">
      <formula>AND($A2&lt;&gt;"",ISNUMBER(K2),K2&gt;0)</formula>
    </cfRule>
    <cfRule type="expression" dxfId="47" priority="16">
      <formula>AND($A2&lt;&gt;"",K2=0)</formula>
    </cfRule>
    <cfRule type="expression" dxfId="46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487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5" priority="1" stopIfTrue="1">
      <formula>AND(OR($A2&lt;&gt;"",$B2&lt;&gt;"",$D2&lt;&gt;"",$G2&lt;&gt;""),$L2="")</formula>
    </cfRule>
    <cfRule type="expression" dxfId="44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510</v>
      </c>
      <c r="B1" s="38" t="s">
        <v>146</v>
      </c>
      <c r="C1" s="38" t="s">
        <v>147</v>
      </c>
      <c r="D1" s="38" t="s">
        <v>148</v>
      </c>
      <c r="E1" s="54" t="s">
        <v>149</v>
      </c>
      <c r="F1" s="55" t="s">
        <v>150</v>
      </c>
      <c r="G1" s="55" t="s">
        <v>151</v>
      </c>
      <c r="H1" s="38" t="s">
        <v>152</v>
      </c>
      <c r="I1" s="38" t="s">
        <v>153</v>
      </c>
      <c r="J1" s="55" t="s">
        <v>154</v>
      </c>
      <c r="K1" s="38" t="s">
        <v>155</v>
      </c>
      <c r="L1" s="67" t="s">
        <v>156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3" priority="7">
      <formula>OR(LEFT(UPPER($D2),6)="SUPRES",LEFT(UPPER($D2),4)="DECR")</formula>
    </cfRule>
    <cfRule type="expression" dxfId="42" priority="7">
      <formula>OR(LEFT(UPPER($D2),6)="SUPRES",LEFT(UPPER($D2),4)="DECR")</formula>
    </cfRule>
  </conditionalFormatting>
  <conditionalFormatting sqref="C2:C200">
    <cfRule type="expression" dxfId="41" priority="15">
      <formula>UPPER($C2)="C0"</formula>
    </cfRule>
    <cfRule type="expression" dxfId="40" priority="15">
      <formula>UPPER($C2)="C1"</formula>
    </cfRule>
    <cfRule type="expression" dxfId="39" priority="15">
      <formula>UPPER($C2)="C2"</formula>
    </cfRule>
    <cfRule type="expression" dxfId="38" priority="15">
      <formula>UPPER($C2)="C3"</formula>
    </cfRule>
    <cfRule type="expression" dxfId="3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157</v>
      </c>
      <c r="C1" s="38" t="s">
        <v>158</v>
      </c>
      <c r="D1" s="38" t="s">
        <v>159</v>
      </c>
      <c r="E1" s="38" t="s">
        <v>160</v>
      </c>
      <c r="F1" s="38" t="s">
        <v>66</v>
      </c>
      <c r="H1" s="230" t="s">
        <v>161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162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163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164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165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166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167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168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169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170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171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172</v>
      </c>
      <c r="D1" s="171" t="s">
        <v>173</v>
      </c>
      <c r="E1" s="167" t="s">
        <v>174</v>
      </c>
      <c r="F1" s="167" t="s">
        <v>175</v>
      </c>
      <c r="G1" s="175" t="s">
        <v>77</v>
      </c>
      <c r="H1" s="177" t="s">
        <v>176</v>
      </c>
      <c r="I1" s="173" t="s">
        <v>177</v>
      </c>
      <c r="J1" s="173" t="s">
        <v>178</v>
      </c>
      <c r="K1" s="179" t="s">
        <v>78</v>
      </c>
      <c r="L1" s="171" t="s">
        <v>179</v>
      </c>
      <c r="M1" s="167" t="s">
        <v>180</v>
      </c>
      <c r="N1" s="167" t="s">
        <v>181</v>
      </c>
      <c r="O1" s="175" t="s">
        <v>79</v>
      </c>
      <c r="P1" s="177" t="s">
        <v>182</v>
      </c>
      <c r="Q1" s="173" t="s">
        <v>183</v>
      </c>
      <c r="R1" s="173" t="s">
        <v>184</v>
      </c>
      <c r="S1" s="179" t="s">
        <v>80</v>
      </c>
      <c r="T1" s="171" t="s">
        <v>185</v>
      </c>
      <c r="U1" s="167" t="s">
        <v>186</v>
      </c>
      <c r="V1" s="167" t="s">
        <v>187</v>
      </c>
      <c r="W1" s="167" t="s">
        <v>81</v>
      </c>
      <c r="X1" s="67" t="s">
        <v>82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5" t="s">
        <v>202</v>
      </c>
      <c r="B1" s="375" t="s">
        <v>203</v>
      </c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7"/>
      <c r="Q1" s="373" t="s">
        <v>204</v>
      </c>
      <c r="R1" s="374"/>
      <c r="S1" s="374"/>
      <c r="T1" s="374"/>
      <c r="U1" s="374"/>
      <c r="V1" s="374"/>
      <c r="W1" s="374"/>
      <c r="X1" s="374"/>
      <c r="Y1" s="374"/>
      <c r="Z1" s="378" t="s">
        <v>205</v>
      </c>
      <c r="AA1" s="374"/>
      <c r="AB1" s="374"/>
      <c r="AC1" s="374"/>
      <c r="AE1" s="379" t="s">
        <v>206</v>
      </c>
    </row>
    <row r="2" spans="1:31" ht="43.5" customHeight="1" x14ac:dyDescent="0.35">
      <c r="A2" s="380"/>
      <c r="B2" s="56" t="s">
        <v>207</v>
      </c>
      <c r="C2" s="56" t="s">
        <v>208</v>
      </c>
      <c r="D2" s="56" t="s">
        <v>209</v>
      </c>
      <c r="E2" s="57" t="s">
        <v>210</v>
      </c>
      <c r="F2" s="57" t="s">
        <v>211</v>
      </c>
      <c r="G2" s="57" t="s">
        <v>212</v>
      </c>
      <c r="H2" s="56" t="s">
        <v>213</v>
      </c>
      <c r="I2" s="56" t="s">
        <v>214</v>
      </c>
      <c r="J2" s="56" t="s">
        <v>215</v>
      </c>
      <c r="K2" s="57" t="s">
        <v>216</v>
      </c>
      <c r="L2" s="57" t="s">
        <v>217</v>
      </c>
      <c r="M2" s="57" t="s">
        <v>218</v>
      </c>
      <c r="N2" s="56" t="s">
        <v>219</v>
      </c>
      <c r="O2" s="56" t="s">
        <v>220</v>
      </c>
      <c r="P2" s="56" t="s">
        <v>221</v>
      </c>
      <c r="Q2" s="217" t="s">
        <v>222</v>
      </c>
      <c r="R2" s="217" t="s">
        <v>223</v>
      </c>
      <c r="S2" s="217" t="s">
        <v>224</v>
      </c>
      <c r="T2" s="217" t="s">
        <v>225</v>
      </c>
      <c r="U2" s="217" t="s">
        <v>226</v>
      </c>
      <c r="V2" s="217" t="s">
        <v>227</v>
      </c>
      <c r="W2" s="217" t="s">
        <v>228</v>
      </c>
      <c r="X2" s="217" t="s">
        <v>229</v>
      </c>
      <c r="Y2" s="217" t="s">
        <v>230</v>
      </c>
      <c r="Z2" s="220" t="s">
        <v>231</v>
      </c>
      <c r="AA2" s="220" t="s">
        <v>232</v>
      </c>
      <c r="AB2" s="220" t="s">
        <v>233</v>
      </c>
      <c r="AC2" s="220" t="s">
        <v>234</v>
      </c>
      <c r="AE2" s="374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235</v>
      </c>
      <c r="C1" s="55" t="s">
        <v>236</v>
      </c>
      <c r="D1" s="60" t="s">
        <v>237</v>
      </c>
      <c r="E1" s="32" t="s">
        <v>238</v>
      </c>
      <c r="F1" s="60" t="s">
        <v>239</v>
      </c>
      <c r="G1" s="32" t="s">
        <v>240</v>
      </c>
      <c r="H1" s="38" t="s">
        <v>241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242</v>
      </c>
      <c r="O1" s="67" t="s">
        <v>243</v>
      </c>
      <c r="P1" s="67" t="s">
        <v>244</v>
      </c>
      <c r="Q1" s="67" t="s">
        <v>245</v>
      </c>
      <c r="R1" s="67" t="s">
        <v>246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247</v>
      </c>
      <c r="B1" s="5"/>
      <c r="C1" s="5"/>
    </row>
    <row r="2" spans="1:3" x14ac:dyDescent="0.35">
      <c r="A2" s="6" t="s">
        <v>248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249</v>
      </c>
      <c r="B3" s="5"/>
      <c r="C3" s="5"/>
    </row>
    <row r="4" spans="1:3" x14ac:dyDescent="0.35">
      <c r="A4" s="6" t="s">
        <v>250</v>
      </c>
      <c r="B4" s="323">
        <f ca="1">IF(CONTROLE!$B$14="","",CONTROLE!$B$14)</f>
        <v>46267.459820254633</v>
      </c>
    </row>
    <row r="5" spans="1:3" x14ac:dyDescent="0.35">
      <c r="A5" s="6" t="s">
        <v>251</v>
      </c>
      <c r="B5" s="242" t="str">
        <f>IF(CONTROLE!$B$2="","",CONTROLE!$B$2)</f>
        <v/>
      </c>
    </row>
    <row r="6" spans="1:3" x14ac:dyDescent="0.35">
      <c r="A6" s="6" t="s">
        <v>252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253</v>
      </c>
      <c r="B7" s="198" t="str">
        <f ca="1">posicao_referencia!$I$6</f>
        <v/>
      </c>
    </row>
    <row r="8" spans="1:3" ht="43.5" customHeight="1" x14ac:dyDescent="0.35">
      <c r="A8" s="6" t="s">
        <v>254</v>
      </c>
      <c r="B8" s="198" t="str">
        <f ca="1">IF(ISERROR(INDIRECT("CICLO_EM_EXECUCAO!A9")),"",IF(INDIRECT("CICLO_EM_EXECUCAO!A9")="","",INDIRECT("CICLO_EM_EXECUCAO!D5")))</f>
        <v/>
      </c>
      <c r="C8" s="330" t="s">
        <v>255</v>
      </c>
    </row>
    <row r="10" spans="1:3" x14ac:dyDescent="0.35">
      <c r="A10" s="5" t="s">
        <v>256</v>
      </c>
      <c r="B10" s="5"/>
      <c r="C10" s="5"/>
    </row>
    <row r="11" spans="1:3" x14ac:dyDescent="0.35">
      <c r="A11" s="6" t="s">
        <v>257</v>
      </c>
      <c r="B11" s="198" t="str">
        <f ca="1">posicao_referencia!$I$5</f>
        <v/>
      </c>
    </row>
    <row r="12" spans="1:3" x14ac:dyDescent="0.35">
      <c r="A12" s="6" t="s">
        <v>258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259</v>
      </c>
      <c r="B13" s="324"/>
    </row>
    <row r="14" spans="1:3" ht="43.5" customHeight="1" x14ac:dyDescent="0.35">
      <c r="A14" s="6" t="s">
        <v>260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0" t="s">
        <v>261</v>
      </c>
    </row>
    <row r="15" spans="1:3" x14ac:dyDescent="0.35">
      <c r="A15" s="6" t="s">
        <v>262</v>
      </c>
      <c r="B15" s="324"/>
    </row>
    <row r="16" spans="1:3" x14ac:dyDescent="0.35">
      <c r="A16" s="6" t="s">
        <v>263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264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0" t="s">
        <v>265</v>
      </c>
    </row>
    <row r="18" spans="1:3" x14ac:dyDescent="0.35">
      <c r="A18" s="5" t="s">
        <v>266</v>
      </c>
      <c r="B18" s="5"/>
      <c r="C18" s="5"/>
    </row>
    <row r="19" spans="1:3" x14ac:dyDescent="0.35">
      <c r="A19" s="6" t="s">
        <v>267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268</v>
      </c>
      <c r="B20" s="242" t="str">
        <f>IF($B$12&lt;&gt;"","Financeiro",IF($B$14&lt;&gt;"","PC",""))</f>
        <v/>
      </c>
    </row>
    <row r="21" spans="1:3" x14ac:dyDescent="0.35">
      <c r="A21" s="6" t="s">
        <v>269</v>
      </c>
      <c r="B21" s="198" t="str">
        <f ca="1">posicao_referencia!$I$5</f>
        <v/>
      </c>
    </row>
    <row r="22" spans="1:3" x14ac:dyDescent="0.35">
      <c r="A22" s="6" t="s">
        <v>270</v>
      </c>
      <c r="B22" s="242" t="str">
        <f ca="1">posicao_referencia!$I$8</f>
        <v>POSICAO DE REFERENCIA INDISPONIVEL</v>
      </c>
    </row>
    <row r="23" spans="1:3" x14ac:dyDescent="0.35">
      <c r="A23" s="6" t="s">
        <v>271</v>
      </c>
      <c r="B23" s="325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81" t="s">
        <v>272</v>
      </c>
      <c r="B25" s="382"/>
      <c r="C25" s="383"/>
    </row>
    <row r="26" spans="1:3" x14ac:dyDescent="0.35">
      <c r="A26" s="326" t="s">
        <v>273</v>
      </c>
      <c r="B26" s="388" t="s">
        <v>274</v>
      </c>
      <c r="C26" s="389"/>
    </row>
    <row r="27" spans="1:3" x14ac:dyDescent="0.35">
      <c r="A27" s="327" t="s">
        <v>275</v>
      </c>
      <c r="B27" s="390" t="s">
        <v>276</v>
      </c>
      <c r="C27" s="387"/>
    </row>
    <row r="28" spans="1:3" x14ac:dyDescent="0.35">
      <c r="A28" s="328" t="s">
        <v>277</v>
      </c>
      <c r="B28" s="386" t="s">
        <v>278</v>
      </c>
      <c r="C28" s="387"/>
    </row>
    <row r="29" spans="1:3" x14ac:dyDescent="0.35">
      <c r="A29" s="329" t="s">
        <v>279</v>
      </c>
      <c r="B29" s="384" t="s">
        <v>280</v>
      </c>
      <c r="C29" s="385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99" t="s">
        <v>281</v>
      </c>
      <c r="B1" s="374"/>
      <c r="C1" s="374"/>
      <c r="D1" s="374"/>
      <c r="E1" s="374"/>
      <c r="F1" s="374"/>
      <c r="G1" s="374"/>
      <c r="H1" s="374"/>
      <c r="I1" s="374"/>
      <c r="J1" s="374"/>
      <c r="K1" s="61"/>
      <c r="L1" s="61"/>
      <c r="M1" s="61"/>
      <c r="N1" s="61"/>
      <c r="O1" s="61"/>
      <c r="P1" s="61"/>
      <c r="Q1" s="61"/>
      <c r="X1" t="s">
        <v>282</v>
      </c>
      <c r="Y1" t="s">
        <v>283</v>
      </c>
      <c r="AB1" t="s">
        <v>284</v>
      </c>
    </row>
    <row r="2" spans="1:30" ht="34" customHeight="1" x14ac:dyDescent="0.35">
      <c r="A2" s="404" t="s">
        <v>285</v>
      </c>
      <c r="B2" s="374"/>
      <c r="C2" s="374"/>
      <c r="D2" s="374"/>
      <c r="E2" s="374"/>
      <c r="F2" s="374"/>
      <c r="G2" s="374"/>
      <c r="H2" s="374"/>
      <c r="I2" s="374"/>
      <c r="J2" s="374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286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287</v>
      </c>
      <c r="D4" s="125">
        <v>5.0000000000000001E-3</v>
      </c>
      <c r="E4" s="124" t="s">
        <v>288</v>
      </c>
      <c r="F4" s="126" t="str">
        <f>UPPER(CONTROLE!B2)</f>
        <v/>
      </c>
      <c r="G4" s="124" t="s">
        <v>289</v>
      </c>
      <c r="H4" s="126" t="str">
        <f>IF($B$4="Itens","Itens",IF($B$4="PCs","PCs","Informado"))</f>
        <v>Informado</v>
      </c>
      <c r="I4" s="124" t="s">
        <v>290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291</v>
      </c>
      <c r="B5" s="64" t="str">
        <f>IF(AND(RESULTADOS!$G$43="Sim",RESULTADOS!$C$43&lt;&gt;""),RESULTADOS!$C$43,"")</f>
        <v/>
      </c>
      <c r="C5" s="124" t="s">
        <v>292</v>
      </c>
      <c r="D5" s="393" t="str">
        <f>IF(AND(RESULTADOS!$G$43="Sim",RESULTADOS!$D$43&lt;&gt;""),RESULTADOS!$D$43,"")</f>
        <v/>
      </c>
      <c r="E5" s="394"/>
      <c r="F5" s="394"/>
      <c r="G5" s="394"/>
      <c r="H5" s="394"/>
      <c r="I5" s="394"/>
      <c r="J5" s="395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7" t="s">
        <v>293</v>
      </c>
      <c r="B6" s="374"/>
      <c r="C6" s="374"/>
      <c r="D6" s="374"/>
      <c r="E6" s="374"/>
      <c r="F6" s="374"/>
      <c r="G6" s="374"/>
      <c r="H6" s="374"/>
      <c r="I6" s="374"/>
      <c r="J6" s="374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6" t="s">
        <v>294</v>
      </c>
      <c r="B8" s="374"/>
      <c r="C8" s="374"/>
      <c r="D8" s="374"/>
      <c r="E8" s="374"/>
      <c r="F8" s="374"/>
      <c r="G8" s="374"/>
      <c r="H8" s="374"/>
      <c r="I8" s="374"/>
      <c r="J8" s="374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295</v>
      </c>
      <c r="B9" s="127" t="s">
        <v>296</v>
      </c>
      <c r="C9" s="127" t="s">
        <v>297</v>
      </c>
      <c r="D9" s="127" t="s">
        <v>298</v>
      </c>
      <c r="E9" s="127" t="s">
        <v>299</v>
      </c>
      <c r="F9" s="127" t="s">
        <v>300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301</v>
      </c>
      <c r="B16" s="134" t="str">
        <f>IF(ISNUMBER($B$5),$B$5,E15)</f>
        <v/>
      </c>
      <c r="C16" s="126" t="s">
        <v>302</v>
      </c>
      <c r="D16" s="126" t="str">
        <f>IF(ISNUMBER($B$5),"MANUAL",$B$4)</f>
        <v>SELECIONE O METODO EM CONTROLE!B1</v>
      </c>
      <c r="E16" s="126" t="s">
        <v>303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03" t="s">
        <v>304</v>
      </c>
      <c r="B17" s="374"/>
      <c r="C17" s="374"/>
      <c r="D17" s="374"/>
      <c r="E17" s="374"/>
      <c r="F17" s="374"/>
      <c r="G17" s="374"/>
      <c r="H17" s="374"/>
      <c r="I17" s="374"/>
      <c r="J17" s="374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6" t="s">
        <v>305</v>
      </c>
      <c r="B19" s="374"/>
      <c r="C19" s="374"/>
      <c r="D19" s="374"/>
      <c r="E19" s="374"/>
      <c r="F19" s="374"/>
      <c r="G19" s="374"/>
      <c r="H19" s="374"/>
      <c r="I19" s="374"/>
      <c r="J19" s="374"/>
      <c r="K19" s="61"/>
      <c r="L19" s="61"/>
      <c r="M19" s="61"/>
      <c r="N19" s="61"/>
      <c r="O19" s="61"/>
      <c r="P19" s="61"/>
      <c r="Q19" s="61"/>
      <c r="S19" t="s">
        <v>306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307</v>
      </c>
      <c r="B20" s="135" t="str">
        <f>IF(COUNTIF(itens_Remanesc!$A$2:$A$200,"&lt;&gt;")=0,"",ROUND(SUMIF(itens_Remanesc!$A$2:$A$200,"&lt;&gt;",itens_Remanesc!$D$2:$D$200),2))</f>
        <v/>
      </c>
      <c r="C20" s="62" t="s">
        <v>484</v>
      </c>
      <c r="D20" s="62" t="str">
        <f>IF(COUNTIF(financeiro!$C$2:$C$73,"&lt;&gt;")=0,"",ROUND(SUM(financeiro!$C$2:$C$73),2))</f>
        <v/>
      </c>
      <c r="E20" s="62" t="s">
        <v>488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308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309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310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311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312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313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314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315</v>
      </c>
      <c r="B24" s="64" t="str">
        <f>IF(AND(RESULTADOS!$G$44="Sim",RESULTADOS!$C$44&lt;&gt;""),RESULTADOS!$C$44,"")</f>
        <v/>
      </c>
      <c r="C24" s="124" t="s">
        <v>316</v>
      </c>
      <c r="D24" s="393" t="str">
        <f>IF(AND(RESULTADOS!$G$44="Sim",RESULTADOS!$D$44&lt;&gt;""),RESULTADOS!$D$44,"")</f>
        <v/>
      </c>
      <c r="E24" s="394"/>
      <c r="F24" s="394"/>
      <c r="G24" s="394"/>
      <c r="H24" s="394"/>
      <c r="I24" s="394"/>
      <c r="J24" s="395"/>
      <c r="K24" s="61"/>
      <c r="L24" s="61"/>
      <c r="M24" s="61"/>
      <c r="N24" s="61"/>
      <c r="O24" s="61"/>
      <c r="P24" s="61"/>
      <c r="Q24" s="61"/>
      <c r="S24" t="s">
        <v>317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318</v>
      </c>
      <c r="B25" s="64" t="str">
        <f>IF(AND(RESULTADOS!$G$45="Sim",RESULTADOS!$C$45&lt;&gt;""),RESULTADOS!$C$45,"")</f>
        <v/>
      </c>
      <c r="C25" s="124" t="s">
        <v>319</v>
      </c>
      <c r="D25" s="393" t="str">
        <f>IF(AND(RESULTADOS!$G$45="Sim",RESULTADOS!$D$45&lt;&gt;""),RESULTADOS!$D$45,"")</f>
        <v/>
      </c>
      <c r="E25" s="394"/>
      <c r="F25" s="394"/>
      <c r="G25" s="394"/>
      <c r="H25" s="394"/>
      <c r="I25" s="394"/>
      <c r="J25" s="395"/>
      <c r="K25" s="61"/>
      <c r="L25" s="61"/>
      <c r="M25" s="61"/>
      <c r="N25" s="61"/>
      <c r="O25" s="61"/>
      <c r="P25" s="61"/>
      <c r="Q25" s="61"/>
      <c r="S25" t="s">
        <v>320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321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303</v>
      </c>
      <c r="D26" s="62"/>
      <c r="E26" s="398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4"/>
      <c r="G26" s="394"/>
      <c r="H26" s="394"/>
      <c r="I26" s="394"/>
      <c r="J26" s="395"/>
      <c r="K26" s="61"/>
      <c r="L26" s="61"/>
      <c r="M26" s="61"/>
      <c r="N26" s="61"/>
      <c r="O26" s="61"/>
      <c r="P26" s="61"/>
      <c r="Q26" s="61"/>
      <c r="S26" t="s">
        <v>322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04" t="s">
        <v>323</v>
      </c>
      <c r="B27" s="374"/>
      <c r="C27" s="374"/>
      <c r="D27" s="374"/>
      <c r="E27" s="374"/>
      <c r="F27" s="374"/>
      <c r="G27" s="374"/>
      <c r="H27" s="374"/>
      <c r="I27" s="374"/>
      <c r="J27" s="374"/>
      <c r="K27" s="61"/>
      <c r="L27" s="61"/>
      <c r="M27" s="61"/>
      <c r="N27" s="61"/>
      <c r="O27" s="61"/>
      <c r="P27" s="61"/>
      <c r="Q27" s="61"/>
      <c r="S27" t="s">
        <v>324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325</v>
      </c>
      <c r="B28" s="209" t="str">
        <f>IF(OR($B$4="Financeiro",$B$4="Itens"),$B$23,$B$26)</f>
        <v/>
      </c>
      <c r="C28" s="210" t="s">
        <v>326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328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329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6" t="s">
        <v>330</v>
      </c>
      <c r="B30" s="374"/>
      <c r="C30" s="374"/>
      <c r="D30" s="374"/>
      <c r="E30" s="374"/>
      <c r="F30" s="374"/>
      <c r="G30" s="374"/>
      <c r="H30" s="374"/>
      <c r="I30" s="374"/>
      <c r="J30" s="374"/>
      <c r="K30" s="61"/>
      <c r="L30" s="61"/>
      <c r="M30" s="61"/>
      <c r="N30" s="61"/>
      <c r="O30" s="61"/>
      <c r="P30" s="61"/>
      <c r="Q30" s="61"/>
      <c r="S30" t="s">
        <v>331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332</v>
      </c>
      <c r="B31" s="127" t="s">
        <v>333</v>
      </c>
      <c r="C31" s="127" t="s">
        <v>334</v>
      </c>
      <c r="D31" s="127" t="s">
        <v>335</v>
      </c>
      <c r="E31" s="127" t="s">
        <v>336</v>
      </c>
      <c r="F31" s="127" t="s">
        <v>337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338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339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340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341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342</v>
      </c>
      <c r="B34" s="65"/>
      <c r="C34" s="66"/>
      <c r="D34" s="66"/>
      <c r="E34" s="66"/>
      <c r="F34" s="139" t="s">
        <v>343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344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345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346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347</v>
      </c>
      <c r="B36" s="400"/>
      <c r="C36" s="401"/>
      <c r="D36" s="401"/>
      <c r="E36" s="402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348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349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508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6" t="s">
        <v>350</v>
      </c>
      <c r="B40" s="374"/>
      <c r="C40" s="374"/>
      <c r="D40" s="374"/>
      <c r="E40" s="374"/>
      <c r="F40" s="374"/>
      <c r="G40" s="374"/>
      <c r="H40" s="374"/>
      <c r="I40" s="374"/>
      <c r="J40" s="374"/>
      <c r="K40" s="61"/>
      <c r="L40" s="61"/>
      <c r="M40" s="61"/>
      <c r="N40" s="61"/>
      <c r="O40" s="61"/>
      <c r="P40" s="61"/>
      <c r="Q40" s="61"/>
      <c r="V40" s="215" t="s">
        <v>351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352</v>
      </c>
      <c r="B41" s="138" t="str">
        <f>IF(B15="","",B15)</f>
        <v/>
      </c>
      <c r="C41" s="141" t="s">
        <v>353</v>
      </c>
      <c r="D41" s="138" t="str">
        <f>IF(C15="","",C15)</f>
        <v/>
      </c>
      <c r="E41" s="141" t="s">
        <v>354</v>
      </c>
      <c r="F41" s="138" t="str">
        <f>IF(D15="","",D15)</f>
        <v/>
      </c>
      <c r="G41" s="141" t="s">
        <v>355</v>
      </c>
      <c r="H41" s="138" t="str">
        <f>IF(B16="","",B16)</f>
        <v/>
      </c>
      <c r="I41" s="133" t="s">
        <v>303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356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357</v>
      </c>
      <c r="B42" s="143" t="str">
        <f>IF($F$4="C0",parametros!$F$2,IF($F$4="C1",parametros!$F$3,IF($F$4="C2",parametros!$F$4,IF($F$4="C3",parametros!$F$5,parametros!$F$6))))</f>
        <v/>
      </c>
      <c r="C42" s="144" t="s">
        <v>358</v>
      </c>
      <c r="D42" s="143" t="str">
        <f>IF($F$4="C0",parametros!$D$11,IF($F$4="C1",parametros!$D$12,IF($F$4="C2",parametros!$D$13,IF($F$4="C3",parametros!$D$14,parametros!$D$15))))</f>
        <v/>
      </c>
      <c r="E42" s="144" t="s">
        <v>359</v>
      </c>
      <c r="F42" s="143" t="str">
        <f>IF(OR(NOT(ISNUMBER(B42)),NOT(ISNUMBER(D42)),D42=0),"",B42/D42)</f>
        <v/>
      </c>
      <c r="G42" s="144" t="s">
        <v>360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361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362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363</v>
      </c>
      <c r="B44" s="142">
        <f>SUMPRODUCT(--(financeiro!$C$2:$C$73&lt;&gt;""),--(((financeiro!$B$2:$B$73="")+(financeiro!$G$2:$G$73=""))&gt;0))</f>
        <v>0</v>
      </c>
      <c r="C44" s="133" t="s">
        <v>364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365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366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367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368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369</v>
      </c>
      <c r="B45" s="142">
        <f>COUNTIF(aditivos!$K$2:$K$200,"Sim")</f>
        <v>0</v>
      </c>
      <c r="C45" s="133" t="s">
        <v>370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371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372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373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7"/>
      <c r="B48" s="374"/>
      <c r="C48" s="374"/>
      <c r="D48" s="374"/>
      <c r="E48" s="374"/>
      <c r="F48" s="374"/>
      <c r="G48" s="374"/>
      <c r="H48" s="374"/>
      <c r="I48" s="374"/>
      <c r="J48" s="374"/>
      <c r="K48" s="61"/>
      <c r="L48" s="61"/>
      <c r="M48" s="61"/>
      <c r="N48" s="61"/>
      <c r="O48" s="61"/>
      <c r="P48" s="61"/>
      <c r="Q48" s="61"/>
      <c r="V48" s="216" t="s">
        <v>374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7"/>
      <c r="B49" s="374"/>
      <c r="C49" s="374"/>
      <c r="D49" s="374"/>
      <c r="E49" s="374"/>
      <c r="F49" s="374"/>
      <c r="G49" s="374"/>
      <c r="H49" s="374"/>
      <c r="I49" s="374"/>
      <c r="J49" s="374"/>
      <c r="K49" s="61"/>
      <c r="L49" s="61"/>
      <c r="M49" s="61"/>
      <c r="N49" s="61"/>
      <c r="O49" s="61"/>
      <c r="P49" s="61"/>
      <c r="Q49" s="61"/>
      <c r="V49" s="216" t="s">
        <v>375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376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377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1" t="s">
        <v>378</v>
      </c>
      <c r="B52" s="392"/>
      <c r="C52" s="392"/>
      <c r="D52" s="392"/>
      <c r="E52" s="392"/>
      <c r="F52" s="392"/>
      <c r="G52" s="392"/>
      <c r="H52" s="392"/>
      <c r="I52" s="61"/>
      <c r="J52" s="391" t="s">
        <v>379</v>
      </c>
      <c r="K52" s="392"/>
      <c r="L52" s="392"/>
      <c r="M52" s="392"/>
      <c r="N52" s="392"/>
      <c r="O52" s="392"/>
      <c r="P52" s="392"/>
      <c r="Q52" s="392"/>
      <c r="V52" s="216" t="s">
        <v>380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381</v>
      </c>
      <c r="C53" s="145" t="s">
        <v>382</v>
      </c>
      <c r="D53" s="145" t="s">
        <v>383</v>
      </c>
      <c r="E53" s="145" t="s">
        <v>384</v>
      </c>
      <c r="F53" s="145" t="s">
        <v>385</v>
      </c>
      <c r="G53" s="145" t="s">
        <v>386</v>
      </c>
      <c r="H53" s="145" t="s">
        <v>387</v>
      </c>
      <c r="I53" s="61"/>
      <c r="J53" s="145" t="s">
        <v>19</v>
      </c>
      <c r="K53" s="145" t="s">
        <v>388</v>
      </c>
      <c r="L53" s="145" t="s">
        <v>389</v>
      </c>
      <c r="M53" s="145" t="s">
        <v>390</v>
      </c>
      <c r="N53" s="145" t="s">
        <v>391</v>
      </c>
      <c r="O53" s="145" t="s">
        <v>392</v>
      </c>
      <c r="P53" s="145" t="s">
        <v>393</v>
      </c>
      <c r="Q53" s="145" t="s">
        <v>54</v>
      </c>
      <c r="V53" t="s">
        <v>394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395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396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397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398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476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477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478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479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480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481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482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483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399</v>
      </c>
    </row>
    <row r="257" spans="1:15" ht="26" hidden="1" customHeight="1" outlineLevel="1" x14ac:dyDescent="0.35">
      <c r="A257" s="127" t="s">
        <v>32</v>
      </c>
      <c r="B257" s="127" t="s">
        <v>400</v>
      </c>
      <c r="C257" s="127" t="s">
        <v>401</v>
      </c>
      <c r="D257" s="127" t="s">
        <v>402</v>
      </c>
      <c r="E257" s="127" t="s">
        <v>403</v>
      </c>
      <c r="F257" s="127" t="s">
        <v>404</v>
      </c>
      <c r="G257" s="61" t="s">
        <v>405</v>
      </c>
      <c r="H257" s="61" t="s">
        <v>406</v>
      </c>
      <c r="I257" s="61" t="s">
        <v>407</v>
      </c>
      <c r="J257" s="61" t="s">
        <v>408</v>
      </c>
      <c r="K257" s="61" t="s">
        <v>409</v>
      </c>
      <c r="L257" s="61" t="s">
        <v>410</v>
      </c>
      <c r="M257" s="61" t="s">
        <v>411</v>
      </c>
      <c r="N257" s="61" t="s">
        <v>412</v>
      </c>
      <c r="O257" s="61" t="s">
        <v>413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414</v>
      </c>
      <c r="E263" s="188"/>
      <c r="F263" s="188"/>
      <c r="G263" s="188"/>
      <c r="H263" s="188"/>
      <c r="I263" s="188"/>
      <c r="J263" s="188" t="s">
        <v>415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416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417</v>
      </c>
    </row>
    <row r="268" spans="1:15" x14ac:dyDescent="0.35">
      <c r="A268" t="s">
        <v>418</v>
      </c>
      <c r="B268" s="190" t="str">
        <f ca="1">IF(posicao_referencia!$I$5="","",posicao_referencia!$I$5)</f>
        <v/>
      </c>
    </row>
    <row r="269" spans="1:15" x14ac:dyDescent="0.35">
      <c r="A269" t="s">
        <v>419</v>
      </c>
      <c r="B269" t="str">
        <f ca="1">posicao_referencia!$I$8</f>
        <v>POSICAO DE REFERENCIA INDISPONIVEL</v>
      </c>
    </row>
    <row r="270" spans="1:15" x14ac:dyDescent="0.35">
      <c r="A270" t="s">
        <v>420</v>
      </c>
      <c r="B270" t="str">
        <f ca="1">IF(posicao_referencia!$I$4="","INDISPONIVEL",posicao_referencia!$I$4)</f>
        <v>INDISPONIVEL</v>
      </c>
    </row>
    <row r="271" spans="1:15" x14ac:dyDescent="0.35">
      <c r="A271" t="s">
        <v>421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422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423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424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425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426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427</v>
      </c>
    </row>
    <row r="280" spans="1:2" x14ac:dyDescent="0.35">
      <c r="A280" s="193" t="s">
        <v>428</v>
      </c>
    </row>
    <row r="281" spans="1:2" x14ac:dyDescent="0.35">
      <c r="A281" t="s">
        <v>429</v>
      </c>
    </row>
    <row r="282" spans="1:2" x14ac:dyDescent="0.35">
      <c r="A282" t="s">
        <v>430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2" priority="4">
      <formula>OR(ISNUMBER(SEARCH("MANUAL",F36)),ISNUMBER(SEARCH("DIVERGENTE",F36)),ISNUMBER(SEARCH("INCOMPLETO",F36)))</formula>
    </cfRule>
  </conditionalFormatting>
  <conditionalFormatting sqref="J4">
    <cfRule type="expression" dxfId="3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customHeight="1" x14ac:dyDescent="0.3">
      <c r="A1" s="405" t="s">
        <v>281</v>
      </c>
      <c r="B1" s="405"/>
      <c r="C1" s="405"/>
      <c r="D1" s="405"/>
      <c r="E1" s="405"/>
      <c r="F1" s="405"/>
      <c r="G1" s="406" t="str">
        <f ca="1">$B$3</f>
        <v>REVISE</v>
      </c>
      <c r="H1" s="407"/>
    </row>
    <row r="2" spans="1:10" ht="90.5" customHeight="1" x14ac:dyDescent="0.3">
      <c r="A2" s="408" t="s">
        <v>466</v>
      </c>
      <c r="B2" s="408"/>
      <c r="C2" s="408"/>
      <c r="D2" s="408"/>
      <c r="E2" s="408"/>
      <c r="F2" s="408"/>
      <c r="G2" s="409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09"/>
      <c r="J2" s="255" t="s">
        <v>46</v>
      </c>
    </row>
    <row r="3" spans="1:10" ht="20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0"/>
      <c r="E3" s="259" t="str">
        <f>$F$5</f>
        <v/>
      </c>
      <c r="F3" s="300"/>
      <c r="G3" s="412" t="str">
        <f>$D$6</f>
        <v/>
      </c>
      <c r="H3" s="413"/>
      <c r="J3" s="255" t="s">
        <v>47</v>
      </c>
    </row>
    <row r="4" spans="1:10" ht="18" customHeight="1" x14ac:dyDescent="0.3">
      <c r="A4" s="301" t="s">
        <v>473</v>
      </c>
      <c r="B4" s="302"/>
      <c r="C4" s="332" t="str">
        <f>$H$8</f>
        <v>REVISE</v>
      </c>
      <c r="D4" s="333" t="s">
        <v>474</v>
      </c>
      <c r="E4" s="334" t="str">
        <f>$H$14</f>
        <v>REVISE</v>
      </c>
      <c r="F4" s="333" t="s">
        <v>475</v>
      </c>
      <c r="G4" s="303"/>
      <c r="H4" s="335" t="str">
        <f ca="1">$H$33</f>
        <v>REVISE</v>
      </c>
    </row>
    <row r="5" spans="1:10" ht="34" customHeight="1" x14ac:dyDescent="0.3">
      <c r="A5" s="304"/>
      <c r="B5" s="260" t="str">
        <f>MEMORIA_RESULTADOS!$B$4</f>
        <v>SELECIONE O METODO EM CONTROLE!B1</v>
      </c>
      <c r="C5" s="344" t="str">
        <f>IF(VTA_FINAL="","",VTA_FINAL)</f>
        <v/>
      </c>
      <c r="D5" s="414" t="str">
        <f>$D$22</f>
        <v/>
      </c>
      <c r="E5" s="415"/>
      <c r="F5" s="261" t="str">
        <f>IF(CONTROLE!$B$3="","",CONTROLE!$B$3)</f>
        <v/>
      </c>
      <c r="G5" s="309" t="str">
        <f ca="1">$B$38</f>
        <v/>
      </c>
      <c r="H5" s="262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63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5"/>
      <c r="B6" s="260">
        <f>IF(parametros!$E$16="","",parametros!$E$16)</f>
        <v>1</v>
      </c>
      <c r="C6" s="336"/>
      <c r="D6" s="261" t="str">
        <f>IF($H$5="","",$H$5-1)</f>
        <v/>
      </c>
      <c r="E6" s="337" t="str">
        <f>IF($D$22&lt;&gt;"",IF($J$11="","Ciclos apurados","Ciclos apurados — "&amp;$J$11),IF($J$6=0,"SELECIONE O MÉTODO NA ABA CONTROLE","INFORME A BASE DO MÉTODO"))</f>
        <v>SELECIONE O MÉTODO NA ABA CONTROLE</v>
      </c>
      <c r="F6" s="338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6"/>
      <c r="H6" s="307"/>
      <c r="J6" s="263">
        <f>IF(OR($B$5="Financeiro",$B$5="PCs",$B$5="Itens"),1,0)</f>
        <v>0</v>
      </c>
    </row>
    <row r="7" spans="1:10" ht="20" customHeight="1" x14ac:dyDescent="0.3">
      <c r="A7" s="308" t="str">
        <f ca="1">IF($J$5=0,"APURAÇÃO CONCLUÍDA","PENDÊNCIAS PARA CONCLUSÃO:")</f>
        <v>PENDÊNCIAS PARA CONCLUSÃO:</v>
      </c>
      <c r="B7" s="410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1"/>
      <c r="D7" s="411"/>
      <c r="E7" s="411"/>
      <c r="F7" s="411"/>
      <c r="G7" s="411"/>
      <c r="H7" s="411"/>
    </row>
    <row r="8" spans="1:10" ht="15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31" t="str">
        <f>UPPER(CONTROLE!$B$2)</f>
        <v/>
      </c>
    </row>
    <row r="9" spans="1:10" ht="26" customHeight="1" x14ac:dyDescent="0.3">
      <c r="A9" s="278" t="s">
        <v>503</v>
      </c>
      <c r="B9" s="310"/>
      <c r="C9" s="418"/>
      <c r="D9" s="418"/>
      <c r="E9" s="418"/>
      <c r="F9" s="418"/>
      <c r="G9" s="418"/>
      <c r="H9" s="311"/>
      <c r="J9" s="263">
        <f>COUNTIF(parametros!$A$3:$A$6,"Sim")</f>
        <v>0</v>
      </c>
    </row>
    <row r="10" spans="1:10" ht="46" hidden="1" customHeight="1" x14ac:dyDescent="0.3">
      <c r="A10" s="268" t="s">
        <v>504</v>
      </c>
      <c r="B10" s="269" t="str">
        <f ca="1">IF(MEMORIA_RESULTADOS!$W$50="","",MEMORIA_RESULTADOS!$W$50)</f>
        <v/>
      </c>
      <c r="C10" s="416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7"/>
      <c r="E10" s="417"/>
      <c r="F10" s="416" t="s">
        <v>432</v>
      </c>
      <c r="G10" s="417"/>
      <c r="H10" s="316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2" t="s">
        <v>505</v>
      </c>
      <c r="B11" s="313" t="str">
        <f>IF(MEMORIA_RESULTADOS!$W$48="","",MEMORIA_RESULTADOS!$W$48)</f>
        <v/>
      </c>
      <c r="C11" s="421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2"/>
      <c r="E11" s="422"/>
      <c r="F11" s="421" t="s">
        <v>433</v>
      </c>
      <c r="G11" s="422"/>
      <c r="H11" s="317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2" t="s">
        <v>506</v>
      </c>
      <c r="B12" s="313" t="str">
        <f>IFERROR(comparativo_VTA!$B$208,"")</f>
        <v/>
      </c>
      <c r="C12" s="421" t="s">
        <v>509</v>
      </c>
      <c r="D12" s="422"/>
      <c r="E12" s="422"/>
      <c r="F12" s="421" t="s">
        <v>434</v>
      </c>
      <c r="G12" s="422"/>
      <c r="H12" s="317" t="s">
        <v>435</v>
      </c>
    </row>
    <row r="13" spans="1:10" ht="46" hidden="1" customHeight="1" x14ac:dyDescent="0.3">
      <c r="A13" s="314" t="s">
        <v>507</v>
      </c>
      <c r="B13" s="315" t="str">
        <f ca="1">IF(MEMORIA_RESULTADOS!$W$51="","",MEMORIA_RESULTADOS!$W$51)</f>
        <v/>
      </c>
      <c r="C13" s="419" t="s">
        <v>436</v>
      </c>
      <c r="D13" s="420"/>
      <c r="E13" s="420"/>
      <c r="F13" s="419" t="s">
        <v>437</v>
      </c>
      <c r="G13" s="420"/>
      <c r="H13" s="318" t="str">
        <f ca="1">MEMORIA_RESULTADOS!$W$52</f>
        <v>POSICAO ATUAL NAO INFORMADA</v>
      </c>
    </row>
    <row r="14" spans="1:10" ht="15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8" t="s">
        <v>467</v>
      </c>
      <c r="B15" s="267" t="s">
        <v>438</v>
      </c>
      <c r="C15" s="267" t="s">
        <v>439</v>
      </c>
      <c r="D15" s="267" t="s">
        <v>440</v>
      </c>
      <c r="E15" s="270"/>
      <c r="F15" s="270"/>
      <c r="G15" s="270"/>
      <c r="H15" s="270"/>
    </row>
    <row r="16" spans="1:10" ht="19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37" t="str">
        <f>IF($A$23="","",$A$23&amp;CHAR(10)&amp;"Pago: R$ "&amp;ROUND($B$23,2)&amp;"  ·  Reajustado: R$ "&amp;ROUND($C$23,2)&amp;"  ·  Delta: R$ "&amp;ROUND($D$23,2)&amp;CHAR(10)&amp;$E$23)</f>
        <v/>
      </c>
      <c r="F16" s="438"/>
      <c r="G16" s="438"/>
      <c r="H16" s="438"/>
    </row>
    <row r="17" spans="1:8" ht="19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39"/>
      <c r="F17" s="438"/>
      <c r="G17" s="438"/>
      <c r="H17" s="438"/>
    </row>
    <row r="18" spans="1:8" ht="19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39"/>
      <c r="F18" s="438"/>
      <c r="G18" s="438"/>
      <c r="H18" s="438"/>
    </row>
    <row r="19" spans="1:8" ht="19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39"/>
      <c r="F19" s="438"/>
      <c r="G19" s="438"/>
      <c r="H19" s="438"/>
    </row>
    <row r="20" spans="1:8" ht="19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39"/>
      <c r="F20" s="438"/>
      <c r="G20" s="438"/>
      <c r="H20" s="438"/>
    </row>
    <row r="21" spans="1:8" ht="19" customHeight="1" x14ac:dyDescent="0.3">
      <c r="A21" s="339" t="s">
        <v>441</v>
      </c>
      <c r="B21" s="340"/>
      <c r="C21" s="340"/>
      <c r="D21" s="340" t="str">
        <f>IF(ISNUMBER(MEMORIA_RESULTADOS!$B$5),ROUND(RETRO_OFICIAL-SUM($D$16:$D$20),2),"")</f>
        <v/>
      </c>
      <c r="E21" s="439"/>
      <c r="F21" s="438"/>
      <c r="G21" s="438"/>
      <c r="H21" s="438"/>
    </row>
    <row r="22" spans="1:8" ht="42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441" t="str">
        <f>IF($G$22="","","Retroativo potencial — em análise"&amp;CHAR(10)&amp;"Valor potencial relacionado a itens ainda em análise. Não integra o retroativo reconhecido enquanto não houver confirmação.")</f>
        <v/>
      </c>
      <c r="F22" s="449"/>
      <c r="G22" s="450" t="str">
        <f>IF($B$5&lt;&gt;"PCs","",IFERROR(RETROATIVO_POTENCIAL_PC,""))</f>
        <v/>
      </c>
      <c r="H22" s="442"/>
    </row>
    <row r="23" spans="1:8" ht="15" customHeight="1" x14ac:dyDescent="0.3">
      <c r="A23" s="341" t="str">
        <f>IF(OR(MEMORIA_RESULTADOS!$B$4&lt;&gt;"PCs",MEMORIA_RESULTADOS!$T$28=0),"","PCs sem efeito financeiro: "&amp;MEMORIA_RESULTADOS!$T$28&amp;" PC(s)")</f>
        <v/>
      </c>
      <c r="B23" s="341" t="str">
        <f>IF(OR(MEMORIA_RESULTADOS!$B$4&lt;&gt;"PCs",MEMORIA_RESULTADOS!$T$28=0),"",MEMORIA_RESULTADOS!$T$29)</f>
        <v/>
      </c>
      <c r="C23" s="341" t="str">
        <f>IF(OR(MEMORIA_RESULTADOS!$B$4&lt;&gt;"PCs",MEMORIA_RESULTADOS!$T$28=0),"",ROUND(MEMORIA_RESULTADOS!$T$29+MEMORIA_RESULTADOS!$T$30,2))</f>
        <v/>
      </c>
      <c r="D23" s="341" t="str">
        <f>IF(OR(MEMORIA_RESULTADOS!$B$4&lt;&gt;"PCs",MEMORIA_RESULTADOS!$T$28=0),"",MEMORIA_RESULTADOS!$T$30)</f>
        <v/>
      </c>
      <c r="E23" s="425" t="str">
        <f>IF(OR(MEMORIA_RESULTADOS!$B$4&lt;&gt;"PCs",MEMORIA_RESULTADOS!$T$28=0),"","Sem retroativo pela regra de DATA_PC. Detalhes: itens_PC -&gt; EFEITO_FINANCEIRO_PC = Nao")</f>
        <v/>
      </c>
      <c r="F23" s="426"/>
      <c r="G23" s="426"/>
      <c r="H23" s="426"/>
    </row>
    <row r="24" spans="1:8" ht="22" customHeight="1" x14ac:dyDescent="0.3">
      <c r="A24" s="278" t="s">
        <v>468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customHeight="1" x14ac:dyDescent="0.3">
      <c r="A25" s="281" t="s">
        <v>295</v>
      </c>
      <c r="B25" s="282" t="s">
        <v>442</v>
      </c>
      <c r="C25" s="282" t="s">
        <v>443</v>
      </c>
      <c r="D25" s="283" t="s">
        <v>440</v>
      </c>
      <c r="E25" s="427" t="s">
        <v>469</v>
      </c>
      <c r="F25" s="428"/>
      <c r="G25" s="428"/>
      <c r="H25" s="428"/>
    </row>
    <row r="26" spans="1:8" ht="19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3" t="s">
        <v>444</v>
      </c>
      <c r="B34" s="287" t="str">
        <f>UPPER(CONTROLE!$B$2)</f>
        <v/>
      </c>
      <c r="C34" s="433"/>
      <c r="D34" s="434"/>
      <c r="E34" s="435" t="s">
        <v>470</v>
      </c>
      <c r="F34" s="436"/>
      <c r="G34" s="436"/>
      <c r="H34" s="436"/>
    </row>
    <row r="35" spans="1:8" ht="22" customHeight="1" x14ac:dyDescent="0.3">
      <c r="A35" s="273" t="s">
        <v>445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29" t="str">
        <f ca="1">IF($B$35="","Aguardando dado","")</f>
        <v>Aguardando dado</v>
      </c>
      <c r="D35" s="430"/>
      <c r="E35" s="437" t="str">
        <f ca="1">IF($A$39="","",$A$39)</f>
        <v/>
      </c>
      <c r="F35" s="438"/>
      <c r="G35" s="438"/>
      <c r="H35" s="440"/>
    </row>
    <row r="36" spans="1:8" ht="22" customHeight="1" x14ac:dyDescent="0.3">
      <c r="A36" s="273" t="s">
        <v>446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29" t="str">
        <f ca="1">IF($B$36="","Aguardando dado","")</f>
        <v>Aguardando dado</v>
      </c>
      <c r="D36" s="430"/>
      <c r="E36" s="439"/>
      <c r="F36" s="438"/>
      <c r="G36" s="438"/>
      <c r="H36" s="440"/>
    </row>
    <row r="37" spans="1:8" ht="22" customHeight="1" x14ac:dyDescent="0.3">
      <c r="A37" s="273" t="s">
        <v>447</v>
      </c>
      <c r="B37" s="274" t="str">
        <f>IFERROR(INDEX($C$26:$C$30,MATCH(UPPER(CONTROLE!$B$2),$A$26:$A$30,0)),"")</f>
        <v/>
      </c>
      <c r="C37" s="429" t="str">
        <f>IF($B$37="","Aguardando dado","")</f>
        <v>Aguardando dado</v>
      </c>
      <c r="D37" s="430"/>
      <c r="E37" s="439"/>
      <c r="F37" s="438"/>
      <c r="G37" s="438"/>
      <c r="H37" s="440"/>
    </row>
    <row r="38" spans="1:8" ht="22" customHeight="1" x14ac:dyDescent="0.3">
      <c r="A38" s="275" t="s">
        <v>448</v>
      </c>
      <c r="B38" s="276" t="str">
        <f ca="1">IF(OR(B36="",B37=""),"",ROUND(B37-B36,2))</f>
        <v/>
      </c>
      <c r="C38" s="431" t="str">
        <f ca="1">IF($B$38="","Aguardando dado","")</f>
        <v>Aguardando dado</v>
      </c>
      <c r="D38" s="432"/>
      <c r="E38" s="439"/>
      <c r="F38" s="438"/>
      <c r="G38" s="438"/>
      <c r="H38" s="440"/>
    </row>
    <row r="39" spans="1:8" ht="15" customHeight="1" x14ac:dyDescent="0.3">
      <c r="A39" s="423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4"/>
      <c r="C39" s="424"/>
      <c r="D39" s="424"/>
      <c r="E39" s="424"/>
      <c r="F39" s="424"/>
      <c r="G39" s="424"/>
      <c r="H39" s="424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471</v>
      </c>
      <c r="B41" s="290"/>
      <c r="C41" s="290"/>
      <c r="D41" s="342" t="s">
        <v>472</v>
      </c>
      <c r="E41" s="290"/>
      <c r="F41" s="290"/>
      <c r="G41" s="290"/>
      <c r="H41" s="290"/>
    </row>
    <row r="42" spans="1:8" ht="24" hidden="1" customHeight="1" x14ac:dyDescent="0.3">
      <c r="A42" s="291" t="s">
        <v>449</v>
      </c>
      <c r="B42" s="291" t="s">
        <v>295</v>
      </c>
      <c r="C42" s="291" t="s">
        <v>450</v>
      </c>
      <c r="D42" s="291" t="s">
        <v>451</v>
      </c>
      <c r="E42" s="291" t="s">
        <v>452</v>
      </c>
      <c r="F42" s="291" t="s">
        <v>453</v>
      </c>
      <c r="G42" s="291" t="s">
        <v>454</v>
      </c>
      <c r="H42" s="291" t="s">
        <v>455</v>
      </c>
    </row>
    <row r="43" spans="1:8" ht="24" hidden="1" customHeight="1" x14ac:dyDescent="0.3">
      <c r="A43" s="292" t="s">
        <v>291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456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457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458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458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458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458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458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customHeight="1" x14ac:dyDescent="0.3">
      <c r="A53" s="349" t="s">
        <v>511</v>
      </c>
      <c r="B53" s="350"/>
      <c r="C53" s="350"/>
      <c r="D53" s="298"/>
      <c r="E53" s="298"/>
      <c r="F53" s="298"/>
      <c r="G53" s="298"/>
      <c r="H53" s="298"/>
    </row>
    <row r="54" spans="1:8" x14ac:dyDescent="0.3">
      <c r="A54" s="443" t="s">
        <v>459</v>
      </c>
      <c r="B54" s="363" t="s">
        <v>431</v>
      </c>
      <c r="C54" s="443" t="s">
        <v>512</v>
      </c>
      <c r="D54" s="299"/>
      <c r="E54" s="299"/>
      <c r="F54" s="299"/>
      <c r="G54" s="299"/>
      <c r="H54" s="299"/>
    </row>
    <row r="55" spans="1:8" ht="16" customHeight="1" x14ac:dyDescent="0.3">
      <c r="A55" s="351" t="s">
        <v>513</v>
      </c>
      <c r="B55" s="444" t="str">
        <f>IF($B$5&lt;&gt;"PCs","",MEMORIA_RESULTADOS!$T$33)</f>
        <v/>
      </c>
      <c r="C55" s="352" t="s">
        <v>514</v>
      </c>
    </row>
    <row r="56" spans="1:8" ht="16" customHeight="1" x14ac:dyDescent="0.3">
      <c r="A56" s="351" t="s">
        <v>515</v>
      </c>
      <c r="B56" s="444" t="str">
        <f>IF($B$5&lt;&gt;"PCs","",MEMORIA_RESULTADOS!$T$34)</f>
        <v/>
      </c>
      <c r="C56" s="352" t="s">
        <v>516</v>
      </c>
    </row>
    <row r="57" spans="1:8" ht="16" customHeight="1" x14ac:dyDescent="0.3">
      <c r="A57" s="351" t="s">
        <v>460</v>
      </c>
      <c r="B57" s="444" t="str">
        <f>IF($B$5&lt;&gt;"PCs","",MEMORIA_RESULTADOS!$T$35)</f>
        <v/>
      </c>
      <c r="C57" s="352" t="s">
        <v>517</v>
      </c>
    </row>
    <row r="58" spans="1:8" ht="16" customHeight="1" x14ac:dyDescent="0.3">
      <c r="A58" s="351" t="s">
        <v>461</v>
      </c>
      <c r="B58" s="444" t="str">
        <f>IF($B$5&lt;&gt;"PCs","",MEMORIA_RESULTADOS!$T$36)</f>
        <v/>
      </c>
      <c r="C58" s="352" t="s">
        <v>518</v>
      </c>
    </row>
    <row r="59" spans="1:8" ht="16" customHeight="1" x14ac:dyDescent="0.3">
      <c r="A59" s="351" t="s">
        <v>462</v>
      </c>
      <c r="B59" s="444" t="str">
        <f>IF($B$5&lt;&gt;"PCs","",MEMORIA_RESULTADOS!$T$37)</f>
        <v/>
      </c>
      <c r="C59" s="352" t="s">
        <v>519</v>
      </c>
    </row>
    <row r="60" spans="1:8" ht="16" customHeight="1" x14ac:dyDescent="0.3">
      <c r="A60" s="351" t="s">
        <v>463</v>
      </c>
      <c r="B60" s="444" t="str">
        <f>$D$22</f>
        <v/>
      </c>
      <c r="C60" s="352" t="s">
        <v>520</v>
      </c>
    </row>
    <row r="61" spans="1:8" ht="16" customHeight="1" x14ac:dyDescent="0.3">
      <c r="A61" s="351" t="s">
        <v>521</v>
      </c>
      <c r="B61" s="444" t="str">
        <f ca="1">$B$36</f>
        <v/>
      </c>
      <c r="C61" s="352" t="s">
        <v>522</v>
      </c>
    </row>
    <row r="62" spans="1:8" ht="16" customHeight="1" x14ac:dyDescent="0.3">
      <c r="A62" s="351" t="s">
        <v>523</v>
      </c>
      <c r="B62" s="444" t="str">
        <f ca="1">$B$38</f>
        <v/>
      </c>
      <c r="C62" s="352" t="s">
        <v>524</v>
      </c>
    </row>
    <row r="63" spans="1:8" ht="16" customHeight="1" x14ac:dyDescent="0.3">
      <c r="A63" s="351" t="s">
        <v>464</v>
      </c>
      <c r="B63" s="445" t="str">
        <f>IF(VTA_FINAL="","",VTA_FINAL)</f>
        <v/>
      </c>
      <c r="C63" s="352" t="s">
        <v>525</v>
      </c>
    </row>
    <row r="64" spans="1:8" ht="16" customHeight="1" x14ac:dyDescent="0.3">
      <c r="A64" s="351" t="s">
        <v>526</v>
      </c>
      <c r="B64" s="353" t="str">
        <f>"Disponíveis na memória de cálculo"</f>
        <v>Disponíveis na memória de cálculo</v>
      </c>
      <c r="C64" s="352" t="s">
        <v>527</v>
      </c>
    </row>
    <row r="65" spans="1:8" ht="16" customHeight="1" x14ac:dyDescent="0.3">
      <c r="A65" s="351" t="s">
        <v>528</v>
      </c>
      <c r="B65" s="444" t="str">
        <f ca="1">$B$13</f>
        <v/>
      </c>
      <c r="C65" s="352" t="s">
        <v>529</v>
      </c>
    </row>
    <row r="66" spans="1:8" ht="16" customHeight="1" x14ac:dyDescent="0.3">
      <c r="A66" s="351" t="s">
        <v>465</v>
      </c>
      <c r="B66" s="354" t="str">
        <f ca="1">$B$3</f>
        <v>REVISE</v>
      </c>
      <c r="C66" s="352" t="s">
        <v>530</v>
      </c>
    </row>
    <row r="68" spans="1:8" ht="14.5" x14ac:dyDescent="0.3">
      <c r="A68" s="355" t="s">
        <v>485</v>
      </c>
      <c r="B68" s="355"/>
      <c r="C68" s="355"/>
    </row>
    <row r="69" spans="1:8" x14ac:dyDescent="0.3">
      <c r="A69" s="446" t="s">
        <v>531</v>
      </c>
      <c r="B69" s="446"/>
      <c r="C69" s="446"/>
      <c r="D69" s="446"/>
      <c r="E69" s="446"/>
      <c r="F69" s="446"/>
      <c r="G69" s="446"/>
      <c r="H69" s="446"/>
    </row>
    <row r="70" spans="1:8" x14ac:dyDescent="0.3">
      <c r="A70" s="446" t="str">
        <f>"MÉTODO APLICADO — "&amp;IF(MEMORIA_RESULTADOS!$B$4="Financeiro","Método Financeiro: execução já realizada = valores efetivamente desembolsados informados no financeiro.",IF(MEMORIA_RESULTADOS!$B$4="PCs","Método PCs: execução já realizada = valores apurados pelos Pedidos de Compra conforme as regras do método.",IF(MEMORIA_RESULTADOS!$B$4="Itens","Método Consumido: execução já realizada = quantidades consumidas x valores unitários aplicáveis.","Selecione o método na aba CONTROLE.")))</f>
        <v>MÉTODO APLICADO — Selecione o método na aba CONTROLE.</v>
      </c>
      <c r="B70" s="446"/>
      <c r="C70" s="446"/>
      <c r="D70" s="446"/>
      <c r="E70" s="446"/>
      <c r="F70" s="446"/>
      <c r="G70" s="446"/>
      <c r="H70" s="446"/>
    </row>
    <row r="71" spans="1:8" ht="14.5" x14ac:dyDescent="0.3">
      <c r="A71" s="355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5"/>
      <c r="C71" s="355"/>
      <c r="D71" s="355"/>
      <c r="E71" s="355"/>
    </row>
    <row r="72" spans="1:8" ht="26" x14ac:dyDescent="0.3">
      <c r="A72" s="357" t="s">
        <v>295</v>
      </c>
      <c r="B72" s="357" t="s">
        <v>486</v>
      </c>
      <c r="C72" s="357" t="s">
        <v>489</v>
      </c>
      <c r="D72" s="357" t="s">
        <v>490</v>
      </c>
      <c r="E72" s="357" t="s">
        <v>491</v>
      </c>
    </row>
    <row r="73" spans="1:8" x14ac:dyDescent="0.3">
      <c r="A73" s="358" t="s">
        <v>21</v>
      </c>
      <c r="B73" s="444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444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444" t="str">
        <f>IF(MEMORIA_RESULTADOS!$B$4&lt;&gt;"Financeiro","Nao aplicavel ao metodo selecionado",IF(OR(B73="",C73="",NOT(ISNUMBER(C73))),"",ROUND(B73-C73,2)))</f>
        <v>Nao aplicavel ao metodo selecionado</v>
      </c>
      <c r="E73" s="359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8" x14ac:dyDescent="0.3">
      <c r="A74" s="358" t="s">
        <v>22</v>
      </c>
      <c r="B74" s="444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444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444" t="str">
        <f>IF(MEMORIA_RESULTADOS!$B$4&lt;&gt;"Financeiro","Nao aplicavel ao metodo selecionado",IF(OR(B74="",C74="",NOT(ISNUMBER(C74))),"",ROUND(B74-C74,2)))</f>
        <v>Nao aplicavel ao metodo selecionado</v>
      </c>
      <c r="E74" s="359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8" x14ac:dyDescent="0.3">
      <c r="A75" s="358" t="s">
        <v>23</v>
      </c>
      <c r="B75" s="444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444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444" t="str">
        <f>IF(MEMORIA_RESULTADOS!$B$4&lt;&gt;"Financeiro","Nao aplicavel ao metodo selecionado",IF(OR(B75="",C75="",NOT(ISNUMBER(C75))),"",ROUND(B75-C75,2)))</f>
        <v>Nao aplicavel ao metodo selecionado</v>
      </c>
      <c r="E75" s="359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8" x14ac:dyDescent="0.3">
      <c r="A76" s="358" t="s">
        <v>24</v>
      </c>
      <c r="B76" s="444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444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444" t="str">
        <f>IF(MEMORIA_RESULTADOS!$B$4&lt;&gt;"Financeiro","Nao aplicavel ao metodo selecionado",IF(OR(B76="",C76="",NOT(ISNUMBER(C76))),"",ROUND(B76-C76,2)))</f>
        <v>Nao aplicavel ao metodo selecionado</v>
      </c>
      <c r="E76" s="359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8" x14ac:dyDescent="0.3">
      <c r="A77" s="358" t="s">
        <v>25</v>
      </c>
      <c r="B77" s="444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444" t="str">
        <f>IF(MEMORIA_RESULTADOS!$B$4&lt;&gt;"Financeiro","Nao aplicavel ao metodo selecionado","Sem historico quantitativo suficiente")</f>
        <v>Nao aplicavel ao metodo selecionado</v>
      </c>
      <c r="D77" s="444" t="str">
        <f>IF(MEMORIA_RESULTADOS!$B$4&lt;&gt;"Financeiro","Nao aplicavel ao metodo selecionado",IF(OR(B77="",C77="",NOT(ISNUMBER(C77))),"",ROUND(B77-C77,2)))</f>
        <v>Nao aplicavel ao metodo selecionado</v>
      </c>
      <c r="E77" s="359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8" x14ac:dyDescent="0.3">
      <c r="A78" s="360" t="s">
        <v>492</v>
      </c>
    </row>
    <row r="79" spans="1:8" ht="15.5" x14ac:dyDescent="0.3">
      <c r="A79" s="361" t="s">
        <v>493</v>
      </c>
      <c r="B79" s="361"/>
      <c r="C79" s="361"/>
    </row>
    <row r="80" spans="1:8" x14ac:dyDescent="0.3">
      <c r="A80" s="356" t="s">
        <v>494</v>
      </c>
      <c r="B80" s="356"/>
      <c r="C80" s="356"/>
    </row>
    <row r="81" spans="1:3" x14ac:dyDescent="0.3">
      <c r="A81" s="356" t="s">
        <v>495</v>
      </c>
      <c r="B81" s="356"/>
      <c r="C81" s="356"/>
    </row>
    <row r="82" spans="1:3" x14ac:dyDescent="0.3">
      <c r="A82" s="362" t="s">
        <v>496</v>
      </c>
      <c r="B82" s="363" t="s">
        <v>431</v>
      </c>
      <c r="C82" s="362" t="s">
        <v>497</v>
      </c>
    </row>
    <row r="83" spans="1:3" ht="24" x14ac:dyDescent="0.3">
      <c r="A83" s="364" t="s">
        <v>498</v>
      </c>
      <c r="B83" s="444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5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4" t="s">
        <v>499</v>
      </c>
      <c r="B84" s="444" t="str">
        <f>IF(MEMORIA_RESULTADOS!$B$4="Financeiro",IF(MEMORIA_RESULTADOS!$B$21="","",MEMORIA_RESULTADOS!$B$21),IF(OR(MEMORIA_RESULTADOS!$B$4="Itens",MEMORIA_RESULTADOS!$B$4="PCs"),0,""))</f>
        <v/>
      </c>
      <c r="C84" s="365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ht="24" x14ac:dyDescent="0.3">
      <c r="A85" s="364" t="s">
        <v>500</v>
      </c>
      <c r="B85" s="444" t="str">
        <f>IF(MEMORIA_RESULTADOS!$D$35="","",MEMORIA_RESULTADOS!$D$35)</f>
        <v/>
      </c>
      <c r="C85" s="365" t="s">
        <v>532</v>
      </c>
    </row>
    <row r="86" spans="1:3" ht="24.5" x14ac:dyDescent="0.35">
      <c r="A86" s="367" t="s">
        <v>501</v>
      </c>
      <c r="B86" s="447" t="str">
        <f>IF(VTA_FINAL="","",VTA_FINAL)</f>
        <v/>
      </c>
      <c r="C86" s="366" t="s">
        <v>525</v>
      </c>
    </row>
    <row r="87" spans="1:3" ht="24" x14ac:dyDescent="0.3">
      <c r="A87" s="369" t="s">
        <v>502</v>
      </c>
      <c r="B87" s="448" t="str">
        <f>IF(OR($B$83="",$B$85="",$B$86=""),"",ROUND($B$86-($B$83+N($B$84)+$B$85),2))</f>
        <v/>
      </c>
      <c r="C87" s="368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30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8" priority="53" stopIfTrue="1">
      <formula>$J$5=0</formula>
    </cfRule>
    <cfRule type="expression" dxfId="27" priority="54" stopIfTrue="1">
      <formula>$J$5&gt;0</formula>
    </cfRule>
  </conditionalFormatting>
  <conditionalFormatting sqref="B38">
    <cfRule type="cellIs" dxfId="26" priority="28" stopIfTrue="1" operator="lessThan">
      <formula>0</formula>
    </cfRule>
  </conditionalFormatting>
  <conditionalFormatting sqref="C4">
    <cfRule type="cellIs" dxfId="25" priority="44" stopIfTrue="1" operator="equal">
      <formula>"REVISE"</formula>
    </cfRule>
    <cfRule type="cellIs" dxfId="24" priority="45" stopIfTrue="1" operator="equal">
      <formula>"ESTIMADO"</formula>
    </cfRule>
    <cfRule type="cellIs" dxfId="23" priority="46" stopIfTrue="1" operator="equal">
      <formula>"VALIDADO"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E4">
    <cfRule type="cellIs" dxfId="21" priority="47" stopIfTrue="1" operator="equal">
      <formula>"REVISE"</formula>
    </cfRule>
    <cfRule type="cellIs" dxfId="20" priority="48" stopIfTrue="1" operator="equal">
      <formula>"ESTIMADO"</formula>
    </cfRule>
    <cfRule type="cellIs" dxfId="19" priority="49" stopIfTrue="1" operator="equal">
      <formula>"VALIDADO"</formula>
    </cfRule>
  </conditionalFormatting>
  <conditionalFormatting sqref="F4:G4 F5:H6">
    <cfRule type="expression" dxfId="17" priority="41" stopIfTrue="1">
      <formula>$H$33="VALIDADO"</formula>
    </cfRule>
    <cfRule type="expression" dxfId="16" priority="42" stopIfTrue="1">
      <formula>$H$33="REVISE"</formula>
    </cfRule>
    <cfRule type="expression" dxfId="15" priority="43" stopIfTrue="1">
      <formula>$H$33="ESTIMADO"</formula>
    </cfRule>
  </conditionalFormatting>
  <conditionalFormatting sqref="G1">
    <cfRule type="cellIs" dxfId="14" priority="31" stopIfTrue="1" operator="equal">
      <formula>"REVISE"</formula>
    </cfRule>
    <cfRule type="cellIs" dxfId="13" priority="32" stopIfTrue="1" operator="equal">
      <formula>"ESTIMADO"</formula>
    </cfRule>
    <cfRule type="cellIs" dxfId="12" priority="33" stopIfTrue="1" operator="equal">
      <formula>"VALIDADO"</formula>
    </cfRule>
  </conditionalFormatting>
  <conditionalFormatting sqref="H4">
    <cfRule type="cellIs" dxfId="11" priority="50" stopIfTrue="1" operator="equal">
      <formula>"REVISE"</formula>
    </cfRule>
    <cfRule type="cellIs" dxfId="10" priority="51" stopIfTrue="1" operator="equal">
      <formula>"ESTIMADO"</formula>
    </cfRule>
    <cfRule type="cellIs" dxfId="9" priority="52" stopIfTrue="1" operator="equal">
      <formula>"VALIDADO"</formula>
    </cfRule>
  </conditionalFormatting>
  <conditionalFormatting sqref="H24">
    <cfRule type="cellIs" dxfId="8" priority="10" stopIfTrue="1" operator="equal">
      <formula>"REVISE"</formula>
    </cfRule>
    <cfRule type="cellIs" dxfId="7" priority="11" stopIfTrue="1" operator="equal">
      <formula>"ESTIMADO"</formula>
    </cfRule>
    <cfRule type="cellIs" dxfId="6" priority="12" stopIfTrue="1" operator="equal">
      <formula>"VALIDADO"</formula>
    </cfRule>
  </conditionalFormatting>
  <conditionalFormatting sqref="H33">
    <cfRule type="cellIs" dxfId="5" priority="13" stopIfTrue="1" operator="equal">
      <formula>"REVISE"</formula>
    </cfRule>
    <cfRule type="cellIs" dxfId="4" priority="14" stopIfTrue="1" operator="equal">
      <formula>"ESTIMADO"</formula>
    </cfRule>
    <cfRule type="cellIs" dxfId="3" priority="15" stopIfTrue="1" operator="equal">
      <formula>"VALIDADO"</formula>
    </cfRule>
  </conditionalFormatting>
  <conditionalFormatting sqref="H43:H50">
    <cfRule type="cellIs" dxfId="2" priority="29" stopIfTrue="1" operator="equal">
      <formula>"REVISE"</formula>
    </cfRule>
    <cfRule type="cellIs" dxfId="1" priority="30" stopIfTrue="1" operator="equal">
      <formula>"VALIDADO"</formula>
    </cfRule>
  </conditionalFormatting>
  <conditionalFormatting sqref="E22:H22">
    <cfRule type="expression" dxfId="0" priority="55" stopIfTrue="1">
      <formula>$G$22&lt;&gt;""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2026-09-02T14:02:08Z</dcterms:modified>
</cp:coreProperties>
</file>