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1.RESULTADOS_EXECUTIVO_V3\templates\"/>
    </mc:Choice>
  </mc:AlternateContent>
  <xr:revisionPtr revIDLastSave="0" documentId="13_ncr:1_{1B8EB71B-8856-4A6D-8789-54D1122344C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0" l="1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B8" i="13"/>
  <c r="W49" i="14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E168" i="12" l="1"/>
  <c r="H169" i="11" s="1"/>
  <c r="J169" i="11" s="1"/>
  <c r="E115" i="12"/>
  <c r="H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E18" i="15" l="1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U14" i="5"/>
  <c r="AT14" i="5"/>
  <c r="N14" i="5"/>
  <c r="AT42" i="5"/>
  <c r="N42" i="5"/>
  <c r="K62" i="11"/>
  <c r="M62" i="11" s="1"/>
  <c r="R61" i="5"/>
  <c r="R85" i="5"/>
  <c r="BB85" i="5"/>
  <c r="N98" i="5"/>
  <c r="AT98" i="5"/>
  <c r="AV98" i="5" s="1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AV77" i="5" s="1"/>
  <c r="P103" i="9"/>
  <c r="AX4" i="5"/>
  <c r="P4" i="5"/>
  <c r="AX20" i="5"/>
  <c r="P20" i="5"/>
  <c r="AP70" i="5"/>
  <c r="AR70" i="5" s="1"/>
  <c r="AC70" i="5"/>
  <c r="AQ70" i="5"/>
  <c r="R84" i="5"/>
  <c r="AT171" i="5"/>
  <c r="AU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AV22" i="5" s="1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AV127" i="5" s="1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AU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BD58" i="5" s="1"/>
  <c r="R58" i="5"/>
  <c r="AC147" i="5"/>
  <c r="AQ147" i="5"/>
  <c r="AP147" i="5"/>
  <c r="AR147" i="5" s="1"/>
  <c r="AT99" i="5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U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AV50" i="5" s="1"/>
  <c r="N50" i="5"/>
  <c r="AP10" i="5"/>
  <c r="AR10" i="5" s="1"/>
  <c r="AQ10" i="5"/>
  <c r="AC10" i="5"/>
  <c r="AX56" i="5"/>
  <c r="P56" i="5"/>
  <c r="AY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Z163" i="5" l="1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<sst xmlns="http://schemas.openxmlformats.org/spreadsheetml/2006/main" count="40897" uniqueCount="737">
  <si>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</si>
  <si>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</si>
  <si>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</si>
  <si>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</si>
  <si>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</si>
  <si>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</si>
  <si>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</si>
  <si>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</si>
  <si>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</si>
  <si>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</si>
  <si>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</si>
  <si>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</si>
  <si>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</si>
  <si>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</si>
  <si>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</si>
  <si>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</si>
  <si>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</si>
  <si>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</si>
  <si>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</si>
  <si>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</si>
  <si>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</si>
  <si>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</si>
  <si>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</si>
  <si>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</si>
  <si>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</si>
  <si>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</si>
  <si>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</si>
  <si>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</si>
  <si>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</si>
  <si>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</si>
  <si>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</si>
  <si>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</si>
  <si>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</si>
  <si>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</si>
  <si>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</si>
  <si>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</si>
  <si>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</si>
  <si>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</si>
  <si>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</si>
  <si>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</si>
  <si>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</si>
  <si>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</si>
  <si>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</si>
  <si>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</si>
  <si>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</si>
  <si>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</si>
  <si>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</si>
  <si>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</si>
  <si>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</si>
  <si>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</si>
  <si>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</si>
  <si>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</si>
  <si>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</si>
  <si>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</si>
  <si>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</si>
  <si>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</si>
  <si>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</si>
  <si>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</si>
  <si>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</si>
  <si>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</si>
  <si>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</si>
  <si>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</si>
  <si>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</si>
  <si>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</si>
  <si>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</si>
  <si>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</si>
  <si>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</si>
  <si>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</si>
  <si>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</si>
  <si>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</si>
  <si>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</si>
  <si>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</si>
  <si>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</si>
  <si>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</si>
  <si>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</si>
  <si>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</si>
  <si>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</si>
  <si>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</si>
  <si>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</si>
  <si>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</si>
  <si>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</si>
  <si>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</si>
  <si>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</si>
  <si>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</si>
  <si>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</si>
  <si>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</si>
  <si>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</si>
  <si>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</si>
  <si>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</si>
  <si>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</si>
  <si>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</si>
  <si>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</si>
  <si>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</si>
  <si>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</si>
  <si>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</si>
  <si>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</si>
  <si>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</si>
  <si>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</si>
  <si>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</si>
  <si>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</si>
  <si>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</si>
  <si>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</si>
  <si>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</si>
  <si>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</si>
  <si>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</si>
  <si>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</si>
  <si>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</si>
  <si>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</si>
  <si>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</si>
  <si>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</si>
  <si>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</si>
  <si>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</si>
  <si>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</si>
  <si>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</si>
  <si>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</si>
  <si>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</si>
  <si>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</si>
  <si>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</si>
  <si>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</si>
  <si>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</si>
  <si>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</si>
  <si>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</si>
  <si>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</si>
  <si>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</si>
  <si>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</si>
  <si>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</si>
  <si>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</si>
  <si>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</si>
  <si>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</si>
  <si>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</si>
  <si>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</si>
  <si>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</si>
  <si>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</si>
  <si>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</si>
  <si>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</si>
  <si>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</si>
  <si>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</si>
  <si>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</si>
  <si>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</si>
  <si>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</si>
  <si>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</si>
  <si>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</si>
  <si>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</si>
  <si>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</si>
  <si>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</si>
  <si>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</si>
  <si>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</si>
  <si>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</si>
  <si>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</si>
  <si>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</si>
  <si>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</si>
  <si>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</si>
  <si>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</si>
  <si>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</si>
  <si>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</si>
  <si>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</si>
  <si>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</si>
  <si>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</si>
  <si>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</si>
  <si>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</si>
  <si>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</si>
  <si>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</si>
  <si>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</si>
  <si>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</si>
  <si>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</si>
  <si>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</si>
  <si>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</si>
  <si>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</si>
  <si>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</si>
  <si>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</si>
  <si>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</si>
  <si>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</si>
  <si>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</si>
  <si>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</si>
  <si>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</si>
  <si>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</si>
  <si>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</si>
  <si>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</si>
  <si>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</si>
  <si>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</si>
  <si>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</si>
  <si>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</si>
  <si>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</si>
  <si>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</si>
  <si>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</si>
  <si>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</si>
  <si>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</si>
  <si>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</si>
  <si>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</si>
  <si>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</si>
  <si>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</si>
  <si>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</si>
  <si>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</si>
  <si>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</si>
  <si>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</si>
  <si>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</si>
  <si>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</si>
  <si>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</si>
  <si>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</si>
  <si>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</si>
  <si>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</si>
  <si>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</si>
  <si>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</si>
  <si>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</si>
  <si>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</si>
  <si>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</si>
  <si>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</si>
  <si>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</si>
  <si>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</si>
  <si>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</si>
  <si>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</si>
  <si>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</si>
  <si>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</si>
  <si>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</si>
  <si>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</si>
  <si>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</si>
  <si>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</si>
  <si>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</si>
  <si>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</si>
  <si>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</si>
  <si>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</si>
  <si>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</si>
  <si>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</si>
  <si>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</si>
  <si>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</si>
  <si>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</si>
  <si>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</si>
  <si>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</si>
  <si>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</si>
  <si>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</si>
  <si>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</si>
  <si>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</si>
  <si>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</si>
  <si>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</si>
  <si>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</si>
  <si>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</si>
  <si>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</si>
  <si>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</si>
  <si>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</si>
  <si>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</si>
  <si>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</si>
  <si>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</si>
  <si>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</si>
  <si>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</si>
  <si>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</si>
  <si>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</si>
  <si>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</si>
  <si>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</si>
  <si>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</si>
  <si>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</si>
  <si>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</si>
  <si>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</si>
  <si>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</si>
  <si>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</si>
  <si>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</si>
  <si>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</si>
  <si>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</si>
  <si>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</si>
  <si>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</si>
  <si>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</si>
  <si>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</si>
  <si>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</si>
  <si>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</si>
  <si>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</si>
  <si>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</si>
  <si>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</si>
  <si>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</si>
  <si>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</si>
  <si>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</si>
  <si>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</si>
  <si>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</si>
  <si>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</si>
  <si>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</si>
  <si>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</si>
  <si>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</si>
  <si>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</si>
  <si>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</si>
  <si>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</si>
  <si>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</si>
  <si>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</si>
  <si>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</si>
  <si>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</si>
  <si>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</si>
  <si>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</si>
  <si>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</si>
  <si>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</si>
  <si>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</si>
  <si>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</si>
  <si>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</si>
  <si>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</si>
  <si>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</si>
  <si>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</si>
  <si>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</si>
  <si>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</si>
  <si>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</si>
  <si>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</si>
  <si>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</si>
  <si>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</si>
  <si>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</si>
  <si>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</si>
  <si>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</si>
  <si>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</si>
  <si>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</si>
  <si>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</si>
  <si>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</si>
  <si>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</si>
  <si>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</si>
  <si>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</si>
  <si>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</si>
  <si>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</si>
  <si>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</si>
  <si>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</si>
  <si>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</si>
  <si>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</si>
  <si>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</si>
  <si>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</si>
  <si>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</si>
  <si>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</si>
  <si>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</si>
  <si>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</si>
  <si>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</si>
  <si>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</si>
  <si>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</si>
  <si>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</si>
  <si>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</si>
  <si>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</si>
  <si>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</si>
  <si>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</si>
  <si>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</si>
  <si>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</si>
  <si>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</si>
  <si>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</si>
  <si>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</si>
  <si>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</si>
  <si>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</si>
  <si>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</si>
  <si>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</si>
  <si>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</si>
  <si>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</si>
  <si>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</si>
  <si>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</si>
  <si>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</si>
  <si>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</si>
  <si>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</si>
  <si>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</si>
  <si>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</si>
  <si>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</si>
  <si>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</si>
  <si>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</si>
  <si>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</si>
  <si>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</si>
  <si>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</si>
  <si>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</si>
  <si>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</si>
  <si>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</si>
  <si>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</si>
  <si>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</si>
  <si>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</si>
  <si>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</si>
  <si>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</si>
  <si>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</si>
  <si>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</si>
  <si>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</si>
  <si>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</si>
  <si>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</si>
  <si>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</si>
  <si>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</si>
  <si>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</si>
  <si>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</si>
  <si>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</si>
  <si>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</si>
  <si>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</si>
  <si>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</si>
  <si>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</si>
  <si>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</si>
  <si>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</si>
  <si>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</si>
  <si>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</si>
  <si>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</si>
  <si>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</si>
  <si>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</si>
  <si>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</si>
  <si>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</si>
  <si>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</si>
  <si>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</si>
  <si>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</si>
  <si>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</si>
  <si>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</si>
  <si>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</si>
  <si>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</si>
  <si>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</si>
  <si>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</si>
  <si>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</si>
  <si>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</si>
  <si>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</si>
  <si>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</si>
  <si>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</si>
  <si>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</si>
  <si>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</si>
  <si>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</si>
  <si>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</si>
  <si>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</si>
  <si>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</si>
  <si>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</si>
  <si>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</si>
  <si>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</si>
  <si>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</si>
  <si>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</si>
  <si>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</si>
  <si>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</si>
  <si>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</si>
  <si>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</si>
  <si>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</si>
  <si>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</si>
  <si>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</si>
  <si>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</si>
  <si>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</si>
  <si>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</si>
  <si>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</si>
  <si>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</si>
  <si>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</si>
  <si>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</si>
  <si>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</si>
  <si>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</si>
  <si>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</si>
  <si>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</si>
  <si>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</si>
  <si>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</si>
  <si>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</si>
  <si>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</si>
  <si>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</si>
  <si>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</si>
  <si>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</si>
  <si>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</si>
  <si>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</si>
  <si>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</si>
  <si>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</si>
  <si>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</si>
  <si>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</si>
  <si>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</si>
  <si>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</si>
  <si>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</si>
  <si>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</si>
  <si>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</si>
  <si>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</si>
  <si>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</si>
  <si>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</si>
  <si>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</si>
  <si>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</si>
  <si>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</si>
  <si>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</si>
  <si>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</si>
  <si>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</si>
  <si>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</si>
  <si>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</si>
  <si>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</si>
  <si>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</si>
  <si>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</si>
  <si>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</si>
  <si>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</si>
  <si>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</si>
  <si>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</si>
  <si>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</si>
  <si>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</si>
  <si>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</si>
  <si>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</si>
  <si>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</si>
  <si>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</si>
  <si>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</si>
  <si>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</si>
  <si>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</si>
  <si>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</si>
  <si>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</si>
  <si>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</si>
  <si>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</si>
  <si>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</si>
  <si>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</si>
  <si>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</si>
  <si>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</si>
  <si>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</si>
  <si>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</si>
  <si>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</si>
  <si>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</si>
  <si>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</si>
  <si>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</si>
  <si>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</si>
  <si>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</si>
  <si>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</si>
  <si>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</si>
  <si>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</si>
  <si>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</si>
  <si>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</si>
  <si>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</si>
  <si>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</si>
  <si>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</si>
  <si>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</si>
  <si>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</si>
  <si>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</si>
  <si>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</si>
  <si>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</si>
  <si>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</si>
  <si>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</si>
  <si>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</si>
  <si>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</si>
  <si>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</si>
  <si>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</si>
  <si>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</si>
  <si>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</si>
  <si>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</si>
  <si>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</si>
  <si>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</si>
  <si>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</si>
  <si>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</si>
  <si>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</si>
  <si>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</si>
  <si>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</si>
  <si>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</si>
  <si>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</si>
  <si>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</si>
  <si>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</si>
  <si>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</si>
  <si>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</si>
  <si>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</si>
  <si>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</si>
  <si>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</si>
  <si>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</si>
  <si>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</si>
  <si>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</si>
  <si>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</si>
  <si>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</si>
  <si>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</si>
  <si>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</si>
  <si>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</si>
  <si>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</si>
  <si>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</si>
  <si>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</si>
  <si>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</si>
  <si>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</si>
  <si>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</si>
  <si>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</si>
  <si>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</si>
  <si>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</si>
  <si>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</si>
  <si>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</si>
  <si>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</si>
  <si>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</si>
  <si>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</si>
  <si>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</si>
  <si>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</si>
  <si>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</si>
  <si>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</si>
  <si>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</si>
  <si>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</si>
  <si>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</si>
  <si>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</si>
  <si>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</si>
  <si>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</si>
  <si>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</si>
  <si>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</si>
  <si>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</si>
  <si>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</si>
  <si>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</si>
  <si>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</si>
  <si>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</si>
  <si>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</si>
  <si>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</si>
  <si>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</si>
  <si>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</si>
  <si>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</si>
  <si>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</si>
  <si>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</si>
  <si>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</si>
  <si>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</si>
  <si>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</si>
  <si>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</si>
  <si>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</si>
  <si>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</si>
  <si>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</si>
  <si>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</si>
  <si>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</si>
  <si>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</si>
  <si>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</si>
  <si>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</si>
  <si>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</si>
  <si>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</si>
  <si>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</si>
  <si>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</si>
  <si>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</si>
  <si>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</si>
  <si>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</si>
  <si>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</si>
  <si>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</si>
  <si>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</si>
  <si>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</si>
  <si>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</si>
  <si>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</si>
  <si>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</si>
  <si>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</si>
  <si>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</si>
  <si>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</si>
  <si>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</si>
  <si>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</si>
  <si>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</si>
  <si>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</si>
  <si>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</si>
  <si>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</si>
  <si>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</si>
  <si>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</si>
  <si>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</si>
  <si>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</si>
  <si>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</si>
  <si>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</si>
  <si>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</si>
  <si>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</si>
  <si>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</si>
  <si>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</si>
  <si>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</si>
  <si>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</si>
  <si>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</si>
  <si>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</si>
  <si>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</si>
  <si>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</si>
  <si>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</si>
  <si>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</si>
  <si>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</si>
  <si>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</si>
  <si>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</si>
  <si>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</si>
  <si>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</si>
  <si>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</si>
  <si>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</si>
  <si>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</si>
  <si>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</si>
  <si>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</si>
  <si>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</si>
  <si>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</si>
  <si>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</si>
  <si>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</si>
  <si>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</si>
  <si>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</si>
  <si>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</si>
  <si>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</si>
  <si>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</si>
  <si>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</si>
  <si>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</si>
  <si>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</si>
  <si>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</si>
  <si>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</si>
  <si>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</si>
  <si>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</si>
  <si>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</si>
  <si>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</si>
  <si>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</si>
  <si>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</si>
  <si>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</si>
  <si>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</si>
  <si>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</si>
  <si>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</si>
  <si>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</si>
  <si>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</si>
  <si>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</si>
  <si>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</si>
  <si>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</si>
  <si>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</si>
  <si>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</si>
  <si>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</si>
  <si>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</si>
  <si>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</si>
  <si>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</si>
  <si>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</si>
  <si>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</si>
  <si>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</si>
  <si>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</si>
  <si>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</si>
  <si>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</si>
  <si>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</si>
  <si>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</si>
  <si>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</si>
  <si>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</si>
  <si>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</si>
  <si>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</si>
  <si>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</si>
  <si>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</si>
  <si>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</si>
  <si>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</si>
  <si>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</si>
  <si>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</si>
  <si>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</si>
  <si>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</si>
  <si>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</si>
  <si>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</si>
  <si>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</si>
  <si>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</si>
  <si>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</si>
  <si>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</si>
  <si>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</si>
  <si>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</si>
  <si>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</si>
  <si>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</si>
  <si>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</si>
  <si>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Síntese executiva da apuração do reajuste. A memória técnica, as conferências e os ajustes manuais estão na aba RESULTADOS_DETALHE.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</si>
  <si>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</si>
  <si>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</si>
  <si>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</si>
  <si>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</si>
  <si>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</si>
  <si>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</si>
  <si>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</si>
  <si>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</si>
  <si>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</si>
  <si>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</si>
  <si>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</si>
  <si>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</si>
  <si>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</si>
  <si>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</si>
  <si>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</si>
  <si>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</si>
  <si>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</si>
  <si>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</si>
  <si>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</si>
  <si>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</si>
  <si>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</si>
  <si>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</si>
  <si>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</si>
  <si>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</si>
  <si>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</si>
  <si>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</si>
  <si>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</si>
  <si>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</si>
  <si>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</si>
  <si>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</si>
  <si>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</si>
  <si>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</si>
  <si>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</si>
  <si>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</si>
  <si>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Editar na aba RESULTADOS_DETALHE — bloco 5. AJUSTES MANUAIS (clique aqui)</t>
  </si>
  <si>
    <t>SUMPRODUCT(posicao_contratual!B x C) x RESULTADOS_DETALHE!H5 (fator historico integral)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</si>
</sst>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  <numFmt numFmtId="186" formatCode="&quot;R$&quot;\ #,##0.00;\-&quot;R$&quot;\ #,##0.00;&quot;R$&quot;\ 0.00;@"/>
    <numFmt numFmtId="187" formatCode="0.00%;\-0.00%;0.00%;@"/>
  </numFmts>
  <fonts count="104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u/>
      <sz val="11"/>
      <color theme="10"/>
      <name val="Calibri"/>
      <family val="2"/>
    </font>
    <font>
      <b/>
      <u/>
      <sz val="9"/>
      <color rgb="FF0563C1"/>
      <name val="Calibri"/>
      <family val="2"/>
    </font>
    <font>
      <i/>
      <sz val="8.5"/>
      <color rgb="FF595959"/>
      <name val="Calibri"/>
      <family val="2"/>
    </font>
  </fonts>
  <fills count="7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2">
    <xf numFmtId="0" fontId="0" fillId="0" borderId="38"/>
    <xf numFmtId="0" fontId="101" fillId="0" borderId="38" applyNumberFormat="0" applyFill="0" applyBorder="0" applyAlignment="0" applyProtection="0"/>
  </cellStyleXfs>
  <cellXfs count="59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49" fontId="0" fillId="0" borderId="0" xfId="0" applyNumberFormat="1" applyBorder="1"/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7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6" fontId="57" fillId="66" borderId="0" xfId="0" applyNumberFormat="1" applyFont="1" applyFill="1" applyBorder="1" applyAlignment="1">
      <alignment horizontal="right" vertical="center" indent="1"/>
    </xf>
    <xf numFmtId="186" fontId="86" fillId="67" borderId="0" xfId="0" applyNumberFormat="1" applyFont="1" applyFill="1" applyBorder="1" applyAlignment="1">
      <alignment horizontal="right" vertical="center" indent="1"/>
    </xf>
    <xf numFmtId="186" fontId="88" fillId="39" borderId="0" xfId="0" applyNumberFormat="1" applyFont="1" applyFill="1" applyBorder="1" applyAlignment="1">
      <alignment horizontal="right" vertical="center" indent="1"/>
    </xf>
    <xf numFmtId="186" fontId="90" fillId="43" borderId="0" xfId="0" applyNumberFormat="1" applyFont="1" applyFill="1" applyBorder="1" applyAlignment="1">
      <alignment horizontal="right" vertical="center" indent="1"/>
    </xf>
    <xf numFmtId="187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6" fontId="99" fillId="0" borderId="92" xfId="0" applyNumberFormat="1" applyFont="1" applyBorder="1" applyAlignment="1">
      <alignment horizontal="right" vertical="center"/>
    </xf>
    <xf numFmtId="186" fontId="99" fillId="0" borderId="93" xfId="0" applyNumberFormat="1" applyFont="1" applyBorder="1" applyAlignment="1">
      <alignment horizontal="right" vertical="center"/>
    </xf>
    <xf numFmtId="186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6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6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7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7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7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6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6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6" fontId="14" fillId="0" borderId="0" xfId="0" applyNumberFormat="1" applyFont="1" applyBorder="1" applyAlignment="1">
      <alignment horizontal="right" vertical="center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0" xfId="0" applyFont="1" applyBorder="1" applyAlignment="1">
      <alignment horizontal="left" vertical="center" wrapText="1" indent="1"/>
    </xf>
    <xf numFmtId="49" fontId="103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102" fillId="0" borderId="8" xfId="1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38" xfId="0" applyNumberFormat="1" applyFont="1" applyFill="1" applyBorder="1" applyAlignment="1">
      <alignment horizontal="left" vertical="center" wrapText="1" indent="1"/>
    </xf>
    <xf numFmtId="49" fontId="98" fillId="69" borderId="38" xfId="0" applyNumberFormat="1" applyFont="1" applyFill="1" applyBorder="1" applyAlignment="1">
      <alignment horizontal="left" vertical="center" wrapText="1"/>
    </xf>
    <xf numFmtId="49" fontId="5" fillId="0" borderId="38" xfId="0" applyNumberFormat="1" applyFont="1" applyBorder="1" applyAlignment="1">
      <alignment horizontal="left" vertical="center" wrapText="1" indent="1"/>
    </xf>
    <xf numFmtId="186" fontId="5" fillId="0" borderId="38" xfId="0" applyNumberFormat="1" applyFont="1" applyBorder="1" applyAlignment="1">
      <alignment horizontal="right" vertical="center"/>
    </xf>
    <xf numFmtId="49" fontId="98" fillId="69" borderId="38" xfId="0" applyNumberFormat="1" applyFont="1" applyFill="1" applyBorder="1" applyAlignment="1">
      <alignment horizontal="center" vertical="center" wrapText="1"/>
    </xf>
    <xf numFmtId="0" fontId="98" fillId="69" borderId="38" xfId="0" applyFont="1" applyFill="1" applyBorder="1" applyAlignment="1">
      <alignment horizontal="right" vertical="center" wrapText="1"/>
    </xf>
  </cellXfs>
  <cellStyles count="2">
    <cellStyle name="Hiperlink" xfId="1" builtinId="8"/>
    <cellStyle name="Normal" xfId="0" builtinId="0"/>
  </cellStyles>
  <dxfs count="108"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ill>
        <patternFill>
          <bgColor rgb="FFDEEAF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46298.44675520833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469" t="s">
        <v>49</v>
      </c>
      <c r="B9" s="470"/>
      <c r="C9" s="470"/>
      <c r="D9" s="470"/>
      <c r="E9" s="470"/>
      <c r="F9" s="47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13"/>
      <c r="X1" s="388" t="s">
        <v>547</v>
      </c>
      <c r="Y1" s="388" t="s">
        <v>548</v>
      </c>
      <c r="Z1" s="388" t="s">
        <v>549</v>
      </c>
      <c r="AA1" s="388" t="s">
        <v>550</v>
      </c>
      <c r="AB1" s="388" t="s">
        <v>551</v>
      </c>
      <c r="AC1" s="388" t="s">
        <v>552</v>
      </c>
      <c r="AD1" s="388" t="s">
        <v>553</v>
      </c>
      <c r="AE1" s="388" t="s">
        <v>554</v>
      </c>
      <c r="AF1" s="388" t="s">
        <v>555</v>
      </c>
      <c r="AG1" s="38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389" t="str">
        <f>IF(COUNT($E$2:$E$200)=0,"",IF(OR(NOT(ISNUMBER(parametros!$F2)),NOT(ISNUMBER($AD2)),$AD2=0),"",ROUND(SUMPRODUCT($E$2:$E$200,$C$2:$C$200)*parametros!$F2/$AD2,2)))</f>
        <v/>
      </c>
      <c r="AA2" s="389"/>
      <c r="AB2" s="389" t="str">
        <f>IF($AG2&lt;&gt;"AJUSTE APLICADO","",IF($Z2="Valor pago",ROUND($AA2,2),ROUND($Y2-$AA2,2)))</f>
        <v/>
      </c>
      <c r="AC2" s="389" t="str">
        <f>IF($AG2&lt;&gt;"AJUSTE APLICADO","",ROUND($Y2-$AB2,2))</f>
        <v/>
      </c>
      <c r="AD2" s="390">
        <f>IF(ISNUMBER(parametros!$D11),parametros!$D11,"")</f>
        <v>1</v>
      </c>
      <c r="AE2" s="389" t="str">
        <f>IF($AG2&lt;&gt;"AJUSTE APLICADO","",ROUND($AB2*$AD2,2))</f>
        <v/>
      </c>
      <c r="AF2" s="3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389" t="str">
        <f>IF(COUNT($G$2:$G$200)=0,"",IF(OR(NOT(ISNUMBER(parametros!$F3)),NOT(ISNUMBER($AD3)),$AD3=0),"",ROUND(SUMPRODUCT($G$2:$G$200,$C$2:$C$200)*parametros!$F3/$AD3,2)))</f>
        <v/>
      </c>
      <c r="AA3" s="389"/>
      <c r="AB3" s="389" t="str">
        <f>IF($AG3&lt;&gt;"AJUSTE APLICADO","",IF($Z3="Valor pago",ROUND($AA3,2),ROUND($Y3-$AA3,2)))</f>
        <v/>
      </c>
      <c r="AC3" s="389" t="str">
        <f>IF($AG3&lt;&gt;"AJUSTE APLICADO","",ROUND($Y3-$AB3,2))</f>
        <v/>
      </c>
      <c r="AD3" s="390" t="str">
        <f>IF(ISNUMBER(parametros!$D12),parametros!$D12,"")</f>
        <v/>
      </c>
      <c r="AE3" s="389" t="str">
        <f>IF($AG3&lt;&gt;"AJUSTE APLICADO","",ROUND($AB3*$AD3,2))</f>
        <v/>
      </c>
      <c r="AF3" s="3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389" t="str">
        <f>IF(COUNT($I$2:$I$200)=0,"",IF(OR(NOT(ISNUMBER(parametros!$F4)),NOT(ISNUMBER($AD4)),$AD4=0),"",ROUND(SUMPRODUCT($I$2:$I$200,$C$2:$C$200)*parametros!$F4/$AD4,2)))</f>
        <v/>
      </c>
      <c r="AA4" s="389"/>
      <c r="AB4" s="389" t="str">
        <f>IF($AG4&lt;&gt;"AJUSTE APLICADO","",IF($Z4="Valor pago",ROUND($AA4,2),ROUND($Y4-$AA4,2)))</f>
        <v/>
      </c>
      <c r="AC4" s="389" t="str">
        <f>IF($AG4&lt;&gt;"AJUSTE APLICADO","",ROUND($Y4-$AB4,2))</f>
        <v/>
      </c>
      <c r="AD4" s="390" t="str">
        <f>IF(ISNUMBER(parametros!$D13),parametros!$D13,"")</f>
        <v/>
      </c>
      <c r="AE4" s="389" t="str">
        <f>IF($AG4&lt;&gt;"AJUSTE APLICADO","",ROUND($AB4*$AD4,2))</f>
        <v/>
      </c>
      <c r="AF4" s="3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389" t="str">
        <f>IF(COUNT($K$2:$K$200)=0,"",IF(OR(NOT(ISNUMBER(parametros!$F5)),NOT(ISNUMBER($AD5)),$AD5=0),"",ROUND(SUMPRODUCT($K$2:$K$200,$C$2:$C$200)*parametros!$F5/$AD5,2)))</f>
        <v/>
      </c>
      <c r="AA5" s="389"/>
      <c r="AB5" s="389" t="str">
        <f>IF($AG5&lt;&gt;"AJUSTE APLICADO","",IF($Z5="Valor pago",ROUND($AA5,2),ROUND($Y5-$AA5,2)))</f>
        <v/>
      </c>
      <c r="AC5" s="389" t="str">
        <f>IF($AG5&lt;&gt;"AJUSTE APLICADO","",ROUND($Y5-$AB5,2))</f>
        <v/>
      </c>
      <c r="AD5" s="390" t="str">
        <f>IF(ISNUMBER(parametros!$D14),parametros!$D14,"")</f>
        <v/>
      </c>
      <c r="AE5" s="389" t="str">
        <f>IF($AG5&lt;&gt;"AJUSTE APLICADO","",ROUND($AB5*$AD5,2))</f>
        <v/>
      </c>
      <c r="AF5" s="3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389" t="str">
        <f>IF(COUNT($M$2:$M$200)=0,"",IF(OR(NOT(ISNUMBER(parametros!$F6)),NOT(ISNUMBER($AD6)),$AD6=0),"",ROUND(SUMPRODUCT($M$2:$M$200,$C$2:$C$200)*parametros!$F6/$AD6,2)))</f>
        <v/>
      </c>
      <c r="AA6" s="389"/>
      <c r="AB6" s="389" t="str">
        <f>IF($AG6&lt;&gt;"AJUSTE APLICADO","",IF($Z6="Valor pago",ROUND($AA6,2),ROUND($Y6-$AA6,2)))</f>
        <v/>
      </c>
      <c r="AC6" s="389" t="str">
        <f>IF($AG6&lt;&gt;"AJUSTE APLICADO","",ROUND($Y6-$AB6,2))</f>
        <v/>
      </c>
      <c r="AD6" s="390" t="str">
        <f>IF(ISNUMBER(parametros!$D15),parametros!$D15,"")</f>
        <v/>
      </c>
      <c r="AE6" s="389" t="str">
        <f>IF($AG6&lt;&gt;"AJUSTE APLICADO","",ROUND($AB6*$AD6,2))</f>
        <v/>
      </c>
      <c r="AF6" s="3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388" t="s">
        <v>557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558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559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560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561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562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75" t="s">
        <v>469</v>
      </c>
      <c r="N1" s="476"/>
      <c r="O1" s="476"/>
      <c r="P1" s="476"/>
      <c r="Q1" s="476"/>
      <c r="R1" s="476"/>
      <c r="S1" s="476"/>
      <c r="T1" s="477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78" t="s">
        <v>476</v>
      </c>
      <c r="N10" s="476"/>
      <c r="O10" s="476"/>
      <c r="P10" s="476"/>
      <c r="Q10" s="476"/>
      <c r="R10" s="476"/>
      <c r="S10" s="476"/>
      <c r="T10" s="479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8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83"/>
      <c r="O19" s="483"/>
      <c r="P19" s="483"/>
      <c r="Q19" s="483"/>
      <c r="R19" s="483"/>
      <c r="S19" s="484">
        <f>ROUND(N($Q$18)+N(MEMORIA_RESULTADOS!$T$39),2)</f>
        <v>0</v>
      </c>
      <c r="T19" s="484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80" t="s">
        <v>481</v>
      </c>
      <c r="N20" s="481"/>
      <c r="O20" s="481"/>
      <c r="P20" s="481"/>
      <c r="Q20" s="481"/>
      <c r="R20" s="481"/>
      <c r="S20" s="481"/>
      <c r="T20" s="482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72" t="s">
        <v>482</v>
      </c>
      <c r="N21" s="473"/>
      <c r="O21" s="473"/>
      <c r="P21" s="473"/>
      <c r="Q21" s="473"/>
      <c r="R21" s="473"/>
      <c r="S21" s="473"/>
      <c r="T21" s="474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72" t="s">
        <v>520</v>
      </c>
      <c r="N22" s="473"/>
      <c r="O22" s="473"/>
      <c r="P22" s="473"/>
      <c r="Q22" s="473"/>
      <c r="R22" s="473"/>
      <c r="S22" s="473"/>
      <c r="T22" s="474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72" t="s">
        <v>483</v>
      </c>
      <c r="N23" s="473"/>
      <c r="O23" s="473"/>
      <c r="P23" s="473"/>
      <c r="Q23" s="473"/>
      <c r="R23" s="473"/>
      <c r="S23" s="473"/>
      <c r="T23" s="474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72" t="s">
        <v>484</v>
      </c>
      <c r="N24" s="473"/>
      <c r="O24" s="473"/>
      <c r="P24" s="473"/>
      <c r="Q24" s="473"/>
      <c r="R24" s="473"/>
      <c r="S24" s="473"/>
      <c r="T24" s="474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72" t="s">
        <v>485</v>
      </c>
      <c r="N25" s="473"/>
      <c r="O25" s="473"/>
      <c r="P25" s="473"/>
      <c r="Q25" s="473"/>
      <c r="R25" s="473"/>
      <c r="S25" s="473"/>
      <c r="T25" s="474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72" t="s">
        <v>486</v>
      </c>
      <c r="N26" s="473"/>
      <c r="O26" s="473"/>
      <c r="P26" s="473"/>
      <c r="Q26" s="473"/>
      <c r="R26" s="473"/>
      <c r="S26" s="473"/>
      <c r="T26" s="474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72" t="s">
        <v>521</v>
      </c>
      <c r="N27" s="473"/>
      <c r="O27" s="473"/>
      <c r="P27" s="473"/>
      <c r="Q27" s="473"/>
      <c r="R27" s="473"/>
      <c r="S27" s="473"/>
      <c r="T27" s="474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72" t="s">
        <v>522</v>
      </c>
      <c r="N28" s="473"/>
      <c r="O28" s="473"/>
      <c r="P28" s="473"/>
      <c r="Q28" s="473"/>
      <c r="R28" s="473"/>
      <c r="S28" s="473"/>
      <c r="T28" s="474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72" t="s">
        <v>487</v>
      </c>
      <c r="N29" s="473"/>
      <c r="O29" s="473"/>
      <c r="P29" s="473"/>
      <c r="Q29" s="473"/>
      <c r="R29" s="473"/>
      <c r="S29" s="473"/>
      <c r="T29" s="474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87" t="s">
        <v>198</v>
      </c>
      <c r="B1" s="487" t="s">
        <v>199</v>
      </c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9"/>
      <c r="Q1" s="485" t="s">
        <v>200</v>
      </c>
      <c r="R1" s="486"/>
      <c r="S1" s="486"/>
      <c r="T1" s="486"/>
      <c r="U1" s="486"/>
      <c r="V1" s="486"/>
      <c r="W1" s="486"/>
      <c r="X1" s="486"/>
      <c r="Y1" s="486"/>
      <c r="Z1" s="490" t="s">
        <v>201</v>
      </c>
      <c r="AA1" s="486"/>
      <c r="AB1" s="486"/>
      <c r="AC1" s="486"/>
      <c r="AE1" s="491" t="s">
        <v>202</v>
      </c>
    </row>
    <row r="2" spans="1:31" ht="43.5" customHeight="1" x14ac:dyDescent="0.35">
      <c r="A2" s="49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8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46298.44675520833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93" t="s">
        <v>268</v>
      </c>
      <c r="B25" s="494"/>
      <c r="C25" s="495"/>
    </row>
    <row r="26" spans="1:3" x14ac:dyDescent="0.35">
      <c r="A26" s="310" t="s">
        <v>269</v>
      </c>
      <c r="B26" s="500" t="s">
        <v>270</v>
      </c>
      <c r="C26" s="501"/>
    </row>
    <row r="27" spans="1:3" x14ac:dyDescent="0.35">
      <c r="A27" s="311" t="s">
        <v>271</v>
      </c>
      <c r="B27" s="502" t="s">
        <v>272</v>
      </c>
      <c r="C27" s="499"/>
    </row>
    <row r="28" spans="1:3" x14ac:dyDescent="0.35">
      <c r="A28" s="312" t="s">
        <v>273</v>
      </c>
      <c r="B28" s="498" t="s">
        <v>274</v>
      </c>
      <c r="C28" s="499"/>
    </row>
    <row r="29" spans="1:3" x14ac:dyDescent="0.35">
      <c r="A29" s="313" t="s">
        <v>275</v>
      </c>
      <c r="B29" s="496" t="s">
        <v>276</v>
      </c>
      <c r="C29" s="49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11" t="s">
        <v>277</v>
      </c>
      <c r="B1" s="486"/>
      <c r="C1" s="486"/>
      <c r="D1" s="486"/>
      <c r="E1" s="486"/>
      <c r="F1" s="486"/>
      <c r="G1" s="486"/>
      <c r="H1" s="486"/>
      <c r="I1" s="486"/>
      <c r="J1" s="48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625</v>
      </c>
    </row>
    <row r="2" spans="1:33" ht="34" customHeight="1" x14ac:dyDescent="0.35">
      <c r="A2" s="516" t="s">
        <v>281</v>
      </c>
      <c r="B2" s="486"/>
      <c r="C2" s="486"/>
      <c r="D2" s="486"/>
      <c r="E2" s="486"/>
      <c r="F2" s="486"/>
      <c r="G2" s="486"/>
      <c r="H2" s="486"/>
      <c r="I2" s="486"/>
      <c r="J2" s="48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626</v>
      </c>
      <c r="AG2" s="391" t="s">
        <v>627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628</v>
      </c>
      <c r="AG3" s="391" t="s">
        <v>629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630</v>
      </c>
      <c r="AG4" s="391" t="s">
        <v>631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05" t="str">
        <f>IF(AND(RESULTADOS_DETALHE!$G$43="Sim",RESULTADOS_DETALHE!$D$43&lt;&gt;""),RESULTADOS_DETALHE!$D$43,"")</f>
        <v/>
      </c>
      <c r="E5" s="506"/>
      <c r="F5" s="506"/>
      <c r="G5" s="506"/>
      <c r="H5" s="506"/>
      <c r="I5" s="506"/>
      <c r="J5" s="50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632</v>
      </c>
      <c r="AG5" s="391" t="s">
        <v>633</v>
      </c>
    </row>
    <row r="6" spans="1:33" ht="34" customHeight="1" x14ac:dyDescent="0.35">
      <c r="A6" s="509" t="s">
        <v>289</v>
      </c>
      <c r="B6" s="486"/>
      <c r="C6" s="486"/>
      <c r="D6" s="486"/>
      <c r="E6" s="486"/>
      <c r="F6" s="486"/>
      <c r="G6" s="486"/>
      <c r="H6" s="486"/>
      <c r="I6" s="486"/>
      <c r="J6" s="48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634</v>
      </c>
      <c r="AG6" s="391" t="s">
        <v>635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636</v>
      </c>
      <c r="AG7" s="391" t="s">
        <v>637</v>
      </c>
    </row>
    <row r="8" spans="1:33" ht="24" customHeight="1" x14ac:dyDescent="0.35">
      <c r="A8" s="508" t="s">
        <v>290</v>
      </c>
      <c r="B8" s="486"/>
      <c r="C8" s="486"/>
      <c r="D8" s="486"/>
      <c r="E8" s="486"/>
      <c r="F8" s="486"/>
      <c r="G8" s="486"/>
      <c r="H8" s="486"/>
      <c r="I8" s="486"/>
      <c r="J8" s="48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638</v>
      </c>
      <c r="AG8" s="391" t="s">
        <v>639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640</v>
      </c>
      <c r="AG9" s="391" t="s">
        <v>641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642</v>
      </c>
      <c r="AG10" s="391" t="s">
        <v>643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644</v>
      </c>
      <c r="AG11" s="391" t="s">
        <v>645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646</v>
      </c>
      <c r="AG12" s="391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647</v>
      </c>
      <c r="AG13" s="391" t="s">
        <v>648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649</v>
      </c>
      <c r="AG14" s="391" t="s">
        <v>650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651</v>
      </c>
      <c r="AG15" s="391" t="s">
        <v>652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1" t="s">
        <v>653</v>
      </c>
    </row>
    <row r="17" spans="1:33" ht="24" customHeight="1" x14ac:dyDescent="0.35">
      <c r="A17" s="515" t="s">
        <v>300</v>
      </c>
      <c r="B17" s="486"/>
      <c r="C17" s="486"/>
      <c r="D17" s="486"/>
      <c r="E17" s="486"/>
      <c r="F17" s="486"/>
      <c r="G17" s="486"/>
      <c r="H17" s="486"/>
      <c r="I17" s="486"/>
      <c r="J17" s="48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654</v>
      </c>
      <c r="AG17" s="391" t="s">
        <v>655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656</v>
      </c>
      <c r="AG18" s="391" t="s">
        <v>657</v>
      </c>
    </row>
    <row r="19" spans="1:33" ht="24" customHeight="1" x14ac:dyDescent="0.35">
      <c r="A19" s="508" t="s">
        <v>301</v>
      </c>
      <c r="B19" s="486"/>
      <c r="C19" s="486"/>
      <c r="D19" s="486"/>
      <c r="E19" s="486"/>
      <c r="F19" s="486"/>
      <c r="G19" s="486"/>
      <c r="H19" s="486"/>
      <c r="I19" s="486"/>
      <c r="J19" s="48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658</v>
      </c>
      <c r="AG19" s="391" t="s">
        <v>659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660</v>
      </c>
      <c r="AG20" s="391" t="s">
        <v>661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662</v>
      </c>
      <c r="AG21" s="391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663</v>
      </c>
      <c r="AG22" s="391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664</v>
      </c>
      <c r="AG23" s="391" t="s">
        <v>665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05" t="str">
        <f>IF(AND(RESULTADOS_DETALHE!$G$44="Sim",RESULTADOS_DETALHE!$D$44&lt;&gt;""),RESULTADOS_DETALHE!$D$44,"")</f>
        <v/>
      </c>
      <c r="E24" s="506"/>
      <c r="F24" s="506"/>
      <c r="G24" s="506"/>
      <c r="H24" s="506"/>
      <c r="I24" s="506"/>
      <c r="J24" s="50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666</v>
      </c>
      <c r="AG24" s="391" t="s">
        <v>667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05" t="str">
        <f>IF(AND(RESULTADOS_DETALHE!$G$45="Sim",RESULTADOS_DETALHE!$D$45&lt;&gt;""),RESULTADOS_DETALHE!$D$45,"")</f>
        <v/>
      </c>
      <c r="E25" s="506"/>
      <c r="F25" s="506"/>
      <c r="G25" s="506"/>
      <c r="H25" s="506"/>
      <c r="I25" s="506"/>
      <c r="J25" s="50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668</v>
      </c>
      <c r="AG25" s="391" t="s">
        <v>669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1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06"/>
      <c r="G26" s="506"/>
      <c r="H26" s="506"/>
      <c r="I26" s="506"/>
      <c r="J26" s="50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670</v>
      </c>
      <c r="AG26" s="391" t="s">
        <v>671</v>
      </c>
    </row>
    <row r="27" spans="1:33" ht="34" customHeight="1" x14ac:dyDescent="0.35">
      <c r="A27" s="516" t="s">
        <v>319</v>
      </c>
      <c r="B27" s="486"/>
      <c r="C27" s="486"/>
      <c r="D27" s="486"/>
      <c r="E27" s="486"/>
      <c r="F27" s="486"/>
      <c r="G27" s="486"/>
      <c r="H27" s="486"/>
      <c r="I27" s="486"/>
      <c r="J27" s="48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672</v>
      </c>
      <c r="AG27" s="391" t="s">
        <v>673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674</v>
      </c>
      <c r="AG28" s="391" t="s">
        <v>675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676</v>
      </c>
      <c r="AG29" s="391" t="s">
        <v>677</v>
      </c>
    </row>
    <row r="30" spans="1:33" ht="24" customHeight="1" x14ac:dyDescent="0.35">
      <c r="A30" s="508" t="s">
        <v>326</v>
      </c>
      <c r="B30" s="486"/>
      <c r="C30" s="486"/>
      <c r="D30" s="486"/>
      <c r="E30" s="486"/>
      <c r="F30" s="486"/>
      <c r="G30" s="486"/>
      <c r="H30" s="486"/>
      <c r="I30" s="486"/>
      <c r="J30" s="48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678</v>
      </c>
      <c r="AG30" s="391" t="s">
        <v>679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680</v>
      </c>
      <c r="AG31" s="391" t="s">
        <v>681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682</v>
      </c>
      <c r="AG32" s="391" t="s">
        <v>683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684</v>
      </c>
      <c r="AG33" s="391" t="s">
        <v>685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686</v>
      </c>
      <c r="AG34" s="391" t="s">
        <v>687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688</v>
      </c>
      <c r="AG35" s="391" t="s">
        <v>689</v>
      </c>
    </row>
    <row r="36" spans="1:33" x14ac:dyDescent="0.35">
      <c r="A36" s="126" t="s">
        <v>343</v>
      </c>
      <c r="B36" s="512"/>
      <c r="C36" s="513"/>
      <c r="D36" s="513"/>
      <c r="E36" s="51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690</v>
      </c>
      <c r="AG36" s="391" t="s">
        <v>691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692</v>
      </c>
      <c r="AG37" s="391" t="s">
        <v>693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694</v>
      </c>
      <c r="AG38" s="391" t="s">
        <v>695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696</v>
      </c>
      <c r="AG39" s="391" t="s">
        <v>697</v>
      </c>
    </row>
    <row r="40" spans="1:33" ht="24" customHeight="1" x14ac:dyDescent="0.35">
      <c r="A40" s="508" t="s">
        <v>346</v>
      </c>
      <c r="B40" s="486"/>
      <c r="C40" s="486"/>
      <c r="D40" s="486"/>
      <c r="E40" s="486"/>
      <c r="F40" s="486"/>
      <c r="G40" s="486"/>
      <c r="H40" s="486"/>
      <c r="I40" s="486"/>
      <c r="J40" s="486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698</v>
      </c>
      <c r="AG40" s="391" t="s">
        <v>645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09"/>
      <c r="B48" s="486"/>
      <c r="C48" s="486"/>
      <c r="D48" s="486"/>
      <c r="E48" s="486"/>
      <c r="F48" s="486"/>
      <c r="G48" s="486"/>
      <c r="H48" s="486"/>
      <c r="I48" s="486"/>
      <c r="J48" s="48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09"/>
      <c r="B49" s="486"/>
      <c r="C49" s="486"/>
      <c r="D49" s="486"/>
      <c r="E49" s="486"/>
      <c r="F49" s="486"/>
      <c r="G49" s="486"/>
      <c r="H49" s="486"/>
      <c r="I49" s="486"/>
      <c r="J49" s="48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03" t="s">
        <v>374</v>
      </c>
      <c r="B52" s="504"/>
      <c r="C52" s="504"/>
      <c r="D52" s="504"/>
      <c r="E52" s="504"/>
      <c r="F52" s="504"/>
      <c r="G52" s="504"/>
      <c r="H52" s="504"/>
      <c r="I52" s="57"/>
      <c r="J52" s="503" t="s">
        <v>375</v>
      </c>
      <c r="K52" s="504"/>
      <c r="L52" s="504"/>
      <c r="M52" s="504"/>
      <c r="N52" s="504"/>
      <c r="O52" s="504"/>
      <c r="P52" s="504"/>
      <c r="Q52" s="50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563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564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565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566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567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568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569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570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571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572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573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574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575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576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577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578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579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580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581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582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583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584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585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586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587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588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589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590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591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592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593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594</v>
      </c>
      <c r="T105" s="391" t="s">
        <v>595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596</v>
      </c>
      <c r="T106" s="391" t="s">
        <v>597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598</v>
      </c>
      <c r="T107" s="391" t="s">
        <v>599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600</v>
      </c>
      <c r="T108" s="391" t="s">
        <v>579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601</v>
      </c>
      <c r="T109" s="391" t="s">
        <v>602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603</v>
      </c>
      <c r="T110" s="391" t="s">
        <v>604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605</v>
      </c>
      <c r="T111" s="391" t="s">
        <v>606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607</v>
      </c>
      <c r="T112" s="391" t="s">
        <v>608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609</v>
      </c>
      <c r="T113" s="391" t="s">
        <v>610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611</v>
      </c>
      <c r="T114" s="391" t="s">
        <v>612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613</v>
      </c>
      <c r="T115" s="391" t="s">
        <v>614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615</v>
      </c>
      <c r="T116" s="391" t="s">
        <v>616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617</v>
      </c>
      <c r="T117" s="391" t="s">
        <v>618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619</v>
      </c>
      <c r="T118" s="391" t="s">
        <v>620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621</v>
      </c>
      <c r="T119" s="391" t="s">
        <v>622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35" t="s">
        <v>623</v>
      </c>
      <c r="B1" s="535"/>
      <c r="C1" s="535"/>
      <c r="D1" s="535"/>
      <c r="E1" s="535"/>
      <c r="F1" s="535"/>
      <c r="G1" s="536" t="str">
        <f ca="1">$B$3</f>
        <v>REVISE</v>
      </c>
      <c r="H1" s="537"/>
    </row>
    <row r="2" spans="1:10" ht="90.5" customHeight="1" x14ac:dyDescent="0.3">
      <c r="A2" s="538" t="s">
        <v>624</v>
      </c>
      <c r="B2" s="538"/>
      <c r="C2" s="538"/>
      <c r="D2" s="538"/>
      <c r="E2" s="538"/>
      <c r="F2" s="538"/>
      <c r="G2" s="539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39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42" t="str">
        <f>$D$6</f>
        <v/>
      </c>
      <c r="H3" s="543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44" t="str">
        <f>$D$22</f>
        <v/>
      </c>
      <c r="E5" s="545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40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41"/>
      <c r="D7" s="541"/>
      <c r="E7" s="541"/>
      <c r="F7" s="541"/>
      <c r="G7" s="541"/>
      <c r="H7" s="541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24" t="s">
        <v>488</v>
      </c>
      <c r="B9" s="524"/>
      <c r="C9" s="524"/>
      <c r="D9" s="524"/>
      <c r="E9" s="524"/>
      <c r="F9" s="524"/>
      <c r="G9" s="524"/>
      <c r="H9" s="524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25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26"/>
      <c r="E10" s="526"/>
      <c r="F10" s="525" t="s">
        <v>509</v>
      </c>
      <c r="G10" s="526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3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34"/>
      <c r="E11" s="534"/>
      <c r="F11" s="533" t="s">
        <v>511</v>
      </c>
      <c r="G11" s="534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33" t="s">
        <v>736</v>
      </c>
      <c r="D12" s="534"/>
      <c r="E12" s="534"/>
      <c r="F12" s="533" t="s">
        <v>513</v>
      </c>
      <c r="G12" s="534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31" t="s">
        <v>515</v>
      </c>
      <c r="D13" s="532"/>
      <c r="E13" s="532"/>
      <c r="F13" s="531" t="s">
        <v>516</v>
      </c>
      <c r="G13" s="532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3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68" t="str">
        <f>IF(MEMORIA_RESULTADOS!$T$99=1,MEMORIA_RESULTADOS!$T$110,"")</f>
        <v/>
      </c>
      <c r="F16" s="569"/>
      <c r="G16" s="569"/>
      <c r="H16" s="569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4" t="str">
        <f>IF(B17="","",IF(MEMORIA_RESULTADOS!$E$11="",0,MEMORIA_RESULTADOS!$E$11))</f>
        <v/>
      </c>
      <c r="E17" s="396" t="str">
        <f>IF(MEMORIA_RESULTADOS!T$91="","",MEMORIA_RESULTADOS!T$96&amp;IF(MEMORIA_RESULTADOS!T$97="","",CHAR(10)&amp;MEMORIA_RESULTADOS!T$97))</f>
        <v/>
      </c>
      <c r="F17" s="395" t="str">
        <f>IF(OR(MEMORIA_RESULTADOS!T$91="A",MEMORIA_RESULTADOS!T$91="B"),MEMORIA_RESULTADOS!T$87,"")</f>
        <v/>
      </c>
      <c r="G17" s="392" t="str">
        <f>IF(OR(MEMORIA_RESULTADOS!T$91="A",MEMORIA_RESULTADOS!T$91="B"),MEMORIA_RESULTADOS!T$88,"")</f>
        <v/>
      </c>
      <c r="H17" s="392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4" t="str">
        <f>IF(B18="","",IF(MEMORIA_RESULTADOS!$E$12="",0,MEMORIA_RESULTADOS!$E$12))</f>
        <v/>
      </c>
      <c r="E18" s="396" t="str">
        <f>IF(MEMORIA_RESULTADOS!U$91="","",MEMORIA_RESULTADOS!U$96&amp;IF(MEMORIA_RESULTADOS!U$97="","",CHAR(10)&amp;MEMORIA_RESULTADOS!U$97))</f>
        <v/>
      </c>
      <c r="F18" s="395" t="str">
        <f>IF(OR(MEMORIA_RESULTADOS!U$91="A",MEMORIA_RESULTADOS!U$91="B"),MEMORIA_RESULTADOS!U$87,"")</f>
        <v/>
      </c>
      <c r="G18" s="392" t="str">
        <f>IF(OR(MEMORIA_RESULTADOS!U$91="A",MEMORIA_RESULTADOS!U$91="B"),MEMORIA_RESULTADOS!U$88,"")</f>
        <v/>
      </c>
      <c r="H18" s="392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4" t="str">
        <f>IF(B19="","",IF(MEMORIA_RESULTADOS!$E$13="",0,MEMORIA_RESULTADOS!$E$13))</f>
        <v/>
      </c>
      <c r="E19" s="396" t="str">
        <f>IF(MEMORIA_RESULTADOS!V$91="","",MEMORIA_RESULTADOS!V$96&amp;IF(MEMORIA_RESULTADOS!V$97="","",CHAR(10)&amp;MEMORIA_RESULTADOS!V$97))</f>
        <v/>
      </c>
      <c r="F19" s="395" t="str">
        <f>IF(OR(MEMORIA_RESULTADOS!V$91="A",MEMORIA_RESULTADOS!V$91="B"),MEMORIA_RESULTADOS!V$87,"")</f>
        <v/>
      </c>
      <c r="G19" s="392" t="str">
        <f>IF(OR(MEMORIA_RESULTADOS!V$91="A",MEMORIA_RESULTADOS!V$91="B"),MEMORIA_RESULTADOS!V$88,"")</f>
        <v/>
      </c>
      <c r="H19" s="392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4" t="str">
        <f>IF(B20="","",IF(MEMORIA_RESULTADOS!$E$14="",0,MEMORIA_RESULTADOS!$E$14))</f>
        <v/>
      </c>
      <c r="E20" s="396" t="str">
        <f>IF(MEMORIA_RESULTADOS!W$91="","",MEMORIA_RESULTADOS!W$96&amp;IF(MEMORIA_RESULTADOS!W$97="","",CHAR(10)&amp;MEMORIA_RESULTADOS!W$97))</f>
        <v/>
      </c>
      <c r="F20" s="395" t="str">
        <f>IF(OR(MEMORIA_RESULTADOS!W$91="A",MEMORIA_RESULTADOS!W$91="B"),MEMORIA_RESULTADOS!W$87,"")</f>
        <v/>
      </c>
      <c r="G20" s="392" t="str">
        <f>IF(OR(MEMORIA_RESULTADOS!W$91="A",MEMORIA_RESULTADOS!W$91="B"),MEMORIA_RESULTADOS!W$88,"")</f>
        <v/>
      </c>
      <c r="H20" s="392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70" t="str">
        <f>IF(MEMORIA_RESULTADOS!$T$101=1,MEMORIA_RESULTADOS!$T$111,IF(MEMORIA_RESULTADOS!$T$102=1,MEMORIA_RESULTADOS!$T$112,""))</f>
        <v/>
      </c>
      <c r="F21" s="571"/>
      <c r="G21" s="571"/>
      <c r="H21" s="571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64" t="str">
        <f>IF($G$22="","","Retroativo potencial — em análise"&amp;CHAR(10)&amp;"Valor potencial relacionado a itens ainda em análise. Não integra o retroativo reconhecido enquanto não houver confirmação.")</f>
        <v/>
      </c>
      <c r="F22" s="565"/>
      <c r="G22" s="566" t="str">
        <f>IF($B$5&lt;&gt;"PCs","",IFERROR(RETROATIVO_POTENCIAL_PC,""))</f>
        <v/>
      </c>
      <c r="H22" s="567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48" t="str">
        <f>IF(OR(MEMORIA_RESULTADOS!$B$4&lt;&gt;"PCs",MEMORIA_RESULTADOS!$T$28=0),"","A diferença sem efeito financeiro não constitui "&amp;"retroativo. Consulte itens_PC -&gt; EFEITO_FINANCEIRO_PC = Nao.")</f>
        <v/>
      </c>
      <c r="F23" s="549"/>
      <c r="G23" s="549"/>
      <c r="H23" s="549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50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51"/>
      <c r="G25" s="551"/>
      <c r="H25" s="551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56"/>
      <c r="D34" s="557"/>
      <c r="E34" s="558" t="s">
        <v>449</v>
      </c>
      <c r="F34" s="559"/>
      <c r="G34" s="559"/>
      <c r="H34" s="559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52" t="str">
        <f ca="1">IF($B$35="","Aguardando dado","")</f>
        <v>Aguardando dado</v>
      </c>
      <c r="D35" s="553"/>
      <c r="E35" s="560" t="str">
        <f ca="1">IF($A$39="","",$A$39)</f>
        <v/>
      </c>
      <c r="F35" s="561"/>
      <c r="G35" s="561"/>
      <c r="H35" s="562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52" t="str">
        <f ca="1">IF($B$36="","Aguardando dado","")</f>
        <v>Aguardando dado</v>
      </c>
      <c r="D36" s="553"/>
      <c r="E36" s="563"/>
      <c r="F36" s="561"/>
      <c r="G36" s="561"/>
      <c r="H36" s="562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52" t="str">
        <f>IF($B$37="","Aguardando dado","")</f>
        <v>Aguardando dado</v>
      </c>
      <c r="D37" s="553"/>
      <c r="E37" s="563"/>
      <c r="F37" s="561"/>
      <c r="G37" s="561"/>
      <c r="H37" s="562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54" t="str">
        <f ca="1">IF($B$38="","Aguardando dado","")</f>
        <v>Aguardando dado</v>
      </c>
      <c r="D38" s="555"/>
      <c r="E38" s="563"/>
      <c r="F38" s="561"/>
      <c r="G38" s="561"/>
      <c r="H38" s="562"/>
    </row>
    <row r="39" spans="1:8" ht="15" customHeight="1" x14ac:dyDescent="0.3">
      <c r="A39" s="546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47"/>
      <c r="C39" s="547"/>
      <c r="D39" s="547"/>
      <c r="E39" s="547"/>
      <c r="F39" s="547"/>
      <c r="G39" s="547"/>
      <c r="H39" s="547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27" t="s">
        <v>523</v>
      </c>
      <c r="B53" s="524"/>
      <c r="C53" s="524"/>
      <c r="D53" s="524"/>
      <c r="E53" s="524"/>
      <c r="F53" s="524"/>
      <c r="G53" s="524"/>
      <c r="H53" s="528"/>
    </row>
    <row r="54" spans="1:8" ht="13" customHeight="1" x14ac:dyDescent="0.3">
      <c r="A54" s="358" t="s">
        <v>445</v>
      </c>
      <c r="B54" s="359" t="s">
        <v>427</v>
      </c>
      <c r="C54" s="529" t="s">
        <v>490</v>
      </c>
      <c r="D54" s="530"/>
      <c r="E54" s="529"/>
      <c r="F54" s="529"/>
      <c r="G54" s="529"/>
      <c r="H54" s="529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20" t="s">
        <v>492</v>
      </c>
      <c r="D55" s="521"/>
      <c r="E55" s="520"/>
      <c r="F55" s="520"/>
      <c r="G55" s="520"/>
      <c r="H55" s="520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20" t="s">
        <v>494</v>
      </c>
      <c r="D56" s="521"/>
      <c r="E56" s="520"/>
      <c r="F56" s="520"/>
      <c r="G56" s="520"/>
      <c r="H56" s="520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20" t="s">
        <v>496</v>
      </c>
      <c r="D57" s="521"/>
      <c r="E57" s="520"/>
      <c r="F57" s="520"/>
      <c r="G57" s="520"/>
      <c r="H57" s="520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20" t="s">
        <v>497</v>
      </c>
      <c r="D58" s="521"/>
      <c r="E58" s="520"/>
      <c r="F58" s="520"/>
      <c r="G58" s="520"/>
      <c r="H58" s="520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20" t="s">
        <v>498</v>
      </c>
      <c r="D59" s="521"/>
      <c r="E59" s="520"/>
      <c r="F59" s="520"/>
      <c r="G59" s="520"/>
      <c r="H59" s="520"/>
    </row>
    <row r="60" spans="1:8" ht="36" customHeight="1" x14ac:dyDescent="0.3">
      <c r="A60" s="333" t="s">
        <v>448</v>
      </c>
      <c r="B60" s="345" t="str">
        <f>$D$22</f>
        <v/>
      </c>
      <c r="C60" s="520" t="s">
        <v>528</v>
      </c>
      <c r="D60" s="521"/>
      <c r="E60" s="520"/>
      <c r="F60" s="520"/>
      <c r="G60" s="520"/>
      <c r="H60" s="520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20" t="s">
        <v>546</v>
      </c>
      <c r="D61" s="521"/>
      <c r="E61" s="520"/>
      <c r="F61" s="520"/>
      <c r="G61" s="520"/>
      <c r="H61" s="520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20" t="s">
        <v>531</v>
      </c>
      <c r="D62" s="521"/>
      <c r="E62" s="520"/>
      <c r="F62" s="520"/>
      <c r="G62" s="520"/>
      <c r="H62" s="520"/>
    </row>
    <row r="63" spans="1:8" ht="30" customHeight="1" x14ac:dyDescent="0.3">
      <c r="A63" s="333" t="s">
        <v>532</v>
      </c>
      <c r="B63" s="345" t="str">
        <f ca="1">$B$36</f>
        <v/>
      </c>
      <c r="C63" s="520" t="s">
        <v>499</v>
      </c>
      <c r="D63" s="521"/>
      <c r="E63" s="520"/>
      <c r="F63" s="520"/>
      <c r="G63" s="520"/>
      <c r="H63" s="520"/>
    </row>
    <row r="64" spans="1:8" ht="30" customHeight="1" x14ac:dyDescent="0.3">
      <c r="A64" s="333" t="s">
        <v>533</v>
      </c>
      <c r="B64" s="345" t="str">
        <f ca="1">$B$38</f>
        <v/>
      </c>
      <c r="C64" s="520" t="s">
        <v>500</v>
      </c>
      <c r="D64" s="521"/>
      <c r="E64" s="520"/>
      <c r="F64" s="520"/>
      <c r="G64" s="520"/>
      <c r="H64" s="520"/>
    </row>
    <row r="65" spans="1:8" ht="30" customHeight="1" x14ac:dyDescent="0.3">
      <c r="A65" s="333" t="s">
        <v>534</v>
      </c>
      <c r="B65" s="346" t="str">
        <f>IF(VTA_FINAL="","",VTA_FINAL)</f>
        <v/>
      </c>
      <c r="C65" s="520" t="s">
        <v>535</v>
      </c>
      <c r="D65" s="521"/>
      <c r="E65" s="520"/>
      <c r="F65" s="520"/>
      <c r="G65" s="520"/>
      <c r="H65" s="520"/>
    </row>
    <row r="66" spans="1:8" ht="30" customHeight="1" x14ac:dyDescent="0.3">
      <c r="A66" s="333" t="s">
        <v>536</v>
      </c>
      <c r="B66" s="345" t="str">
        <f ca="1">$B$13</f>
        <v/>
      </c>
      <c r="C66" s="520" t="s">
        <v>501</v>
      </c>
      <c r="D66" s="521"/>
      <c r="E66" s="520"/>
      <c r="F66" s="520"/>
      <c r="G66" s="520"/>
      <c r="H66" s="520"/>
    </row>
    <row r="67" spans="1:8" ht="30" customHeight="1" x14ac:dyDescent="0.3">
      <c r="A67" s="333" t="s">
        <v>537</v>
      </c>
      <c r="B67" s="374" t="str">
        <f ca="1">$B$3</f>
        <v>REVISE</v>
      </c>
      <c r="C67" s="520" t="s">
        <v>502</v>
      </c>
      <c r="D67" s="521"/>
      <c r="E67" s="520"/>
      <c r="F67" s="520"/>
      <c r="G67" s="520"/>
      <c r="H67" s="520"/>
    </row>
    <row r="68" spans="1:8" ht="14.5" x14ac:dyDescent="0.3">
      <c r="A68" s="522" t="s">
        <v>462</v>
      </c>
      <c r="B68" s="522"/>
      <c r="C68" s="522"/>
      <c r="D68" s="522"/>
      <c r="E68" s="522"/>
      <c r="F68" s="522"/>
      <c r="G68" s="522"/>
      <c r="H68" s="522"/>
    </row>
    <row r="69" spans="1:8" ht="34" customHeight="1" x14ac:dyDescent="0.3">
      <c r="A69" s="523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23"/>
      <c r="C69" s="523"/>
      <c r="D69" s="523"/>
      <c r="E69" s="523"/>
      <c r="F69" s="523"/>
      <c r="G69" s="523"/>
      <c r="H69" s="523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76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76"/>
      <c r="C71" s="476"/>
      <c r="D71" s="476"/>
      <c r="E71" s="476"/>
      <c r="F71" s="476"/>
      <c r="G71" s="476"/>
      <c r="H71" s="476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17" t="s">
        <v>506</v>
      </c>
      <c r="B79" s="517"/>
      <c r="C79" s="517"/>
      <c r="D79" s="517"/>
      <c r="E79" s="517"/>
      <c r="F79" s="517"/>
      <c r="G79" s="517"/>
      <c r="H79" s="517"/>
    </row>
    <row r="80" spans="1:8" ht="28" customHeight="1" x14ac:dyDescent="0.3">
      <c r="A80" s="518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18"/>
      <c r="C80" s="518"/>
      <c r="D80" s="518"/>
      <c r="E80" s="518"/>
      <c r="F80" s="518"/>
      <c r="G80" s="518"/>
      <c r="H80" s="518"/>
    </row>
    <row r="81" spans="1:8" ht="28" customHeight="1" x14ac:dyDescent="0.3">
      <c r="A81" s="519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19"/>
      <c r="C81" s="519"/>
      <c r="D81" s="519"/>
      <c r="E81" s="519"/>
      <c r="F81" s="519"/>
      <c r="G81" s="519"/>
      <c r="H81" s="519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7" customWidth="1"/>
    <col min="2" max="2" width="34.6328125" style="397" customWidth="1"/>
    <col min="3" max="6" width="26.6328125" style="397" customWidth="1"/>
    <col min="7" max="7" width="38.6328125" style="397" customWidth="1"/>
    <col min="8" max="8" width="2.6328125" style="397" customWidth="1"/>
    <col min="9" max="16384" width="8.7265625" style="397"/>
  </cols>
  <sheetData>
    <row r="1" spans="2:7" ht="6" customHeight="1" x14ac:dyDescent="0.35"/>
    <row r="2" spans="2:7" ht="30" customHeight="1" x14ac:dyDescent="0.35">
      <c r="B2" s="399" t="s">
        <v>699</v>
      </c>
      <c r="C2" s="398"/>
      <c r="D2" s="398"/>
      <c r="E2" s="398"/>
      <c r="F2" s="398"/>
      <c r="G2" s="398"/>
    </row>
    <row r="3" spans="2:7" ht="18" customHeight="1" x14ac:dyDescent="0.35">
      <c r="B3" s="400" t="s">
        <v>700</v>
      </c>
      <c r="C3" s="398"/>
      <c r="D3" s="398"/>
      <c r="E3" s="398"/>
      <c r="F3" s="398"/>
      <c r="G3" s="398"/>
    </row>
    <row r="4" spans="2:7" ht="8" customHeight="1" x14ac:dyDescent="0.35"/>
    <row r="5" spans="2:7" ht="16" customHeight="1" x14ac:dyDescent="0.3">
      <c r="B5" s="405" t="s">
        <v>701</v>
      </c>
      <c r="C5" s="401" t="s">
        <v>702</v>
      </c>
      <c r="D5" s="401" t="s">
        <v>703</v>
      </c>
      <c r="E5" s="401" t="s">
        <v>704</v>
      </c>
      <c r="F5" s="401" t="s">
        <v>705</v>
      </c>
      <c r="G5" s="407" t="s">
        <v>706</v>
      </c>
    </row>
    <row r="6" spans="2:7" ht="22" customHeight="1" x14ac:dyDescent="0.35">
      <c r="B6" s="406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2" t="str">
        <f>IF(CONTROLE!$B$2="",MEMORIA_RESULTADOS!$AG$2,UPPER(CONTROLE!$B$2))</f>
        <v>—</v>
      </c>
      <c r="D6" s="403" t="str">
        <f>IF(ISNUMBER(CONTROLE!$B$3),CONTROLE!$B$3,MEMORIA_RESULTADOS!$AG$2)</f>
        <v>—</v>
      </c>
      <c r="E6" s="402" t="str">
        <f>IF(CONTROLE!$B$7="",MEMORIA_RESULTADOS!$AG$2,CONTROLE!$B$7)</f>
        <v>—</v>
      </c>
      <c r="F6" s="404" t="str">
        <f>IF(ISNUMBER(RESULTADOS_DETALHE!$D$6),RESULTADOS_DETALHE!$D$6,MEMORIA_RESULTADOS!$AG$2)</f>
        <v>—</v>
      </c>
      <c r="G6" s="408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9" t="s">
        <v>707</v>
      </c>
      <c r="C8" s="411" t="s">
        <v>473</v>
      </c>
      <c r="D8" s="413" t="s">
        <v>474</v>
      </c>
      <c r="E8" s="415" t="s">
        <v>708</v>
      </c>
      <c r="F8" s="417" t="s">
        <v>705</v>
      </c>
      <c r="G8" s="419" t="s">
        <v>709</v>
      </c>
    </row>
    <row r="9" spans="2:7" ht="32" customHeight="1" x14ac:dyDescent="0.35">
      <c r="B9" s="421" t="str">
        <f>IF(ISNUMBER(VTA_FINAL),VTA_FINAL,MEMORIA_RESULTADOS!$AG$2)</f>
        <v>—</v>
      </c>
      <c r="C9" s="422" t="str">
        <f>IF(ISNUMBER(RESULTADOS_DETALHE!$D$22),RESULTADOS_DETALHE!$D$22,MEMORIA_RESULTADOS!$AG$2)</f>
        <v>—</v>
      </c>
      <c r="D9" s="423" t="str">
        <f>IF(NOT(METODO_RETROATIVO="PCs"),MEMORIA_RESULTADOS!$AG$2,IF(ISNUMBER(RETROATIVO_POTENCIAL_VTA),RETROATIVO_POTENCIAL_VTA,MEMORIA_RESULTADOS!$AG$2))</f>
        <v>—</v>
      </c>
      <c r="E9" s="424" t="str">
        <f ca="1">IF(ISNUMBER(SALDO_REMANESCENTE_ATUAL),SALDO_REMANESCENTE_ATUAL,MEMORIA_RESULTADOS!$AG$2)</f>
        <v>—</v>
      </c>
      <c r="F9" s="425" t="str">
        <f>F6</f>
        <v>—</v>
      </c>
      <c r="G9" s="426" t="str">
        <f ca="1">RESULTADOS_DETALHE!$A$7</f>
        <v>PENDÊNCIAS PARA CONCLUSÃO:</v>
      </c>
    </row>
    <row r="10" spans="2:7" ht="44" customHeight="1" x14ac:dyDescent="0.35">
      <c r="B10" s="410" t="str">
        <f>IF(AND(METODO_RETROATIVO="PCs",N(RETROATIVO_POTENCIAL_VTA)&lt;&gt;0),MEMORIA_RESULTADOS!$AG$8,MEMORIA_RESULTADOS!$AG$7)</f>
        <v>Valor Total Atualizado do contrato pelo método selecionado.</v>
      </c>
      <c r="C10" s="412" t="str">
        <f>MEMORIA_RESULTADOS!$AG$9</f>
        <v>Diferença reconhecida a pagar à contratada.</v>
      </c>
      <c r="D10" s="414" t="str">
        <f>IF(METODO_RETROATIVO="PCs",MEMORIA_RESULTADOS!$AG$10,MEMORIA_RESULTADOS!$AG$11)</f>
        <v>Não se aplica ao método selecionado.</v>
      </c>
      <c r="E10" s="416" t="str">
        <f>MEMORIA_RESULTADOS!$AG$12</f>
        <v>Saldo atualizado que ainda falta executar.</v>
      </c>
      <c r="F10" s="418" t="str">
        <f>IF(ISNUMBER(F9),MEMORIA_RESULTADOS!$AG$13,MEMORIA_RESULTADOS!$AG$14)</f>
        <v>Aguardando percentuais completos dos ciclos.</v>
      </c>
      <c r="G10" s="420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7" t="s">
        <v>710</v>
      </c>
      <c r="C12" s="428"/>
      <c r="D12" s="428"/>
      <c r="E12" s="428"/>
      <c r="F12" s="428"/>
      <c r="G12" s="428"/>
    </row>
    <row r="13" spans="2:7" ht="22" customHeight="1" x14ac:dyDescent="0.35">
      <c r="B13" s="587" t="s">
        <v>465</v>
      </c>
      <c r="C13" s="588" t="s">
        <v>427</v>
      </c>
      <c r="D13" s="581" t="s">
        <v>298</v>
      </c>
      <c r="E13" s="581"/>
      <c r="F13" s="581"/>
      <c r="G13" s="581"/>
    </row>
    <row r="14" spans="2:7" ht="30" customHeight="1" x14ac:dyDescent="0.35">
      <c r="B14" s="429" t="str">
        <f>RESULTADOS_DETALHE!$A$83</f>
        <v>Executado apurado</v>
      </c>
      <c r="C14" s="433" t="str">
        <f>IF(RESULTADOS_DETALHE!$B$83="",MEMORIA_RESULTADOS!$AG$2,RESULTADOS_DETALHE!$B$83)</f>
        <v>—</v>
      </c>
      <c r="D14" s="583" t="str">
        <f>IF(METODO_RETROATIVO="PCs",MEMORIA_RESULTADOS!$AG$24,IF(METODO_RETROATIVO="Itens",MEMORIA_RESULTADOS!$AG$26,MEMORIA_RESULTADOS!$AG$25))</f>
        <v>Valores efetivamente pagos, conforme a aba financeiro.</v>
      </c>
      <c r="E14" s="583"/>
      <c r="F14" s="583"/>
      <c r="G14" s="583"/>
    </row>
    <row r="15" spans="2:7" ht="30" customHeight="1" x14ac:dyDescent="0.35">
      <c r="B15" s="430" t="str">
        <f>RESULTADOS_DETALHE!$A$84</f>
        <v>(+) Ajustes ainda devidos</v>
      </c>
      <c r="C15" s="434" t="str">
        <f>IF(RESULTADOS_DETALHE!$B$84="",MEMORIA_RESULTADOS!$AG$2,RESULTADOS_DETALHE!$B$84)</f>
        <v>—</v>
      </c>
      <c r="D15" s="580" t="str">
        <f>IF(METODO_RETROATIVO="PCs",MEMORIA_RESULTADOS!$AG$27,IF(METODO_RETROATIVO="Itens",MEMORIA_RESULTADOS!$AG$29,MEMORIA_RESULTADOS!$AG$28))</f>
        <v>Reajuste já reconhecido e ainda não contido no valor pago.</v>
      </c>
      <c r="E15" s="580"/>
      <c r="F15" s="580"/>
      <c r="G15" s="580"/>
    </row>
    <row r="16" spans="2:7" ht="30" customHeight="1" thickBot="1" x14ac:dyDescent="0.4">
      <c r="B16" s="430" t="str">
        <f>RESULTADOS_DETALHE!$A$85</f>
        <v>(+) Remanescente atualizado</v>
      </c>
      <c r="C16" s="434" t="str">
        <f ca="1">IF(RESULTADOS_DETALHE!$B$85="",MEMORIA_RESULTADOS!$AG$2,RESULTADOS_DETALHE!$B$85)</f>
        <v>—</v>
      </c>
      <c r="D16" s="584" t="str">
        <f>IF(METODO_RETROATIVO="PCs",MEMORIA_RESULTADOS!$AG$30,MEMORIA_RESULTADOS!$AG$31)</f>
        <v>Saldo que ainda falta executar, já atualizado.</v>
      </c>
      <c r="E16" s="584"/>
      <c r="F16" s="584"/>
      <c r="G16" s="584"/>
    </row>
    <row r="17" spans="2:7" ht="30" customHeight="1" x14ac:dyDescent="0.35">
      <c r="B17" s="436" t="str">
        <f>RESULTADOS_DETALHE!$A$86</f>
        <v>(=) VTA Oficial</v>
      </c>
      <c r="C17" s="437" t="str">
        <f>IF(RESULTADOS_DETALHE!$B$86="",MEMORIA_RESULTADOS!$AG$2,RESULTADOS_DETALHE!$B$86)</f>
        <v>—</v>
      </c>
      <c r="D17" s="585" t="str">
        <f>MEMORIA_RESULTADOS!$AG$32</f>
        <v>Resultado final do método de apuração selecionado.</v>
      </c>
      <c r="E17" s="585"/>
      <c r="F17" s="585"/>
      <c r="G17" s="585"/>
    </row>
    <row r="18" spans="2:7" ht="30" customHeight="1" x14ac:dyDescent="0.35">
      <c r="B18" s="589" t="str">
        <f>MEMORIA_RESULTADOS!$AG$33</f>
        <v>VTA sem a parcela potencial (referência)</v>
      </c>
      <c r="C18" s="590" t="str">
        <f>IF(NOT(METODO_RETROATIVO="PCs"),MEMORIA_RESULTADOS!$AG$2,IF(ISNUMBER(VTA_SEM_POTENCIAL),VTA_SEM_POTENCIAL,MEMORIA_RESULTADOS!$AG$2))</f>
        <v>—</v>
      </c>
      <c r="D18" s="586" t="str">
        <f>IF(METODO_RETROATIVO="PCs",MEMORIA_RESULTADOS!$AG$34,MEMORIA_RESULTADOS!$AG$40)</f>
        <v>Não se aplica ao método selecionado.</v>
      </c>
      <c r="E18" s="586"/>
      <c r="F18" s="586"/>
      <c r="G18" s="586"/>
    </row>
    <row r="19" spans="2:7" ht="30" customHeight="1" x14ac:dyDescent="0.35">
      <c r="B19" s="431" t="str">
        <f>MEMORIA_RESULTADOS!$AG$35</f>
        <v>Parcela potencial negativa apurada</v>
      </c>
      <c r="C19" s="434" t="str">
        <f>IF(NOT(METODO_RETROATIVO="PCs"),MEMORIA_RESULTADOS!$AG$2,IF(N(RETROATIVO_POTENCIAL_NEGATIVO)&lt;0,RETROATIVO_POTENCIAL_NEGATIVO,0))</f>
        <v>—</v>
      </c>
      <c r="D19" s="580" t="str">
        <f>IF(NOT(METODO_RETROATIVO="PCs"),MEMORIA_RESULTADOS!$AG$40,IF(N(RETROATIVO_POTENCIAL_NEGATIVO)&lt;0,MEMORIA_RESULTADOS!$AG$36,MEMORIA_RESULTADOS!$AG$37))</f>
        <v>Não se aplica ao método selecionado.</v>
      </c>
      <c r="E19" s="580"/>
      <c r="F19" s="580"/>
      <c r="G19" s="580"/>
    </row>
    <row r="20" spans="2:7" ht="30" customHeight="1" x14ac:dyDescent="0.35">
      <c r="B20" s="432" t="str">
        <f>MEMORIA_RESULTADOS!$AG$38</f>
        <v>Conferência da formação (deve ser R$ 0,00)</v>
      </c>
      <c r="C20" s="435" t="str">
        <f ca="1">IF(CONFERENCIA_FORMACAO_VTA="",MEMORIA_RESULTADOS!$AG$2,CONFERENCIA_FORMACAO_VTA)</f>
        <v>—</v>
      </c>
      <c r="D20" s="580" t="str">
        <f ca="1">IF(RESULTADOS_DETALHE!$C$87="",MEMORIA_RESULTADOS!$AG$39,RESULTADOS_DETALHE!$C$87)</f>
        <v>Aguardando base para conferir.</v>
      </c>
      <c r="E20" s="580"/>
      <c r="F20" s="580"/>
      <c r="G20" s="580"/>
    </row>
    <row r="21" spans="2:7" ht="12" customHeight="1" x14ac:dyDescent="0.35"/>
    <row r="22" spans="2:7" ht="24" customHeight="1" x14ac:dyDescent="0.35">
      <c r="B22" s="427" t="s">
        <v>711</v>
      </c>
      <c r="C22" s="428"/>
      <c r="D22" s="428"/>
      <c r="E22" s="428"/>
      <c r="F22" s="428"/>
      <c r="G22" s="428"/>
    </row>
    <row r="23" spans="2:7" ht="22" customHeight="1" x14ac:dyDescent="0.35">
      <c r="B23" s="587" t="s">
        <v>712</v>
      </c>
      <c r="C23" s="591" t="s">
        <v>441</v>
      </c>
      <c r="D23" s="581" t="s">
        <v>713</v>
      </c>
      <c r="E23" s="581"/>
      <c r="F23" s="581"/>
      <c r="G23" s="581"/>
    </row>
    <row r="24" spans="2:7" ht="30" customHeight="1" x14ac:dyDescent="0.35">
      <c r="B24" s="438" t="s">
        <v>714</v>
      </c>
      <c r="C24" s="439" t="str">
        <f>IF(RESULTADOS_DETALHE!$H$8="",MEMORIA_RESULTADOS!$AG$2,RESULTADOS_DETALHE!$H$8)</f>
        <v>REVISE</v>
      </c>
      <c r="D24" s="582" t="s">
        <v>715</v>
      </c>
      <c r="E24" s="582"/>
      <c r="F24" s="582"/>
      <c r="G24" s="582"/>
    </row>
    <row r="25" spans="2:7" ht="30" customHeight="1" x14ac:dyDescent="0.35">
      <c r="B25" s="431" t="s">
        <v>716</v>
      </c>
      <c r="C25" s="440" t="str">
        <f>IF(RESULTADOS_DETALHE!$H$14="",MEMORIA_RESULTADOS!$AG$2,RESULTADOS_DETALHE!$H$14)</f>
        <v>REVISE</v>
      </c>
      <c r="D25" s="578" t="s">
        <v>717</v>
      </c>
      <c r="E25" s="578"/>
      <c r="F25" s="578"/>
      <c r="G25" s="578"/>
    </row>
    <row r="26" spans="2:7" ht="30" customHeight="1" x14ac:dyDescent="0.35">
      <c r="B26" s="431" t="s">
        <v>718</v>
      </c>
      <c r="C26" s="440" t="str">
        <f>IF(RESULTADOS_DETALHE!$H$24="",MEMORIA_RESULTADOS!$AG$2,RESULTADOS_DETALHE!$H$24)</f>
        <v>REVISE</v>
      </c>
      <c r="D26" s="578" t="s">
        <v>719</v>
      </c>
      <c r="E26" s="578"/>
      <c r="F26" s="578"/>
      <c r="G26" s="578"/>
    </row>
    <row r="27" spans="2:7" ht="30" customHeight="1" x14ac:dyDescent="0.35">
      <c r="B27" s="431" t="s">
        <v>430</v>
      </c>
      <c r="C27" s="440" t="str">
        <f ca="1">IF(RESULTADOS_DETALHE!$H$33="",MEMORIA_RESULTADOS!$AG$2,RESULTADOS_DETALHE!$H$33)</f>
        <v>REVISE</v>
      </c>
      <c r="D27" s="578" t="s">
        <v>720</v>
      </c>
      <c r="E27" s="578"/>
      <c r="F27" s="578"/>
      <c r="G27" s="578"/>
    </row>
    <row r="28" spans="2:7" ht="30" customHeight="1" x14ac:dyDescent="0.35">
      <c r="B28" s="431" t="s">
        <v>721</v>
      </c>
      <c r="C28" s="442" t="str">
        <f ca="1">IF(ISNUMBER(RESULTADOS_DETALHE!$B$35),RESULTADOS_DETALHE!$B$35,MEMORIA_RESULTADOS!$AG$2)</f>
        <v>—</v>
      </c>
      <c r="D28" s="578" t="s">
        <v>722</v>
      </c>
      <c r="E28" s="578"/>
      <c r="F28" s="578"/>
      <c r="G28" s="578"/>
    </row>
    <row r="29" spans="2:7" ht="30" customHeight="1" x14ac:dyDescent="0.35">
      <c r="B29" s="431" t="s">
        <v>723</v>
      </c>
      <c r="C29" s="440" t="str">
        <f ca="1">IF(RESULTADOS_DETALHE!$H$13="",MEMORIA_RESULTADOS!$AG$2,RESULTADOS_DETALHE!$H$13)</f>
        <v>POSICAO ATUAL NAO INFORMADA</v>
      </c>
      <c r="D29" s="578" t="s">
        <v>724</v>
      </c>
      <c r="E29" s="578"/>
      <c r="F29" s="578"/>
      <c r="G29" s="578"/>
    </row>
    <row r="30" spans="2:7" ht="30" customHeight="1" x14ac:dyDescent="0.35">
      <c r="B30" s="431" t="s">
        <v>725</v>
      </c>
      <c r="C30" s="443" t="str">
        <f ca="1">IF(RESULTADOS_DETALHE!$B$13="",MEMORIA_RESULTADOS!$AG$2,RESULTADOS_DETALHE!$B$13)</f>
        <v>—</v>
      </c>
      <c r="D30" s="578" t="s">
        <v>726</v>
      </c>
      <c r="E30" s="578"/>
      <c r="F30" s="578"/>
      <c r="G30" s="578"/>
    </row>
    <row r="31" spans="2:7" ht="30" customHeight="1" x14ac:dyDescent="0.35">
      <c r="B31" s="432" t="s">
        <v>727</v>
      </c>
      <c r="C31" s="441" t="str">
        <f>IF(COUNTA(RESULTADOS_DETALHE!$C$43:$G$50)=0,MEMORIA_RESULTADOS!$AG$17,IF(COUNTIF(RESULTADOS_DETALHE!$H$43:$H$50,"REVISE")&gt;0,"REVISE","VALIDADO"))</f>
        <v>SEM AJUSTES</v>
      </c>
      <c r="D31" s="579" t="s">
        <v>735</v>
      </c>
      <c r="E31" s="580"/>
      <c r="F31" s="580"/>
      <c r="G31" s="580"/>
    </row>
    <row r="32" spans="2:7" ht="12" customHeight="1" x14ac:dyDescent="0.35"/>
    <row r="33" spans="2:7" ht="24" customHeight="1" x14ac:dyDescent="0.35">
      <c r="B33" s="427" t="s">
        <v>728</v>
      </c>
      <c r="C33" s="428"/>
      <c r="D33" s="428"/>
      <c r="E33" s="428"/>
      <c r="F33" s="428"/>
      <c r="G33" s="428"/>
    </row>
    <row r="34" spans="2:7" ht="22" customHeight="1" x14ac:dyDescent="0.35">
      <c r="B34" s="587" t="s">
        <v>291</v>
      </c>
      <c r="C34" s="591" t="s">
        <v>729</v>
      </c>
      <c r="D34" s="591" t="s">
        <v>730</v>
      </c>
      <c r="E34" s="591" t="s">
        <v>731</v>
      </c>
      <c r="F34" s="591" t="s">
        <v>732</v>
      </c>
      <c r="G34" s="588" t="s">
        <v>441</v>
      </c>
    </row>
    <row r="35" spans="2:7" ht="30" customHeight="1" x14ac:dyDescent="0.35">
      <c r="B35" s="444" t="str">
        <f>"C0"&amp;IF(UPPER(CONTROLE!$B$2)="C0"," (vigente)","")</f>
        <v>C0</v>
      </c>
      <c r="C35" s="447" t="str">
        <f>IF(ISNUMBER(parametros!$C$2),parametros!$C$2,MEMORIA_RESULTADOS!$AG$2)</f>
        <v>—</v>
      </c>
      <c r="D35" s="447" t="str">
        <f>IF(ISNUMBER(parametros!$D$2),parametros!$D$2,MEMORIA_RESULTADOS!$AG$2)</f>
        <v>—</v>
      </c>
      <c r="E35" s="448" t="str">
        <f>IF(ISNUMBER(parametros!$E$2),parametros!$E$2,MEMORIA_RESULTADOS!$AG$2)</f>
        <v>—</v>
      </c>
      <c r="F35" s="447" t="str">
        <f>IF(ISNUMBER(parametros!$H$2),parametros!$H$2,IF(parametros!$H$2="",MEMORIA_RESULTADOS!$AG$2,parametros!$H$2))</f>
        <v>—</v>
      </c>
      <c r="G35" s="453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5" t="str">
        <f>"C1"&amp;IF(UPPER(CONTROLE!$B$2)="C1"," (vigente)","")</f>
        <v>C1</v>
      </c>
      <c r="C36" s="449" t="str">
        <f>IF(ISNUMBER(parametros!$C$3),parametros!$C$3,MEMORIA_RESULTADOS!$AG$2)</f>
        <v>—</v>
      </c>
      <c r="D36" s="449" t="str">
        <f>IF(ISNUMBER(parametros!$D$3),parametros!$D$3,MEMORIA_RESULTADOS!$AG$2)</f>
        <v>—</v>
      </c>
      <c r="E36" s="450" t="str">
        <f>IF(ISNUMBER(parametros!$E$3),parametros!$E$3,MEMORIA_RESULTADOS!$AG$2)</f>
        <v>—</v>
      </c>
      <c r="F36" s="449" t="str">
        <f>IF(ISNUMBER(parametros!$H$3),parametros!$H$3,IF(parametros!$H$3="",MEMORIA_RESULTADOS!$AG$2,parametros!$H$3))</f>
        <v>—</v>
      </c>
      <c r="G36" s="454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5" t="str">
        <f>"C2"&amp;IF(UPPER(CONTROLE!$B$2)="C2"," (vigente)","")</f>
        <v>C2</v>
      </c>
      <c r="C37" s="449" t="str">
        <f>IF(ISNUMBER(parametros!$C$4),parametros!$C$4,MEMORIA_RESULTADOS!$AG$2)</f>
        <v>—</v>
      </c>
      <c r="D37" s="449" t="str">
        <f>IF(ISNUMBER(parametros!$D$4),parametros!$D$4,MEMORIA_RESULTADOS!$AG$2)</f>
        <v>—</v>
      </c>
      <c r="E37" s="450" t="str">
        <f>IF(ISNUMBER(parametros!$E$4),parametros!$E$4,MEMORIA_RESULTADOS!$AG$2)</f>
        <v>—</v>
      </c>
      <c r="F37" s="449" t="str">
        <f>IF(ISNUMBER(parametros!$H$4),parametros!$H$4,IF(parametros!$H$4="",MEMORIA_RESULTADOS!$AG$2,parametros!$H$4))</f>
        <v>—</v>
      </c>
      <c r="G37" s="454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5" t="str">
        <f>"C3"&amp;IF(UPPER(CONTROLE!$B$2)="C3"," (vigente)","")</f>
        <v>C3</v>
      </c>
      <c r="C38" s="449" t="str">
        <f>IF(ISNUMBER(parametros!$C$5),parametros!$C$5,MEMORIA_RESULTADOS!$AG$2)</f>
        <v>—</v>
      </c>
      <c r="D38" s="449" t="str">
        <f>IF(ISNUMBER(parametros!$D$5),parametros!$D$5,MEMORIA_RESULTADOS!$AG$2)</f>
        <v>—</v>
      </c>
      <c r="E38" s="450" t="str">
        <f>IF(ISNUMBER(parametros!$E$5),parametros!$E$5,MEMORIA_RESULTADOS!$AG$2)</f>
        <v>—</v>
      </c>
      <c r="F38" s="449" t="str">
        <f>IF(ISNUMBER(parametros!$H$5),parametros!$H$5,IF(parametros!$H$5="",MEMORIA_RESULTADOS!$AG$2,parametros!$H$5))</f>
        <v>—</v>
      </c>
      <c r="G38" s="454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6" t="str">
        <f>"C4"&amp;IF(UPPER(CONTROLE!$B$2)="C4"," (vigente)","")</f>
        <v>C4</v>
      </c>
      <c r="C39" s="451" t="str">
        <f>IF(ISNUMBER(parametros!$C$6),parametros!$C$6,MEMORIA_RESULTADOS!$AG$2)</f>
        <v>—</v>
      </c>
      <c r="D39" s="451" t="str">
        <f>IF(ISNUMBER(parametros!$D$6),parametros!$D$6,MEMORIA_RESULTADOS!$AG$2)</f>
        <v>—</v>
      </c>
      <c r="E39" s="452" t="str">
        <f>IF(ISNUMBER(parametros!$E$6),parametros!$E$6,MEMORIA_RESULTADOS!$AG$2)</f>
        <v>—</v>
      </c>
      <c r="F39" s="451" t="str">
        <f>IF(ISNUMBER(parametros!$H$6),parametros!$H$6,IF(parametros!$H$6="",MEMORIA_RESULTADOS!$AG$2,parametros!$H$6))</f>
        <v>—</v>
      </c>
      <c r="G39" s="455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8" t="str">
        <f>RESULTADOS_DETALHE!$A$15</f>
        <v>2. EXECUÇÃO E RETROATIVO POR CICLO</v>
      </c>
      <c r="C41" s="428"/>
      <c r="D41" s="428"/>
      <c r="E41" s="428"/>
      <c r="F41" s="428"/>
      <c r="G41" s="428"/>
    </row>
    <row r="42" spans="2:7" ht="22" customHeight="1" x14ac:dyDescent="0.35">
      <c r="B42" s="587" t="s">
        <v>291</v>
      </c>
      <c r="C42" s="592" t="str">
        <f>RESULTADOS_DETALHE!$B$15</f>
        <v>Valor de referência</v>
      </c>
      <c r="D42" s="592" t="str">
        <f>RESULTADOS_DETALHE!$C$15</f>
        <v>Valor atualizado</v>
      </c>
      <c r="E42" s="592" t="str">
        <f>RESULTADOS_DETALHE!$D$15</f>
        <v>Diferença</v>
      </c>
    </row>
    <row r="43" spans="2:7" ht="20" customHeight="1" x14ac:dyDescent="0.35">
      <c r="B43" s="456" t="s">
        <v>21</v>
      </c>
      <c r="C43" s="433" t="str">
        <f>IF(RESULTADOS_DETALHE!$B$16="",MEMORIA_RESULTADOS!$AG$2,RESULTADOS_DETALHE!$B$16)</f>
        <v>—</v>
      </c>
      <c r="D43" s="433" t="str">
        <f>IF(RESULTADOS_DETALHE!$C$16="",MEMORIA_RESULTADOS!$AG$2,RESULTADOS_DETALHE!$C$16)</f>
        <v>—</v>
      </c>
      <c r="E43" s="433" t="str">
        <f>IF(RESULTADOS_DETALHE!$D$16="",MEMORIA_RESULTADOS!$AG$2,RESULTADOS_DETALHE!$D$16)</f>
        <v>—</v>
      </c>
    </row>
    <row r="44" spans="2:7" ht="20" customHeight="1" x14ac:dyDescent="0.35">
      <c r="B44" s="457" t="s">
        <v>22</v>
      </c>
      <c r="C44" s="434" t="str">
        <f>IF(RESULTADOS_DETALHE!$B$17="",MEMORIA_RESULTADOS!$AG$2,RESULTADOS_DETALHE!$B$17)</f>
        <v>—</v>
      </c>
      <c r="D44" s="434" t="str">
        <f>IF(RESULTADOS_DETALHE!$C$17="",MEMORIA_RESULTADOS!$AG$2,RESULTADOS_DETALHE!$C$17)</f>
        <v>—</v>
      </c>
      <c r="E44" s="434" t="str">
        <f>IF(RESULTADOS_DETALHE!$D$17="",MEMORIA_RESULTADOS!$AG$2,RESULTADOS_DETALHE!$D$17)</f>
        <v>—</v>
      </c>
    </row>
    <row r="45" spans="2:7" ht="20" customHeight="1" x14ac:dyDescent="0.35">
      <c r="B45" s="457" t="s">
        <v>23</v>
      </c>
      <c r="C45" s="434" t="str">
        <f>IF(RESULTADOS_DETALHE!$B$18="",MEMORIA_RESULTADOS!$AG$2,RESULTADOS_DETALHE!$B$18)</f>
        <v>—</v>
      </c>
      <c r="D45" s="434" t="str">
        <f>IF(RESULTADOS_DETALHE!$C$18="",MEMORIA_RESULTADOS!$AG$2,RESULTADOS_DETALHE!$C$18)</f>
        <v>—</v>
      </c>
      <c r="E45" s="434" t="str">
        <f>IF(RESULTADOS_DETALHE!$D$18="",MEMORIA_RESULTADOS!$AG$2,RESULTADOS_DETALHE!$D$18)</f>
        <v>—</v>
      </c>
    </row>
    <row r="46" spans="2:7" ht="20" customHeight="1" x14ac:dyDescent="0.35">
      <c r="B46" s="457" t="s">
        <v>24</v>
      </c>
      <c r="C46" s="434" t="str">
        <f>IF(RESULTADOS_DETALHE!$B$19="",MEMORIA_RESULTADOS!$AG$2,RESULTADOS_DETALHE!$B$19)</f>
        <v>—</v>
      </c>
      <c r="D46" s="434" t="str">
        <f>IF(RESULTADOS_DETALHE!$C$19="",MEMORIA_RESULTADOS!$AG$2,RESULTADOS_DETALHE!$C$19)</f>
        <v>—</v>
      </c>
      <c r="E46" s="434" t="str">
        <f>IF(RESULTADOS_DETALHE!$D$19="",MEMORIA_RESULTADOS!$AG$2,RESULTADOS_DETALHE!$D$19)</f>
        <v>—</v>
      </c>
    </row>
    <row r="47" spans="2:7" ht="20" customHeight="1" x14ac:dyDescent="0.35">
      <c r="B47" s="457" t="s">
        <v>25</v>
      </c>
      <c r="C47" s="434" t="str">
        <f>IF(RESULTADOS_DETALHE!$B$20="",MEMORIA_RESULTADOS!$AG$2,RESULTADOS_DETALHE!$B$20)</f>
        <v>—</v>
      </c>
      <c r="D47" s="434" t="str">
        <f>IF(RESULTADOS_DETALHE!$C$20="",MEMORIA_RESULTADOS!$AG$2,RESULTADOS_DETALHE!$C$20)</f>
        <v>—</v>
      </c>
      <c r="E47" s="434" t="str">
        <f>IF(RESULTADOS_DETALHE!$D$20="",MEMORIA_RESULTADOS!$AG$2,RESULTADOS_DETALHE!$D$20)</f>
        <v>—</v>
      </c>
    </row>
    <row r="48" spans="2:7" ht="20" customHeight="1" thickBot="1" x14ac:dyDescent="0.4">
      <c r="B48" s="458" t="s">
        <v>429</v>
      </c>
      <c r="C48" s="434"/>
      <c r="D48" s="434"/>
      <c r="E48" s="434" t="str">
        <f>IF(RESULTADOS_DETALHE!$D$21="",MEMORIA_RESULTADOS!$AG$2,RESULTADOS_DETALHE!$D$21)</f>
        <v>—</v>
      </c>
    </row>
    <row r="49" spans="2:7" ht="20" customHeight="1" x14ac:dyDescent="0.35">
      <c r="B49" s="459" t="s">
        <v>26</v>
      </c>
      <c r="C49" s="460" t="str">
        <f>IF(RESULTADOS_DETALHE!$B$22="",MEMORIA_RESULTADOS!$AG$2,RESULTADOS_DETALHE!$B$22)</f>
        <v>—</v>
      </c>
      <c r="D49" s="460" t="str">
        <f>IF(RESULTADOS_DETALHE!$C$22="",MEMORIA_RESULTADOS!$AG$2,RESULTADOS_DETALHE!$C$22)</f>
        <v>—</v>
      </c>
      <c r="E49" s="460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7" t="s">
        <v>733</v>
      </c>
      <c r="C51" s="428"/>
      <c r="D51" s="428"/>
      <c r="E51" s="428"/>
      <c r="F51" s="428"/>
      <c r="G51" s="428"/>
    </row>
    <row r="52" spans="2:7" ht="30" customHeight="1" x14ac:dyDescent="0.35">
      <c r="B52" s="576" t="str">
        <f>IF(RESULTADOS_DETALHE!$E$15="",MEMORIA_RESULTADOS!$AG$18,RESULTADOS_DETALHE!$E$16)</f>
        <v>Não há ciclo reajustado computado nesta apuração.</v>
      </c>
      <c r="C52" s="577"/>
      <c r="D52" s="577"/>
      <c r="E52" s="577"/>
      <c r="F52" s="577"/>
      <c r="G52" s="577"/>
    </row>
    <row r="53" spans="2:7" ht="22" customHeight="1" x14ac:dyDescent="0.35">
      <c r="B53" s="463" t="str">
        <f>IF(RESULTADOS_DETALHE!$E$15="","","Ciclo")</f>
        <v/>
      </c>
      <c r="C53" s="465" t="str">
        <f>RESULTADOS_DETALHE!$F$15&amp;""</f>
        <v/>
      </c>
      <c r="D53" s="465" t="str">
        <f>RESULTADOS_DETALHE!$G$15&amp;""</f>
        <v/>
      </c>
      <c r="E53" s="465" t="str">
        <f>IF(RESULTADOS_DETALHE!$H$15&lt;&gt;"",RESULTADOS_DETALHE!$H$15,IF(RESULTADOS_DETALHE!$E$15&lt;&gt;"",MEMORIA_RESULTADOS!$T$109,""))</f>
        <v/>
      </c>
      <c r="F53" s="575" t="str">
        <f>IF(RESULTADOS_DETALHE!$E$15="","",MEMORIA_RESULTADOS!$AG$19)</f>
        <v/>
      </c>
      <c r="G53" s="575"/>
    </row>
    <row r="54" spans="2:7" ht="32" customHeight="1" x14ac:dyDescent="0.35">
      <c r="B54" s="464" t="str">
        <f>IF(RESULTADOS_DETALHE!$E$17="","","C1")</f>
        <v/>
      </c>
      <c r="C54" s="466" t="str">
        <f>IF(RESULTADOS_DETALHE!$F$17="","",RESULTADOS_DETALHE!$F$17)</f>
        <v/>
      </c>
      <c r="D54" s="466" t="str">
        <f>IF(RESULTADOS_DETALHE!$G$17="","",RESULTADOS_DETALHE!$G$17)</f>
        <v/>
      </c>
      <c r="E54" s="466" t="str">
        <f>IF(RESULTADOS_DETALHE!$H$17="","",RESULTADOS_DETALHE!$H$17)</f>
        <v/>
      </c>
      <c r="F54" s="572" t="str">
        <f>RESULTADOS_DETALHE!$E$17&amp;""</f>
        <v/>
      </c>
      <c r="G54" s="572"/>
    </row>
    <row r="55" spans="2:7" ht="32" customHeight="1" x14ac:dyDescent="0.35">
      <c r="B55" s="464" t="str">
        <f>IF(RESULTADOS_DETALHE!$E$18="","","C2")</f>
        <v/>
      </c>
      <c r="C55" s="466" t="str">
        <f>IF(RESULTADOS_DETALHE!$F$18="","",RESULTADOS_DETALHE!$F$18)</f>
        <v/>
      </c>
      <c r="D55" s="466" t="str">
        <f>IF(RESULTADOS_DETALHE!$G$18="","",RESULTADOS_DETALHE!$G$18)</f>
        <v/>
      </c>
      <c r="E55" s="466" t="str">
        <f>IF(RESULTADOS_DETALHE!$H$18="","",RESULTADOS_DETALHE!$H$18)</f>
        <v/>
      </c>
      <c r="F55" s="572" t="str">
        <f>RESULTADOS_DETALHE!$E$18&amp;""</f>
        <v/>
      </c>
      <c r="G55" s="572"/>
    </row>
    <row r="56" spans="2:7" ht="32" customHeight="1" x14ac:dyDescent="0.35">
      <c r="B56" s="464" t="str">
        <f>IF(RESULTADOS_DETALHE!$E$19="","","C3")</f>
        <v/>
      </c>
      <c r="C56" s="466" t="str">
        <f>IF(RESULTADOS_DETALHE!$F$19="","",RESULTADOS_DETALHE!$F$19)</f>
        <v/>
      </c>
      <c r="D56" s="466" t="str">
        <f>IF(RESULTADOS_DETALHE!$G$19="","",RESULTADOS_DETALHE!$G$19)</f>
        <v/>
      </c>
      <c r="E56" s="466" t="str">
        <f>IF(RESULTADOS_DETALHE!$H$19="","",RESULTADOS_DETALHE!$H$19)</f>
        <v/>
      </c>
      <c r="F56" s="572" t="str">
        <f>RESULTADOS_DETALHE!$E$19&amp;""</f>
        <v/>
      </c>
      <c r="G56" s="572"/>
    </row>
    <row r="57" spans="2:7" ht="32" customHeight="1" x14ac:dyDescent="0.35">
      <c r="B57" s="464" t="str">
        <f>IF(RESULTADOS_DETALHE!$E$20="","","C4")</f>
        <v/>
      </c>
      <c r="C57" s="466" t="str">
        <f>IF(RESULTADOS_DETALHE!$F$20="","",RESULTADOS_DETALHE!$F$20)</f>
        <v/>
      </c>
      <c r="D57" s="466" t="str">
        <f>IF(RESULTADOS_DETALHE!$G$20="","",RESULTADOS_DETALHE!$G$20)</f>
        <v/>
      </c>
      <c r="E57" s="466" t="str">
        <f>IF(RESULTADOS_DETALHE!$H$20="","",RESULTADOS_DETALHE!$H$20)</f>
        <v/>
      </c>
      <c r="F57" s="572" t="str">
        <f>RESULTADOS_DETALHE!$E$20&amp;""</f>
        <v/>
      </c>
      <c r="G57" s="572"/>
    </row>
    <row r="58" spans="2:7" ht="30" customHeight="1" x14ac:dyDescent="0.35">
      <c r="B58" s="576" t="str">
        <f>RESULTADOS_DETALHE!$E$21&amp;""</f>
        <v/>
      </c>
      <c r="C58" s="577"/>
      <c r="D58" s="577"/>
      <c r="E58" s="577"/>
      <c r="F58" s="577"/>
      <c r="G58" s="577"/>
    </row>
    <row r="59" spans="2:7" ht="8" customHeight="1" x14ac:dyDescent="0.35"/>
    <row r="60" spans="2:7" ht="30" customHeight="1" x14ac:dyDescent="0.35">
      <c r="B60" s="573" t="s">
        <v>734</v>
      </c>
      <c r="C60" s="574"/>
      <c r="D60" s="574"/>
      <c r="E60" s="574"/>
      <c r="F60" s="574"/>
      <c r="G60" s="574"/>
    </row>
    <row r="61" spans="2:7" ht="12" customHeight="1" x14ac:dyDescent="0.35"/>
    <row r="62" spans="2:7" ht="24" customHeight="1" x14ac:dyDescent="0.35">
      <c r="B62" s="467" t="str">
        <f>IF(METODO_RETROATIVO="PCs",MEMORIA_RESULTADOS!$AG$20,"")</f>
        <v/>
      </c>
    </row>
    <row r="63" spans="2:7" ht="22" customHeight="1" x14ac:dyDescent="0.35">
      <c r="B63" s="463" t="str">
        <f>IF(METODO_RETROATIVO="PCs",MEMORIA_RESULTADOS!$AG$21,"")</f>
        <v/>
      </c>
      <c r="C63" s="462" t="str">
        <f>IF(METODO_RETROATIVO="PCs",MEMORIA_RESULTADOS!$AG$22,"")</f>
        <v/>
      </c>
      <c r="D63" s="575" t="str">
        <f>IF(METODO_RETROATIVO="PCs",MEMORIA_RESULTADOS!$AG$23,"")</f>
        <v/>
      </c>
      <c r="E63" s="575"/>
      <c r="F63" s="575"/>
      <c r="G63" s="575"/>
    </row>
    <row r="64" spans="2:7" ht="30" customHeight="1" x14ac:dyDescent="0.35">
      <c r="B64" s="461" t="str">
        <f>IF(METODO_RETROATIVO="PCs",RESULTADOS_DETALHE!$A$55,"")</f>
        <v/>
      </c>
      <c r="C64" s="468" t="str">
        <f>IF(METODO_RETROATIVO="PCs",IF(RESULTADOS_DETALHE!$B$55="",MEMORIA_RESULTADOS!$AG$2,RESULTADOS_DETALHE!$B$55),"")</f>
        <v/>
      </c>
      <c r="D64" s="572" t="str">
        <f>IF(METODO_RETROATIVO="PCs",RESULTADOS_DETALHE!$C$55,"")</f>
        <v/>
      </c>
      <c r="E64" s="572"/>
      <c r="F64" s="572"/>
      <c r="G64" s="572"/>
    </row>
    <row r="65" spans="2:7" ht="30" customHeight="1" x14ac:dyDescent="0.35">
      <c r="B65" s="461" t="str">
        <f>IF(METODO_RETROATIVO="PCs",RESULTADOS_DETALHE!$A$56,"")</f>
        <v/>
      </c>
      <c r="C65" s="468" t="str">
        <f>IF(METODO_RETROATIVO="PCs",IF(RESULTADOS_DETALHE!$B$56="",MEMORIA_RESULTADOS!$AG$2,RESULTADOS_DETALHE!$B$56),"")</f>
        <v/>
      </c>
      <c r="D65" s="572" t="str">
        <f>IF(METODO_RETROATIVO="PCs",RESULTADOS_DETALHE!$C$56,"")</f>
        <v/>
      </c>
      <c r="E65" s="572"/>
      <c r="F65" s="572"/>
      <c r="G65" s="572"/>
    </row>
    <row r="66" spans="2:7" ht="30" customHeight="1" x14ac:dyDescent="0.35">
      <c r="B66" s="461" t="str">
        <f>IF(METODO_RETROATIVO="PCs",RESULTADOS_DETALHE!$A$57,"")</f>
        <v/>
      </c>
      <c r="C66" s="468" t="str">
        <f>IF(METODO_RETROATIVO="PCs",IF(RESULTADOS_DETALHE!$B$57="",MEMORIA_RESULTADOS!$AG$2,RESULTADOS_DETALHE!$B$57),"")</f>
        <v/>
      </c>
      <c r="D66" s="572" t="str">
        <f>IF(METODO_RETROATIVO="PCs",RESULTADOS_DETALHE!$C$57,"")</f>
        <v/>
      </c>
      <c r="E66" s="572"/>
      <c r="F66" s="572"/>
      <c r="G66" s="572"/>
    </row>
    <row r="67" spans="2:7" ht="30" customHeight="1" x14ac:dyDescent="0.35">
      <c r="B67" s="461" t="str">
        <f>IF(METODO_RETROATIVO="PCs",RESULTADOS_DETALHE!$A$58,"")</f>
        <v/>
      </c>
      <c r="C67" s="468" t="str">
        <f>IF(METODO_RETROATIVO="PCs",IF(RESULTADOS_DETALHE!$B$58="",MEMORIA_RESULTADOS!$AG$2,RESULTADOS_DETALHE!$B$58),"")</f>
        <v/>
      </c>
      <c r="D67" s="572" t="str">
        <f>IF(METODO_RETROATIVO="PCs",RESULTADOS_DETALHE!$C$58,"")</f>
        <v/>
      </c>
      <c r="E67" s="572"/>
      <c r="F67" s="572"/>
      <c r="G67" s="572"/>
    </row>
    <row r="68" spans="2:7" ht="30" customHeight="1" x14ac:dyDescent="0.35">
      <c r="B68" s="461" t="str">
        <f>IF(METODO_RETROATIVO="PCs",RESULTADOS_DETALHE!$A$59,"")</f>
        <v/>
      </c>
      <c r="C68" s="468" t="str">
        <f>IF(METODO_RETROATIVO="PCs",IF(RESULTADOS_DETALHE!$B$59="",MEMORIA_RESULTADOS!$AG$2,RESULTADOS_DETALHE!$B$59),"")</f>
        <v/>
      </c>
      <c r="D68" s="572" t="str">
        <f>IF(METODO_RETROATIVO="PCs",RESULTADOS_DETALHE!$C$59,"")</f>
        <v/>
      </c>
      <c r="E68" s="572"/>
      <c r="F68" s="572"/>
      <c r="G68" s="572"/>
    </row>
    <row r="69" spans="2:7" ht="30" customHeight="1" x14ac:dyDescent="0.35">
      <c r="B69" s="461" t="str">
        <f>IF(METODO_RETROATIVO="PCs",RESULTADOS_DETALHE!$A$60,"")</f>
        <v/>
      </c>
      <c r="C69" s="468" t="str">
        <f>IF(METODO_RETROATIVO="PCs",IF(RESULTADOS_DETALHE!$B$60="",MEMORIA_RESULTADOS!$AG$2,RESULTADOS_DETALHE!$B$60),"")</f>
        <v/>
      </c>
      <c r="D69" s="572" t="str">
        <f>IF(METODO_RETROATIVO="PCs",RESULTADOS_DETALHE!$C$60,"")</f>
        <v/>
      </c>
      <c r="E69" s="572"/>
      <c r="F69" s="572"/>
      <c r="G69" s="572"/>
    </row>
    <row r="70" spans="2:7" ht="30" customHeight="1" x14ac:dyDescent="0.35">
      <c r="B70" s="461" t="str">
        <f>IF(METODO_RETROATIVO="PCs",RESULTADOS_DETALHE!$A$61,"")</f>
        <v/>
      </c>
      <c r="C70" s="468" t="str">
        <f>IF(METODO_RETROATIVO="PCs",IF(RESULTADOS_DETALHE!$B$61="",MEMORIA_RESULTADOS!$AG$2,RESULTADOS_DETALHE!$B$61),"")</f>
        <v/>
      </c>
      <c r="D70" s="572" t="str">
        <f>IF(METODO_RETROATIVO="PCs",RESULTADOS_DETALHE!$C$61,"")</f>
        <v/>
      </c>
      <c r="E70" s="572"/>
      <c r="F70" s="572"/>
      <c r="G70" s="572"/>
    </row>
    <row r="71" spans="2:7" ht="30" customHeight="1" x14ac:dyDescent="0.35">
      <c r="B71" s="461" t="str">
        <f>IF(METODO_RETROATIVO="PCs",RESULTADOS_DETALHE!$A$62,"")</f>
        <v/>
      </c>
      <c r="C71" s="468" t="str">
        <f>IF(METODO_RETROATIVO="PCs",IF(RESULTADOS_DETALHE!$B$62="",MEMORIA_RESULTADOS!$AG$2,RESULTADOS_DETALHE!$B$62),"")</f>
        <v/>
      </c>
      <c r="D71" s="572" t="str">
        <f>IF(METODO_RETROATIVO="PCs",RESULTADOS_DETALHE!$C$62,"")</f>
        <v/>
      </c>
      <c r="E71" s="572"/>
      <c r="F71" s="572"/>
      <c r="G71" s="572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D27:G27"/>
    <mergeCell ref="D28:G28"/>
    <mergeCell ref="D29:G29"/>
    <mergeCell ref="D30:G30"/>
    <mergeCell ref="D31:G31"/>
    <mergeCell ref="B52:G52"/>
    <mergeCell ref="D19:G19"/>
    <mergeCell ref="D20:G20"/>
    <mergeCell ref="D23:G23"/>
    <mergeCell ref="D24:G24"/>
    <mergeCell ref="D25:G25"/>
    <mergeCell ref="D26:G26"/>
    <mergeCell ref="D13:G13"/>
    <mergeCell ref="D14:G14"/>
    <mergeCell ref="D15:G15"/>
    <mergeCell ref="D16:G16"/>
    <mergeCell ref="D17:G17"/>
    <mergeCell ref="D18:G18"/>
  </mergeCells>
  <conditionalFormatting sqref="G6">
    <cfRule type="expression" dxfId="34" priority="1">
      <formula>OR($G$6="VALIDADO",$G$6="RECONCILIADO")</formula>
    </cfRule>
    <cfRule type="expression" dxfId="33" priority="2">
      <formula>ISNUMBER(SEARCH("ESTIMAD",$G$6))</formula>
    </cfRule>
    <cfRule type="expression" dxfId="32" priority="3">
      <formula>ISNUMBER(SEARCH("REVISE",$G$6))</formula>
    </cfRule>
  </conditionalFormatting>
  <conditionalFormatting sqref="B10">
    <cfRule type="expression" dxfId="31" priority="4">
      <formula>AND(METODO_RETROATIVO="PCs",N(RETROATIVO_POTENCIAL_VTA)&lt;&gt;0)</formula>
    </cfRule>
  </conditionalFormatting>
  <conditionalFormatting sqref="G8:G10">
    <cfRule type="expression" dxfId="30" priority="5">
      <formula>LEFT($G$9,4)="PEND"</formula>
    </cfRule>
    <cfRule type="expression" dxfId="29" priority="6">
      <formula>LEFT($G$9,4)="APUR"</formula>
    </cfRule>
  </conditionalFormatting>
  <conditionalFormatting sqref="B15:G15">
    <cfRule type="expression" dxfId="28" priority="7">
      <formula>AND(METODO_RETROATIVO="PCs",N(RETROATIVO_POTENCIAL_APURADO)&lt;&gt;0)</formula>
    </cfRule>
  </conditionalFormatting>
  <conditionalFormatting sqref="B19:G19">
    <cfRule type="expression" dxfId="27" priority="8">
      <formula>AND(METODO_RETROATIVO="PCs",N(RETROATIVO_POTENCIAL_NEGATIVO)&lt;0)</formula>
    </cfRule>
  </conditionalFormatting>
  <conditionalFormatting sqref="C20">
    <cfRule type="expression" dxfId="26" priority="9">
      <formula>AND(ISNUMBER($C$20),$C$20&lt;&gt;0)</formula>
    </cfRule>
  </conditionalFormatting>
  <conditionalFormatting sqref="C24">
    <cfRule type="expression" dxfId="25" priority="10">
      <formula>OR($C$24="VALIDADO",$C$24="RECONCILIADO")</formula>
    </cfRule>
    <cfRule type="expression" dxfId="24" priority="11">
      <formula>ISNUMBER(SEARCH("ESTIMAD",$C$24))</formula>
    </cfRule>
    <cfRule type="expression" dxfId="23" priority="12">
      <formula>ISNUMBER(SEARCH("REVISE",$C$24))</formula>
    </cfRule>
  </conditionalFormatting>
  <conditionalFormatting sqref="C25">
    <cfRule type="expression" dxfId="22" priority="13">
      <formula>OR($C$25="VALIDADO",$C$25="RECONCILIADO")</formula>
    </cfRule>
    <cfRule type="expression" dxfId="21" priority="14">
      <formula>ISNUMBER(SEARCH("ESTIMAD",$C$25))</formula>
    </cfRule>
    <cfRule type="expression" dxfId="20" priority="15">
      <formula>ISNUMBER(SEARCH("REVISE",$C$25))</formula>
    </cfRule>
  </conditionalFormatting>
  <conditionalFormatting sqref="C26">
    <cfRule type="expression" dxfId="19" priority="16">
      <formula>OR($C$26="VALIDADO",$C$26="RECONCILIADO")</formula>
    </cfRule>
    <cfRule type="expression" dxfId="18" priority="17">
      <formula>ISNUMBER(SEARCH("ESTIMAD",$C$26))</formula>
    </cfRule>
    <cfRule type="expression" dxfId="17" priority="18">
      <formula>ISNUMBER(SEARCH("REVISE",$C$26))</formula>
    </cfRule>
  </conditionalFormatting>
  <conditionalFormatting sqref="C27">
    <cfRule type="expression" dxfId="16" priority="19">
      <formula>OR($C$27="VALIDADO",$C$27="RECONCILIADO")</formula>
    </cfRule>
    <cfRule type="expression" dxfId="15" priority="20">
      <formula>ISNUMBER(SEARCH("ESTIMAD",$C$27))</formula>
    </cfRule>
    <cfRule type="expression" dxfId="14" priority="21">
      <formula>ISNUMBER(SEARCH("REVISE",$C$27))</formula>
    </cfRule>
  </conditionalFormatting>
  <conditionalFormatting sqref="C29">
    <cfRule type="expression" dxfId="13" priority="22">
      <formula>OR($C$29="VALIDADO",$C$29="RECONCILIADO")</formula>
    </cfRule>
    <cfRule type="expression" dxfId="12" priority="23">
      <formula>ISNUMBER(SEARCH("ESTIMAD",$C$29))</formula>
    </cfRule>
    <cfRule type="expression" dxfId="11" priority="24">
      <formula>ISNUMBER(SEARCH("REVISE",$C$29))</formula>
    </cfRule>
  </conditionalFormatting>
  <conditionalFormatting sqref="C31">
    <cfRule type="expression" dxfId="10" priority="25">
      <formula>OR($C$31="VALIDADO",$C$31="RECONCILIADO")</formula>
    </cfRule>
    <cfRule type="expression" dxfId="9" priority="26">
      <formula>ISNUMBER(SEARCH("ESTIMAD",$C$31))</formula>
    </cfRule>
    <cfRule type="expression" dxfId="8" priority="27">
      <formula>ISNUMBER(SEARCH("REVISE",$C$31))</formula>
    </cfRule>
  </conditionalFormatting>
  <conditionalFormatting sqref="B35:G39">
    <cfRule type="expression" dxfId="7" priority="28">
      <formula>ISNUMBER(SEARCH("vigente",$B35))</formula>
    </cfRule>
  </conditionalFormatting>
  <conditionalFormatting sqref="B53:F53">
    <cfRule type="expression" dxfId="6" priority="29">
      <formula>$B$53&lt;&gt;""</formula>
    </cfRule>
  </conditionalFormatting>
  <conditionalFormatting sqref="B54:F57">
    <cfRule type="expression" dxfId="5" priority="30">
      <formula>$B$53&lt;&gt;""</formula>
    </cfRule>
  </conditionalFormatting>
  <conditionalFormatting sqref="E54:E57">
    <cfRule type="expression" dxfId="4" priority="31">
      <formula>$E54&lt;&gt;""</formula>
    </cfRule>
  </conditionalFormatting>
  <conditionalFormatting sqref="B62:G62">
    <cfRule type="expression" dxfId="3" priority="32">
      <formula>METODO_RETROATIVO="PCs"</formula>
    </cfRule>
  </conditionalFormatting>
  <conditionalFormatting sqref="B63:G63">
    <cfRule type="expression" dxfId="2" priority="33">
      <formula>METODO_RETROATIVO="PCs"</formula>
    </cfRule>
  </conditionalFormatting>
  <conditionalFormatting sqref="B64:G71">
    <cfRule type="expression" dxfId="1" priority="34">
      <formula>METODO_RETROATIVO="PCs"</formula>
    </cfRule>
  </conditionalFormatting>
  <conditionalFormatting sqref="B70:G70">
    <cfRule type="expression" dxfId="0" priority="35">
      <formula>AND(METODO_RETROATIVO="PCs",N(RETROATIVO_POTENCIAL_VTA)&lt;&gt;0)</formula>
    </cfRule>
  </conditionalFormatting>
  <hyperlinks>
    <hyperlink ref="D31" location="'RESULTADOS_DETALHE'!A41" display="Editar na aba RESULTADOS_DETALHE — bloco 5. AJUSTES MANUAIS (clique aqui)" xr:uid="{3C504DE4-BE39-4F29-9363-002868180495}"/>
  </hyperlinks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2026-10-03T13:43:20Z</dcterms:modified>
</cp:coreProperties>
</file>