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aude\C--Users-danie\df776503-0cd6-42ea-9867-a41ed6c6e9f0\scratchpad\"/>
    </mc:Choice>
  </mc:AlternateContent>
  <xr:revisionPtr revIDLastSave="0" documentId="13_ncr:1_{A75C2771-EF3F-483C-A2A0-C3BE4AD661D3}" xr6:coauthVersionLast="47" xr6:coauthVersionMax="47" xr10:uidLastSave="{00000000-0000-0000-0000-000000000000}"/>
  <bookViews>
    <workbookView xWindow="-110" yWindow="-110" windowWidth="19420" windowHeight="11500" firstSheet="10" activeTab="14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RESULTADOS!$A$90:$H$166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A141" i="15"/>
  <c r="A140" i="15"/>
  <c r="A139" i="15"/>
  <c r="A138" i="15"/>
  <c r="A133" i="15"/>
  <c r="A132" i="15"/>
  <c r="A131" i="15"/>
  <c r="A130" i="15"/>
  <c r="A129" i="15"/>
  <c r="C124" i="15"/>
  <c r="C123" i="15"/>
  <c r="A118" i="15"/>
  <c r="F111" i="15"/>
  <c r="D111" i="15"/>
  <c r="C111" i="15"/>
  <c r="B111" i="15"/>
  <c r="A111" i="15"/>
  <c r="F110" i="15"/>
  <c r="D110" i="15"/>
  <c r="C110" i="15"/>
  <c r="B110" i="15"/>
  <c r="A110" i="15"/>
  <c r="F109" i="15"/>
  <c r="D109" i="15"/>
  <c r="C109" i="15"/>
  <c r="B109" i="15"/>
  <c r="A109" i="15"/>
  <c r="F108" i="15"/>
  <c r="D108" i="15"/>
  <c r="C108" i="15"/>
  <c r="B108" i="15"/>
  <c r="A108" i="15"/>
  <c r="G107" i="15"/>
  <c r="F107" i="15"/>
  <c r="D107" i="15"/>
  <c r="C107" i="15"/>
  <c r="B107" i="15"/>
  <c r="A107" i="15"/>
  <c r="E92" i="15"/>
  <c r="F6" i="15"/>
  <c r="J10" i="15"/>
  <c r="J9" i="15"/>
  <c r="J11" i="15" s="1"/>
  <c r="C92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D142" i="15" s="1"/>
  <c r="B29" i="15"/>
  <c r="B141" i="15" s="1"/>
  <c r="B28" i="15"/>
  <c r="C28" i="15" s="1"/>
  <c r="D140" i="15" s="1"/>
  <c r="B27" i="15"/>
  <c r="C27" i="15" s="1"/>
  <c r="D139" i="15" s="1"/>
  <c r="B26" i="15"/>
  <c r="B138" i="15" s="1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W49" i="14"/>
  <c r="I9" i="9"/>
  <c r="B8" i="13"/>
  <c r="A166" i="15" l="1"/>
  <c r="E165" i="15"/>
  <c r="D165" i="15"/>
  <c r="C165" i="15"/>
  <c r="B165" i="15"/>
  <c r="A165" i="15"/>
  <c r="E164" i="15"/>
  <c r="D164" i="15"/>
  <c r="C164" i="15"/>
  <c r="B164" i="15"/>
  <c r="A164" i="15"/>
  <c r="E163" i="15"/>
  <c r="D163" i="15"/>
  <c r="C163" i="15"/>
  <c r="B163" i="15"/>
  <c r="A163" i="15"/>
  <c r="E162" i="15"/>
  <c r="D162" i="15"/>
  <c r="C162" i="15"/>
  <c r="B162" i="15"/>
  <c r="A162" i="15"/>
  <c r="E161" i="15"/>
  <c r="D161" i="15"/>
  <c r="C161" i="15"/>
  <c r="B161" i="15"/>
  <c r="A161" i="15"/>
  <c r="F160" i="15"/>
  <c r="B147" i="15"/>
  <c r="C142" i="15"/>
  <c r="B142" i="15"/>
  <c r="C141" i="15"/>
  <c r="C140" i="15"/>
  <c r="B140" i="15"/>
  <c r="C139" i="15"/>
  <c r="B139" i="15"/>
  <c r="C138" i="15"/>
  <c r="G111" i="15"/>
  <c r="G109" i="15"/>
  <c r="I100" i="15"/>
  <c r="A101" i="15"/>
  <c r="D100" i="15"/>
  <c r="A100" i="15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B121" i="15" s="1"/>
  <c r="C83" i="15"/>
  <c r="C121" i="15" s="1"/>
  <c r="B84" i="15"/>
  <c r="B122" i="15" s="1"/>
  <c r="C84" i="15"/>
  <c r="C122" i="15" s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119" i="15" s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E107" i="15" s="1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D261" i="14"/>
  <c r="C261" i="14"/>
  <c r="D35" i="14"/>
  <c r="A98" i="15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128" i="9" l="1"/>
  <c r="D134" i="11"/>
  <c r="Q70" i="5"/>
  <c r="E183" i="12"/>
  <c r="H184" i="11" s="1"/>
  <c r="G131" i="12"/>
  <c r="D139" i="11"/>
  <c r="O193" i="5"/>
  <c r="Q132" i="5"/>
  <c r="BB132" i="5" s="1"/>
  <c r="Q63" i="5"/>
  <c r="Q187" i="5"/>
  <c r="D188" i="12"/>
  <c r="E189" i="11" s="1"/>
  <c r="G189" i="11" s="1"/>
  <c r="Q10" i="5"/>
  <c r="G115" i="12"/>
  <c r="D78" i="11"/>
  <c r="G116" i="11"/>
  <c r="E188" i="12"/>
  <c r="H189" i="11" s="1"/>
  <c r="Q8" i="5"/>
  <c r="D118" i="12"/>
  <c r="F118" i="5" s="1"/>
  <c r="F148" i="12"/>
  <c r="E184" i="1"/>
  <c r="D54" i="11"/>
  <c r="J112" i="11"/>
  <c r="D96" i="11"/>
  <c r="F194" i="12"/>
  <c r="F68" i="1"/>
  <c r="E148" i="12"/>
  <c r="H149" i="11" s="1"/>
  <c r="E20" i="12"/>
  <c r="H21" i="11" s="1"/>
  <c r="J21" i="11" s="1"/>
  <c r="D137" i="11"/>
  <c r="G148" i="12"/>
  <c r="Q93" i="5"/>
  <c r="N48" i="9"/>
  <c r="M141" i="5"/>
  <c r="AT141" i="5" s="1"/>
  <c r="E74" i="1"/>
  <c r="D29" i="15"/>
  <c r="D141" i="15"/>
  <c r="J23" i="11"/>
  <c r="D26" i="15"/>
  <c r="D138" i="15"/>
  <c r="D15" i="3"/>
  <c r="I262" i="14" s="1"/>
  <c r="BG26" i="5" s="1"/>
  <c r="E111" i="15"/>
  <c r="B261" i="14"/>
  <c r="G110" i="15"/>
  <c r="D14" i="3"/>
  <c r="I261" i="14" s="1"/>
  <c r="BD29" i="5" s="1"/>
  <c r="E110" i="15"/>
  <c r="D13" i="3"/>
  <c r="I260" i="14" s="1"/>
  <c r="L260" i="14" s="1"/>
  <c r="E109" i="15"/>
  <c r="B259" i="14"/>
  <c r="G108" i="15"/>
  <c r="D12" i="3"/>
  <c r="I259" i="14" s="1"/>
  <c r="AV160" i="5" s="1"/>
  <c r="E108" i="15"/>
  <c r="AB136" i="5"/>
  <c r="G3" i="15"/>
  <c r="E98" i="15"/>
  <c r="AB183" i="5"/>
  <c r="J6" i="15"/>
  <c r="A3" i="15" s="1"/>
  <c r="B92" i="15"/>
  <c r="J33" i="11"/>
  <c r="Q101" i="9"/>
  <c r="F152" i="1"/>
  <c r="N62" i="9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E103" i="12"/>
  <c r="H104" i="11" s="1"/>
  <c r="Q111" i="5"/>
  <c r="BB111" i="5" s="1"/>
  <c r="Q29" i="9"/>
  <c r="N32" i="9"/>
  <c r="E35" i="14"/>
  <c r="B85" i="15"/>
  <c r="B123" i="15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AC170" i="5" s="1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G151" i="12"/>
  <c r="AB66" i="5"/>
  <c r="AP66" i="5" s="1"/>
  <c r="AR66" i="5" s="1"/>
  <c r="G63" i="12"/>
  <c r="T63" i="5" s="1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B55" i="14"/>
  <c r="D113" i="12"/>
  <c r="E114" i="11" s="1"/>
  <c r="G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AB133" i="5"/>
  <c r="AQ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P148" i="5" s="1"/>
  <c r="AR148" i="5" s="1"/>
  <c r="G183" i="12"/>
  <c r="N184" i="11" s="1"/>
  <c r="P184" i="11" s="1"/>
  <c r="Q134" i="5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O125" i="5"/>
  <c r="D117" i="11"/>
  <c r="D124" i="11"/>
  <c r="M152" i="5"/>
  <c r="G121" i="12"/>
  <c r="T121" i="5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L34" i="5" s="1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BC30" i="5" s="1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Q149" i="5" s="1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E57" i="12"/>
  <c r="H57" i="5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D38" i="1"/>
  <c r="Q171" i="9"/>
  <c r="F29" i="12"/>
  <c r="R29" i="5" s="1"/>
  <c r="G139" i="12"/>
  <c r="N140" i="11" s="1"/>
  <c r="P140" i="11" s="1"/>
  <c r="E65" i="12"/>
  <c r="H65" i="5" s="1"/>
  <c r="D61" i="11"/>
  <c r="F143" i="14"/>
  <c r="D140" i="11"/>
  <c r="D161" i="11"/>
  <c r="E139" i="12"/>
  <c r="H183" i="14"/>
  <c r="D198" i="12"/>
  <c r="E174" i="1"/>
  <c r="H143" i="14"/>
  <c r="D32" i="12"/>
  <c r="E33" i="11" s="1"/>
  <c r="G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D182" i="1"/>
  <c r="C161" i="1"/>
  <c r="M167" i="5"/>
  <c r="D179" i="1"/>
  <c r="G130" i="1"/>
  <c r="Q99" i="5"/>
  <c r="O99" i="5"/>
  <c r="Q53" i="5"/>
  <c r="D180" i="12"/>
  <c r="E181" i="11" s="1"/>
  <c r="G181" i="11" s="1"/>
  <c r="D126" i="11"/>
  <c r="AB96" i="5"/>
  <c r="AP96" i="5" s="1"/>
  <c r="AR96" i="5" s="1"/>
  <c r="E154" i="1"/>
  <c r="M115" i="5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L179" i="5" s="1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N141" i="11" s="1"/>
  <c r="P141" i="11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P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K125" i="11" s="1"/>
  <c r="M125" i="11" s="1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L69" i="5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L65" i="5" s="1"/>
  <c r="G39" i="12"/>
  <c r="N40" i="11" s="1"/>
  <c r="P40" i="11" s="1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H40" i="11" s="1"/>
  <c r="J40" i="11" s="1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E180" i="11" s="1"/>
  <c r="G180" i="11" s="1"/>
  <c r="D25" i="12"/>
  <c r="E26" i="11" s="1"/>
  <c r="G26" i="11" s="1"/>
  <c r="M126" i="5"/>
  <c r="AT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BB156" i="5" s="1"/>
  <c r="F9" i="12"/>
  <c r="K10" i="11" s="1"/>
  <c r="M10" i="11" s="1"/>
  <c r="O55" i="5"/>
  <c r="AX55" i="5" s="1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G173" i="12"/>
  <c r="N174" i="11" s="1"/>
  <c r="P174" i="11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E22" i="11" s="1"/>
  <c r="G22" i="11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BD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Q104" i="5" s="1"/>
  <c r="G63" i="11"/>
  <c r="D20" i="11"/>
  <c r="D62" i="11"/>
  <c r="F23" i="1"/>
  <c r="D163" i="11"/>
  <c r="D199" i="11"/>
  <c r="O39" i="5"/>
  <c r="AX39" i="5" s="1"/>
  <c r="Q116" i="5"/>
  <c r="Q182" i="5"/>
  <c r="Q69" i="5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P76" i="5" s="1"/>
  <c r="AR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J52" i="11"/>
  <c r="G69" i="11"/>
  <c r="M22" i="11"/>
  <c r="M193" i="11"/>
  <c r="M97" i="11"/>
  <c r="Q60" i="9"/>
  <c r="N140" i="9"/>
  <c r="O41" i="5"/>
  <c r="AX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H41" i="5"/>
  <c r="AB3" i="14"/>
  <c r="G111" i="11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T143" i="5" s="1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C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N103" i="5" s="1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J134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P151" i="5" s="1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BB70" i="5"/>
  <c r="AB89" i="5"/>
  <c r="AT83" i="5"/>
  <c r="L51" i="5"/>
  <c r="H51" i="5"/>
  <c r="BB63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G124" i="1"/>
  <c r="L115" i="5"/>
  <c r="H115" i="5"/>
  <c r="F115" i="5"/>
  <c r="L110" i="5"/>
  <c r="H110" i="5"/>
  <c r="F110" i="5"/>
  <c r="J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C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G92" i="15" s="1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H187" i="5"/>
  <c r="J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AU60" i="5"/>
  <c r="AT60" i="5"/>
  <c r="M5" i="5"/>
  <c r="AB5" i="5"/>
  <c r="AB147" i="14"/>
  <c r="AB142" i="14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AX10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E158" i="1"/>
  <c r="G158" i="1"/>
  <c r="F158" i="1"/>
  <c r="D158" i="1"/>
  <c r="C158" i="1"/>
  <c r="L188" i="5"/>
  <c r="H188" i="5"/>
  <c r="F188" i="5"/>
  <c r="J102" i="5"/>
  <c r="AB70" i="5"/>
  <c r="M70" i="5"/>
  <c r="Q33" i="5"/>
  <c r="O33" i="5"/>
  <c r="BC105" i="5"/>
  <c r="BB105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30" i="15" s="1"/>
  <c r="B59" i="15"/>
  <c r="B56" i="15"/>
  <c r="B55" i="15"/>
  <c r="B19" i="15"/>
  <c r="B132" i="15" s="1"/>
  <c r="B18" i="15"/>
  <c r="B131" i="15" s="1"/>
  <c r="B58" i="15"/>
  <c r="B57" i="15"/>
  <c r="B20" i="15"/>
  <c r="B133" i="15" s="1"/>
  <c r="B16" i="15"/>
  <c r="B129" i="15" s="1"/>
  <c r="O194" i="5"/>
  <c r="M194" i="5"/>
  <c r="F35" i="5"/>
  <c r="E142" i="14"/>
  <c r="H142" i="14"/>
  <c r="C142" i="14"/>
  <c r="B142" i="14"/>
  <c r="D142" i="14"/>
  <c r="G142" i="14"/>
  <c r="F142" i="14"/>
  <c r="O153" i="5"/>
  <c r="H198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N35" i="11"/>
  <c r="P35" i="11" s="1"/>
  <c r="E90" i="12"/>
  <c r="E146" i="1"/>
  <c r="AX181" i="5"/>
  <c r="P181" i="5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AP133" i="5"/>
  <c r="AR133" i="5" s="1"/>
  <c r="AC133" i="5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BB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BD113" i="5" s="1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K185" i="11"/>
  <c r="M185" i="11" s="1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AC33" i="5"/>
  <c r="H195" i="11"/>
  <c r="J195" i="11" s="1"/>
  <c r="H19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J192" i="5"/>
  <c r="H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D118" i="1"/>
  <c r="G8" i="1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AU126" i="5"/>
  <c r="M32" i="5"/>
  <c r="O32" i="5"/>
  <c r="G30" i="12"/>
  <c r="D30" i="12"/>
  <c r="G92" i="1"/>
  <c r="AB41" i="5"/>
  <c r="M41" i="5"/>
  <c r="O147" i="5"/>
  <c r="N74" i="11"/>
  <c r="P74" i="11" s="1"/>
  <c r="C75" i="1"/>
  <c r="F75" i="1"/>
  <c r="G75" i="1"/>
  <c r="E75" i="1"/>
  <c r="D75" i="1"/>
  <c r="BB10" i="5"/>
  <c r="BC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T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C148" i="5"/>
  <c r="AB144" i="5"/>
  <c r="M144" i="5"/>
  <c r="O183" i="5"/>
  <c r="Q183" i="5"/>
  <c r="M107" i="5"/>
  <c r="AB107" i="5"/>
  <c r="F197" i="5"/>
  <c r="O19" i="5"/>
  <c r="M19" i="5"/>
  <c r="E67" i="1"/>
  <c r="BB53" i="5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BC107" i="5"/>
  <c r="BB107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AC128" i="14"/>
  <c r="O116" i="5"/>
  <c r="AB99" i="5"/>
  <c r="M99" i="5"/>
  <c r="F99" i="5"/>
  <c r="G82" i="1"/>
  <c r="E82" i="1"/>
  <c r="C82" i="1"/>
  <c r="F82" i="1"/>
  <c r="D82" i="1"/>
  <c r="BC40" i="5"/>
  <c r="BB40" i="5"/>
  <c r="J21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X123" i="5"/>
  <c r="AZ123" i="5" s="1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N122" i="11"/>
  <c r="P122" i="11" s="1"/>
  <c r="Q115" i="5"/>
  <c r="O115" i="5"/>
  <c r="AB70" i="14"/>
  <c r="AD83" i="14"/>
  <c r="O73" i="5"/>
  <c r="Q73" i="5"/>
  <c r="J41" i="5"/>
  <c r="L38" i="5"/>
  <c r="F27" i="5"/>
  <c r="F5" i="1"/>
  <c r="H89" i="5"/>
  <c r="E91" i="1"/>
  <c r="N66" i="11"/>
  <c r="P66" i="11" s="1"/>
  <c r="T65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AC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F113" i="5"/>
  <c r="J5" i="5"/>
  <c r="F7" i="1"/>
  <c r="J72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F137" i="5"/>
  <c r="D139" i="1"/>
  <c r="F130" i="5"/>
  <c r="J130" i="5"/>
  <c r="H130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AX99" i="5"/>
  <c r="M30" i="5"/>
  <c r="O30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BB119" i="5"/>
  <c r="BD119" i="5" s="1"/>
  <c r="BC119" i="5"/>
  <c r="O163" i="5"/>
  <c r="M163" i="5"/>
  <c r="G152" i="1"/>
  <c r="L121" i="5"/>
  <c r="H121" i="5"/>
  <c r="F12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T158" i="5"/>
  <c r="AV158" i="5" s="1"/>
  <c r="E8" i="1"/>
  <c r="H6" i="5"/>
  <c r="Q188" i="5"/>
  <c r="M155" i="5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G85" i="1"/>
  <c r="H81" i="5"/>
  <c r="J81" i="5"/>
  <c r="L81" i="5"/>
  <c r="Q62" i="5"/>
  <c r="E124" i="1"/>
  <c r="K66" i="11"/>
  <c r="M66" i="11" s="1"/>
  <c r="J65" i="5"/>
  <c r="AX105" i="5"/>
  <c r="P105" i="5"/>
  <c r="F79" i="5"/>
  <c r="F16" i="5"/>
  <c r="J16" i="5"/>
  <c r="N155" i="9"/>
  <c r="BB26" i="5"/>
  <c r="BD26" i="5" s="1"/>
  <c r="R26" i="5"/>
  <c r="BC26" i="5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L158" i="5"/>
  <c r="AD158" i="14"/>
  <c r="E104" i="11"/>
  <c r="G104" i="11" s="1"/>
  <c r="F103" i="5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U49" i="5"/>
  <c r="M15" i="5"/>
  <c r="N121" i="9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AQ98" i="5"/>
  <c r="AX74" i="5"/>
  <c r="AZ74" i="5" s="1"/>
  <c r="P74" i="5"/>
  <c r="AU8" i="5"/>
  <c r="H25" i="5"/>
  <c r="F25" i="5"/>
  <c r="J25" i="5"/>
  <c r="E66" i="1"/>
  <c r="D66" i="1"/>
  <c r="G66" i="1"/>
  <c r="C66" i="1"/>
  <c r="F66" i="1"/>
  <c r="L261" i="14"/>
  <c r="K261" i="14"/>
  <c r="BC129" i="5"/>
  <c r="BC194" i="5"/>
  <c r="BC144" i="5"/>
  <c r="BD19" i="5"/>
  <c r="BC118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J124" i="5"/>
  <c r="O2" i="5"/>
  <c r="M74" i="5"/>
  <c r="Q47" i="9"/>
  <c r="I3" i="7"/>
  <c r="J3" i="7"/>
  <c r="BD174" i="5"/>
  <c r="Q121" i="9"/>
  <c r="Q16" i="9"/>
  <c r="O54" i="5"/>
  <c r="J100" i="5"/>
  <c r="R100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9" i="5"/>
  <c r="AQ129" i="5"/>
  <c r="AQ21" i="5"/>
  <c r="AQ59" i="5"/>
  <c r="AQ20" i="5"/>
  <c r="AQ88" i="5"/>
  <c r="F10" i="14"/>
  <c r="B15" i="14"/>
  <c r="B41" i="14" s="1"/>
  <c r="BD100" i="5"/>
  <c r="H54" i="5"/>
  <c r="N100" i="9"/>
  <c r="H95" i="5"/>
  <c r="L29" i="5"/>
  <c r="AB112" i="5"/>
  <c r="L86" i="5"/>
  <c r="J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BC100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AY143" i="5"/>
  <c r="E134" i="11"/>
  <c r="G134" i="11" s="1"/>
  <c r="F133" i="5"/>
  <c r="J69" i="5"/>
  <c r="AB110" i="5"/>
  <c r="E72" i="12"/>
  <c r="H72" i="5" s="1"/>
  <c r="D72" i="12"/>
  <c r="E73" i="11" s="1"/>
  <c r="G73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39" i="5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82" i="5"/>
  <c r="AU51" i="5"/>
  <c r="AU7" i="5"/>
  <c r="AU138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AT13" i="5"/>
  <c r="AV13" i="5" s="1"/>
  <c r="K40" i="11"/>
  <c r="M40" i="11" s="1"/>
  <c r="J39" i="5"/>
  <c r="R39" i="5"/>
  <c r="R7" i="7"/>
  <c r="S7" i="7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T21" i="14"/>
  <c r="O7" i="7"/>
  <c r="AU33" i="5"/>
  <c r="AV35" i="5"/>
  <c r="BD166" i="5"/>
  <c r="P99" i="5" l="1"/>
  <c r="AV141" i="5"/>
  <c r="N55" i="11"/>
  <c r="P55" i="11" s="1"/>
  <c r="R81" i="5"/>
  <c r="L13" i="5"/>
  <c r="N133" i="5"/>
  <c r="BC47" i="5"/>
  <c r="R132" i="5"/>
  <c r="H97" i="5"/>
  <c r="P41" i="5"/>
  <c r="BB30" i="5"/>
  <c r="BD30" i="5" s="1"/>
  <c r="K30" i="11"/>
  <c r="M30" i="11" s="1"/>
  <c r="L130" i="5"/>
  <c r="T45" i="5"/>
  <c r="BC19" i="5"/>
  <c r="R19" i="5"/>
  <c r="J54" i="5"/>
  <c r="F192" i="5"/>
  <c r="J91" i="5"/>
  <c r="T39" i="5"/>
  <c r="L54" i="5"/>
  <c r="H12" i="5"/>
  <c r="T73" i="5"/>
  <c r="BD132" i="5"/>
  <c r="AZ55" i="5"/>
  <c r="AC25" i="5"/>
  <c r="L177" i="5"/>
  <c r="AP33" i="5"/>
  <c r="AR33" i="5" s="1"/>
  <c r="N181" i="11"/>
  <c r="P181" i="11" s="1"/>
  <c r="H26" i="5"/>
  <c r="AP104" i="5"/>
  <c r="AR104" i="5" s="1"/>
  <c r="T173" i="5"/>
  <c r="AC104" i="5"/>
  <c r="BD139" i="5"/>
  <c r="BD56" i="5"/>
  <c r="AV49" i="5"/>
  <c r="R157" i="5"/>
  <c r="AU191" i="5"/>
  <c r="N17" i="11"/>
  <c r="P17" i="11" s="1"/>
  <c r="H86" i="5"/>
  <c r="AY74" i="5"/>
  <c r="N49" i="5"/>
  <c r="BC157" i="5"/>
  <c r="J121" i="5"/>
  <c r="L77" i="5"/>
  <c r="N43" i="11"/>
  <c r="P43" i="11" s="1"/>
  <c r="AQ130" i="5"/>
  <c r="T77" i="5"/>
  <c r="BC123" i="5"/>
  <c r="J103" i="5"/>
  <c r="AC130" i="5"/>
  <c r="AZ10" i="5"/>
  <c r="F77" i="5"/>
  <c r="AZ105" i="5"/>
  <c r="AZ99" i="5"/>
  <c r="K174" i="11"/>
  <c r="M174" i="11" s="1"/>
  <c r="AZ40" i="5"/>
  <c r="BC56" i="5"/>
  <c r="K140" i="11"/>
  <c r="M140" i="11" s="1"/>
  <c r="AU43" i="5"/>
  <c r="J50" i="5"/>
  <c r="AY127" i="5"/>
  <c r="AY94" i="5"/>
  <c r="BD47" i="5"/>
  <c r="BD32" i="5"/>
  <c r="BC81" i="5"/>
  <c r="L173" i="5"/>
  <c r="AY181" i="5"/>
  <c r="BC57" i="5"/>
  <c r="H196" i="5"/>
  <c r="BB81" i="5"/>
  <c r="BD81" i="5" s="1"/>
  <c r="F179" i="5"/>
  <c r="J29" i="5"/>
  <c r="AQ22" i="5"/>
  <c r="T21" i="5"/>
  <c r="L6" i="5"/>
  <c r="L21" i="5"/>
  <c r="J6" i="5"/>
  <c r="J57" i="5"/>
  <c r="H180" i="5"/>
  <c r="N180" i="11"/>
  <c r="P180" i="11" s="1"/>
  <c r="T34" i="5"/>
  <c r="H59" i="5"/>
  <c r="BC113" i="5"/>
  <c r="BC93" i="5"/>
  <c r="BD75" i="5"/>
  <c r="BD163" i="5"/>
  <c r="T130" i="5"/>
  <c r="BC132" i="5"/>
  <c r="AZ81" i="5"/>
  <c r="H99" i="5"/>
  <c r="J77" i="5"/>
  <c r="F182" i="5"/>
  <c r="T31" i="5"/>
  <c r="AQ25" i="5"/>
  <c r="BH198" i="5"/>
  <c r="BD94" i="5"/>
  <c r="BC163" i="5"/>
  <c r="BD63" i="5"/>
  <c r="BH112" i="5"/>
  <c r="BH138" i="5"/>
  <c r="AC76" i="5"/>
  <c r="BD18" i="5"/>
  <c r="BC53" i="5"/>
  <c r="BC28" i="5"/>
  <c r="L140" i="5"/>
  <c r="BD10" i="5"/>
  <c r="BD173" i="5"/>
  <c r="H103" i="5"/>
  <c r="BC139" i="5"/>
  <c r="BC173" i="5"/>
  <c r="BD70" i="5"/>
  <c r="BC72" i="5"/>
  <c r="BD145" i="5"/>
  <c r="BC96" i="5"/>
  <c r="BD40" i="5"/>
  <c r="BD107" i="5"/>
  <c r="BD53" i="5"/>
  <c r="BC137" i="5"/>
  <c r="BD105" i="5"/>
  <c r="BD93" i="5"/>
  <c r="BC75" i="5"/>
  <c r="BD84" i="5"/>
  <c r="BD164" i="5"/>
  <c r="BD78" i="5"/>
  <c r="BD160" i="5"/>
  <c r="AQ172" i="5"/>
  <c r="J26" i="5"/>
  <c r="R20" i="5"/>
  <c r="E141" i="11"/>
  <c r="G141" i="11" s="1"/>
  <c r="F177" i="5"/>
  <c r="AU195" i="5"/>
  <c r="AY169" i="5"/>
  <c r="F45" i="5"/>
  <c r="AP14" i="5"/>
  <c r="AR14" i="5" s="1"/>
  <c r="L45" i="5"/>
  <c r="H126" i="5"/>
  <c r="J174" i="5"/>
  <c r="L192" i="5"/>
  <c r="BC32" i="5"/>
  <c r="AV8" i="5"/>
  <c r="BH31" i="5"/>
  <c r="BG159" i="5"/>
  <c r="BH130" i="5"/>
  <c r="BG182" i="5"/>
  <c r="AY193" i="5"/>
  <c r="BH39" i="5"/>
  <c r="BG30" i="5"/>
  <c r="BH26" i="5"/>
  <c r="BH197" i="5"/>
  <c r="BG36" i="5"/>
  <c r="BG189" i="5"/>
  <c r="BH88" i="5"/>
  <c r="BH83" i="5"/>
  <c r="BG9" i="5"/>
  <c r="T62" i="5"/>
  <c r="AQ26" i="5"/>
  <c r="N63" i="11"/>
  <c r="P63" i="11" s="1"/>
  <c r="BC70" i="5"/>
  <c r="N126" i="11"/>
  <c r="P126" i="11" s="1"/>
  <c r="BD72" i="5"/>
  <c r="BD71" i="5"/>
  <c r="AU110" i="5"/>
  <c r="BC165" i="5"/>
  <c r="BD87" i="5"/>
  <c r="BH161" i="5"/>
  <c r="BG105" i="5"/>
  <c r="BH143" i="5"/>
  <c r="BG75" i="5"/>
  <c r="BG184" i="5"/>
  <c r="BG95" i="5"/>
  <c r="BG115" i="5"/>
  <c r="BG68" i="5"/>
  <c r="BH123" i="5"/>
  <c r="BH162" i="5"/>
  <c r="BH117" i="5"/>
  <c r="BH158" i="5"/>
  <c r="BG156" i="5"/>
  <c r="BH9" i="5"/>
  <c r="BH15" i="5"/>
  <c r="BG81" i="5"/>
  <c r="BH4" i="5"/>
  <c r="BH22" i="5"/>
  <c r="BG46" i="5"/>
  <c r="BG127" i="5"/>
  <c r="BG12" i="5"/>
  <c r="BG116" i="5"/>
  <c r="BH200" i="5"/>
  <c r="BG132" i="5"/>
  <c r="BG141" i="5"/>
  <c r="BH128" i="5"/>
  <c r="BG113" i="5"/>
  <c r="BG22" i="5"/>
  <c r="BH20" i="5"/>
  <c r="BG42" i="5"/>
  <c r="BH85" i="5"/>
  <c r="BG102" i="5"/>
  <c r="BG177" i="5"/>
  <c r="BH63" i="5"/>
  <c r="BG92" i="5"/>
  <c r="BD137" i="5"/>
  <c r="R137" i="5"/>
  <c r="J188" i="5"/>
  <c r="F104" i="5"/>
  <c r="AU2" i="5"/>
  <c r="AY58" i="5"/>
  <c r="BH64" i="5"/>
  <c r="BG114" i="5"/>
  <c r="BG148" i="5"/>
  <c r="BG85" i="5"/>
  <c r="BG196" i="5"/>
  <c r="BG138" i="5"/>
  <c r="BG40" i="5"/>
  <c r="BG135" i="5"/>
  <c r="BG194" i="5"/>
  <c r="BG103" i="5"/>
  <c r="BG140" i="5"/>
  <c r="BG47" i="5"/>
  <c r="BG195" i="5"/>
  <c r="BG17" i="5"/>
  <c r="BG152" i="5"/>
  <c r="BG150" i="5"/>
  <c r="BG69" i="5"/>
  <c r="BH97" i="5"/>
  <c r="BH108" i="5"/>
  <c r="BH188" i="5"/>
  <c r="BH46" i="5"/>
  <c r="BH28" i="5"/>
  <c r="BH94" i="5"/>
  <c r="BH104" i="5"/>
  <c r="BG161" i="5"/>
  <c r="BG25" i="5"/>
  <c r="BG111" i="5"/>
  <c r="BG33" i="5"/>
  <c r="BH139" i="5"/>
  <c r="BH133" i="5"/>
  <c r="BH84" i="5"/>
  <c r="BH71" i="5"/>
  <c r="BG48" i="5"/>
  <c r="BH185" i="5"/>
  <c r="BH176" i="5"/>
  <c r="BG165" i="5"/>
  <c r="BH122" i="5"/>
  <c r="BH11" i="5"/>
  <c r="BG176" i="5"/>
  <c r="BG71" i="5"/>
  <c r="BH61" i="5"/>
  <c r="BH116" i="5"/>
  <c r="BG59" i="5"/>
  <c r="BG147" i="5"/>
  <c r="BH45" i="5"/>
  <c r="BH80" i="5"/>
  <c r="BH181" i="5"/>
  <c r="BH109" i="5"/>
  <c r="BH76" i="5"/>
  <c r="BH102" i="5"/>
  <c r="BG78" i="5"/>
  <c r="BH87" i="5"/>
  <c r="D14" i="14"/>
  <c r="E14" i="14" s="1"/>
  <c r="BG192" i="5"/>
  <c r="L262" i="14"/>
  <c r="L263" i="14" s="1"/>
  <c r="BH103" i="5"/>
  <c r="BG84" i="5"/>
  <c r="BH14" i="5"/>
  <c r="BH125" i="5"/>
  <c r="BH129" i="5"/>
  <c r="BH19" i="5"/>
  <c r="BG118" i="5"/>
  <c r="BG198" i="5"/>
  <c r="BH186" i="5"/>
  <c r="BG181" i="5"/>
  <c r="BH175" i="5"/>
  <c r="BH118" i="5"/>
  <c r="BH146" i="5"/>
  <c r="BH157" i="5"/>
  <c r="BG11" i="5"/>
  <c r="BG162" i="5"/>
  <c r="BH105" i="5"/>
  <c r="BG199" i="5"/>
  <c r="BH142" i="5"/>
  <c r="BH114" i="5"/>
  <c r="BG94" i="5"/>
  <c r="BG100" i="5"/>
  <c r="BH72" i="5"/>
  <c r="BG74" i="5"/>
  <c r="BH172" i="5"/>
  <c r="BH127" i="5"/>
  <c r="BG7" i="5"/>
  <c r="BG54" i="5"/>
  <c r="BH115" i="5"/>
  <c r="BG190" i="5"/>
  <c r="BH79" i="5"/>
  <c r="BH169" i="5"/>
  <c r="BG155" i="5"/>
  <c r="BD122" i="5"/>
  <c r="BC76" i="5"/>
  <c r="BD171" i="5"/>
  <c r="BD98" i="5"/>
  <c r="AQ76" i="5"/>
  <c r="F21" i="5"/>
  <c r="J261" i="14"/>
  <c r="AV80" i="5"/>
  <c r="AV126" i="5"/>
  <c r="BD177" i="5"/>
  <c r="BH21" i="5"/>
  <c r="BH131" i="5"/>
  <c r="BH148" i="5"/>
  <c r="BG18" i="5"/>
  <c r="BH23" i="5"/>
  <c r="BG80" i="5"/>
  <c r="BH111" i="5"/>
  <c r="BH59" i="5"/>
  <c r="BH78" i="5"/>
  <c r="BH182" i="5"/>
  <c r="BH44" i="5"/>
  <c r="BH135" i="5"/>
  <c r="BG82" i="5"/>
  <c r="BH67" i="5"/>
  <c r="BG13" i="5"/>
  <c r="BG110" i="5"/>
  <c r="BH65" i="5"/>
  <c r="BG167" i="5"/>
  <c r="BH187" i="5"/>
  <c r="BG32" i="5"/>
  <c r="BG5" i="5"/>
  <c r="BH5" i="5"/>
  <c r="BG178" i="5"/>
  <c r="BH47" i="5"/>
  <c r="BG120" i="5"/>
  <c r="BG109" i="5"/>
  <c r="BH166" i="5"/>
  <c r="BH196" i="5"/>
  <c r="BG28" i="5"/>
  <c r="BH174" i="5"/>
  <c r="BG66" i="5"/>
  <c r="BH42" i="5"/>
  <c r="BG43" i="5"/>
  <c r="BH17" i="5"/>
  <c r="BG38" i="5"/>
  <c r="BG97" i="5"/>
  <c r="BD156" i="5"/>
  <c r="BG163" i="5"/>
  <c r="BH90" i="5"/>
  <c r="BG171" i="5"/>
  <c r="BH195" i="5"/>
  <c r="BG58" i="5"/>
  <c r="BH89" i="5"/>
  <c r="BG27" i="5"/>
  <c r="BH93" i="5"/>
  <c r="BG89" i="5"/>
  <c r="BG21" i="5"/>
  <c r="BH40" i="5"/>
  <c r="BG35" i="5"/>
  <c r="BH140" i="5"/>
  <c r="BH33" i="5"/>
  <c r="BG29" i="5"/>
  <c r="BH7" i="5"/>
  <c r="BH51" i="5"/>
  <c r="BG146" i="5"/>
  <c r="BG24" i="5"/>
  <c r="BG87" i="5"/>
  <c r="BH168" i="5"/>
  <c r="BG44" i="5"/>
  <c r="BG136" i="5"/>
  <c r="BG76" i="5"/>
  <c r="BH52" i="5"/>
  <c r="BG131" i="5"/>
  <c r="BG53" i="5"/>
  <c r="BG133" i="5"/>
  <c r="BH170" i="5"/>
  <c r="BH43" i="5"/>
  <c r="BH194" i="5"/>
  <c r="BG173" i="5"/>
  <c r="BC63" i="5"/>
  <c r="BH30" i="5"/>
  <c r="BH91" i="5"/>
  <c r="BH179" i="5"/>
  <c r="BG175" i="5"/>
  <c r="BH121" i="5"/>
  <c r="BH180" i="5"/>
  <c r="BG126" i="5"/>
  <c r="BG134" i="5"/>
  <c r="BH199" i="5"/>
  <c r="BG197" i="5"/>
  <c r="BH177" i="5"/>
  <c r="BG62" i="5"/>
  <c r="BH77" i="5"/>
  <c r="BH12" i="5"/>
  <c r="BG98" i="5"/>
  <c r="BG104" i="5"/>
  <c r="BG37" i="5"/>
  <c r="BH6" i="5"/>
  <c r="BH41" i="5"/>
  <c r="BG183" i="5"/>
  <c r="BH27" i="5"/>
  <c r="BH154" i="5"/>
  <c r="BH69" i="5"/>
  <c r="BG169" i="5"/>
  <c r="BG125" i="5"/>
  <c r="BH24" i="5"/>
  <c r="BH178" i="5"/>
  <c r="BG101" i="5"/>
  <c r="BG77" i="5"/>
  <c r="BG179" i="5"/>
  <c r="BG6" i="5"/>
  <c r="BG3" i="5"/>
  <c r="BH149" i="5"/>
  <c r="BG129" i="5"/>
  <c r="BH119" i="5"/>
  <c r="BG90" i="5"/>
  <c r="BD92" i="5"/>
  <c r="BD159" i="5"/>
  <c r="BD140" i="5"/>
  <c r="BC182" i="5"/>
  <c r="BG164" i="5"/>
  <c r="BH32" i="5"/>
  <c r="BG61" i="5"/>
  <c r="BG172" i="5"/>
  <c r="BG57" i="5"/>
  <c r="BH62" i="5"/>
  <c r="BG142" i="5"/>
  <c r="BH183" i="5"/>
  <c r="BH49" i="5"/>
  <c r="BH13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D82" i="5"/>
  <c r="D13" i="14"/>
  <c r="BC116" i="5"/>
  <c r="BG10" i="5"/>
  <c r="BH132" i="5"/>
  <c r="BH54" i="5"/>
  <c r="BH190" i="5"/>
  <c r="BH60" i="5"/>
  <c r="BG187" i="5"/>
  <c r="BG139" i="5"/>
  <c r="BH73" i="5"/>
  <c r="BH81" i="5"/>
  <c r="BH106" i="5"/>
  <c r="BH36" i="5"/>
  <c r="BH58" i="5"/>
  <c r="BG160" i="5"/>
  <c r="BH144" i="5"/>
  <c r="BG144" i="5"/>
  <c r="BG45" i="5"/>
  <c r="BG64" i="5"/>
  <c r="BG188" i="5"/>
  <c r="BH184" i="5"/>
  <c r="BG186" i="5"/>
  <c r="BG108" i="5"/>
  <c r="BH151" i="5"/>
  <c r="BH100" i="5"/>
  <c r="BG79" i="5"/>
  <c r="BG34" i="5"/>
  <c r="BG14" i="5"/>
  <c r="BH160" i="5"/>
  <c r="BG20" i="5"/>
  <c r="BH99" i="5"/>
  <c r="BH29" i="5"/>
  <c r="BG39" i="5"/>
  <c r="BD151" i="5"/>
  <c r="BG174" i="5"/>
  <c r="BD83" i="5"/>
  <c r="BD120" i="5"/>
  <c r="BH74" i="5"/>
  <c r="BH150" i="5"/>
  <c r="D42" i="14"/>
  <c r="F42" i="14" s="1"/>
  <c r="H42" i="14" s="1"/>
  <c r="BH171" i="5"/>
  <c r="BG65" i="5"/>
  <c r="BG157" i="5"/>
  <c r="BH152" i="5"/>
  <c r="BG168" i="5"/>
  <c r="BG91" i="5"/>
  <c r="BH37" i="5"/>
  <c r="BG107" i="5"/>
  <c r="BG112" i="5"/>
  <c r="BH163" i="5"/>
  <c r="BG72" i="5"/>
  <c r="BG15" i="5"/>
  <c r="BH38" i="5"/>
  <c r="BG16" i="5"/>
  <c r="BG122" i="5"/>
  <c r="BG88" i="5"/>
  <c r="BG49" i="5"/>
  <c r="BH126" i="5"/>
  <c r="BH70" i="5"/>
  <c r="BG180" i="5"/>
  <c r="BH92" i="5"/>
  <c r="BG119" i="5"/>
  <c r="BG153" i="5"/>
  <c r="BH155" i="5"/>
  <c r="BG73" i="5"/>
  <c r="BH68" i="5"/>
  <c r="BG123" i="5"/>
  <c r="BG4" i="5"/>
  <c r="BH167" i="5"/>
  <c r="BG185" i="5"/>
  <c r="BH192" i="5"/>
  <c r="BG200" i="5"/>
  <c r="BG170" i="5"/>
  <c r="BH124" i="5"/>
  <c r="BH55" i="5"/>
  <c r="BG137" i="5"/>
  <c r="BG106" i="5"/>
  <c r="BG145" i="5"/>
  <c r="BH145" i="5"/>
  <c r="BH57" i="5"/>
  <c r="BG143" i="5"/>
  <c r="BH98" i="5"/>
  <c r="BH35" i="5"/>
  <c r="BH159" i="5"/>
  <c r="BH165" i="5"/>
  <c r="BG41" i="5"/>
  <c r="BH193" i="5"/>
  <c r="BG51" i="5"/>
  <c r="BG52" i="5"/>
  <c r="BH101" i="5"/>
  <c r="BG19" i="5"/>
  <c r="BG117" i="5"/>
  <c r="BH120" i="5"/>
  <c r="BH113" i="5"/>
  <c r="BG86" i="5"/>
  <c r="BH137" i="5"/>
  <c r="BH191" i="5"/>
  <c r="J262" i="14"/>
  <c r="BH110" i="5"/>
  <c r="BG56" i="5"/>
  <c r="BH8" i="5"/>
  <c r="BG193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AU65" i="5"/>
  <c r="AQ93" i="5"/>
  <c r="AQ69" i="5"/>
  <c r="AV72" i="5"/>
  <c r="AP189" i="5"/>
  <c r="AR189" i="5" s="1"/>
  <c r="H67" i="5"/>
  <c r="AP51" i="5"/>
  <c r="AR51" i="5" s="1"/>
  <c r="J67" i="5"/>
  <c r="AQ51" i="5"/>
  <c r="AV60" i="5"/>
  <c r="AV132" i="5"/>
  <c r="AU28" i="5"/>
  <c r="AV195" i="5"/>
  <c r="H113" i="5"/>
  <c r="N60" i="5"/>
  <c r="AV121" i="5"/>
  <c r="R118" i="5"/>
  <c r="BD50" i="5"/>
  <c r="BD5" i="5"/>
  <c r="BC42" i="5"/>
  <c r="BC99" i="5"/>
  <c r="BD196" i="5"/>
  <c r="BC125" i="5"/>
  <c r="BC150" i="5"/>
  <c r="BD155" i="5"/>
  <c r="BD88" i="5"/>
  <c r="BC178" i="5"/>
  <c r="BC147" i="5"/>
  <c r="BD194" i="5"/>
  <c r="BC180" i="5"/>
  <c r="BD153" i="5"/>
  <c r="AQ189" i="5"/>
  <c r="BD11" i="5"/>
  <c r="BD141" i="5"/>
  <c r="BD21" i="5"/>
  <c r="BD162" i="5"/>
  <c r="BC112" i="5"/>
  <c r="BD144" i="5"/>
  <c r="BC69" i="5"/>
  <c r="BD110" i="5"/>
  <c r="BD27" i="5"/>
  <c r="BD149" i="5"/>
  <c r="BD111" i="5"/>
  <c r="BC106" i="5"/>
  <c r="BD193" i="5"/>
  <c r="BD9" i="5"/>
  <c r="BD146" i="5"/>
  <c r="BD123" i="5"/>
  <c r="BD55" i="5"/>
  <c r="BD39" i="5"/>
  <c r="BD154" i="5"/>
  <c r="BD68" i="5"/>
  <c r="BC101" i="5"/>
  <c r="BC90" i="5"/>
  <c r="BD14" i="5"/>
  <c r="BD169" i="5"/>
  <c r="BD172" i="5"/>
  <c r="BD128" i="5"/>
  <c r="BD184" i="5"/>
  <c r="BD118" i="5"/>
  <c r="F187" i="5"/>
  <c r="J181" i="5"/>
  <c r="AU91" i="5"/>
  <c r="AV124" i="5"/>
  <c r="AY123" i="5"/>
  <c r="AV28" i="5"/>
  <c r="R113" i="5"/>
  <c r="AU37" i="5"/>
  <c r="AV162" i="5"/>
  <c r="AV136" i="5"/>
  <c r="AV87" i="5"/>
  <c r="J259" i="14"/>
  <c r="AV122" i="5"/>
  <c r="AU160" i="5"/>
  <c r="L41" i="5"/>
  <c r="AU83" i="5"/>
  <c r="AU167" i="5"/>
  <c r="T20" i="5"/>
  <c r="AV83" i="5"/>
  <c r="AV100" i="5"/>
  <c r="AU18" i="5"/>
  <c r="AU95" i="5"/>
  <c r="AV73" i="5"/>
  <c r="AV65" i="5"/>
  <c r="F86" i="5"/>
  <c r="AU63" i="5"/>
  <c r="AV85" i="5"/>
  <c r="AU177" i="5"/>
  <c r="AU101" i="5"/>
  <c r="AV143" i="5"/>
  <c r="AV188" i="5"/>
  <c r="AV43" i="5"/>
  <c r="AV63" i="5"/>
  <c r="AU72" i="5"/>
  <c r="AZ144" i="5"/>
  <c r="AZ165" i="5"/>
  <c r="AY113" i="5"/>
  <c r="AY50" i="5"/>
  <c r="AZ120" i="5"/>
  <c r="AY64" i="5"/>
  <c r="AY46" i="5"/>
  <c r="AY114" i="5"/>
  <c r="AY10" i="5"/>
  <c r="AZ169" i="5"/>
  <c r="AY17" i="5"/>
  <c r="AZ90" i="5"/>
  <c r="AY146" i="5"/>
  <c r="AU148" i="5"/>
  <c r="AU78" i="5"/>
  <c r="AV33" i="5"/>
  <c r="AV170" i="5"/>
  <c r="AZ72" i="5"/>
  <c r="AZ110" i="5"/>
  <c r="AZ106" i="5"/>
  <c r="AU182" i="5"/>
  <c r="AV66" i="5"/>
  <c r="AV128" i="5"/>
  <c r="AZ127" i="5"/>
  <c r="AZ83" i="5"/>
  <c r="AU158" i="5"/>
  <c r="AY81" i="5"/>
  <c r="J260" i="14"/>
  <c r="AY99" i="5"/>
  <c r="AZ77" i="5"/>
  <c r="AY105" i="5"/>
  <c r="AZ181" i="5"/>
  <c r="AY110" i="5"/>
  <c r="AZ22" i="5"/>
  <c r="AY175" i="5"/>
  <c r="AZ67" i="5"/>
  <c r="AU112" i="5"/>
  <c r="AV105" i="5"/>
  <c r="AY119" i="5"/>
  <c r="AU4" i="5"/>
  <c r="AY28" i="5"/>
  <c r="AZ41" i="5"/>
  <c r="AZ39" i="5"/>
  <c r="AZ63" i="5"/>
  <c r="AY145" i="5"/>
  <c r="AY25" i="5"/>
  <c r="AY185" i="5"/>
  <c r="AU26" i="5"/>
  <c r="AV7" i="5"/>
  <c r="AU150" i="5"/>
  <c r="AU92" i="5"/>
  <c r="AV147" i="5"/>
  <c r="AU52" i="5"/>
  <c r="D11" i="14"/>
  <c r="AU36" i="5"/>
  <c r="AY63" i="5"/>
  <c r="AZ107" i="5"/>
  <c r="D12" i="14"/>
  <c r="E12" i="14" s="1"/>
  <c r="AZ28" i="5"/>
  <c r="K36" i="11"/>
  <c r="M36" i="11" s="1"/>
  <c r="AZ188" i="5"/>
  <c r="AZ137" i="5"/>
  <c r="AY125" i="5"/>
  <c r="AU47" i="5"/>
  <c r="AV96" i="5"/>
  <c r="AV12" i="5"/>
  <c r="AZ100" i="5"/>
  <c r="AY171" i="5"/>
  <c r="AZ113" i="5"/>
  <c r="K260" i="14"/>
  <c r="M260" i="14" s="1"/>
  <c r="O260" i="14" s="1"/>
  <c r="AZ193" i="5"/>
  <c r="AZ48" i="5"/>
  <c r="AV54" i="5"/>
  <c r="AZ199" i="5"/>
  <c r="AV138" i="5"/>
  <c r="AU115" i="5"/>
  <c r="AV133" i="5"/>
  <c r="AY161" i="5"/>
  <c r="AZ132" i="5"/>
  <c r="AZ186" i="5"/>
  <c r="AV102" i="5"/>
  <c r="AV200" i="5"/>
  <c r="AZ131" i="5"/>
  <c r="AZ26" i="5"/>
  <c r="AV53" i="5"/>
  <c r="L83" i="5"/>
  <c r="AC63" i="5"/>
  <c r="AU152" i="5"/>
  <c r="AU176" i="5"/>
  <c r="AV61" i="5"/>
  <c r="AC43" i="5"/>
  <c r="AP141" i="5"/>
  <c r="AR141" i="5" s="1"/>
  <c r="L78" i="5"/>
  <c r="AU143" i="5"/>
  <c r="T83" i="5"/>
  <c r="E52" i="11"/>
  <c r="G52" i="11" s="1"/>
  <c r="AU61" i="5"/>
  <c r="L48" i="5"/>
  <c r="L91" i="5"/>
  <c r="R45" i="5"/>
  <c r="N49" i="11"/>
  <c r="P49" i="11" s="1"/>
  <c r="F41" i="5"/>
  <c r="L108" i="5"/>
  <c r="H158" i="11"/>
  <c r="J158" i="11" s="1"/>
  <c r="L39" i="5"/>
  <c r="BC27" i="5"/>
  <c r="H91" i="5"/>
  <c r="H160" i="5"/>
  <c r="L99" i="5"/>
  <c r="BB125" i="5"/>
  <c r="BD125" i="5" s="1"/>
  <c r="AY107" i="5"/>
  <c r="R180" i="5"/>
  <c r="F181" i="5"/>
  <c r="T179" i="5"/>
  <c r="P77" i="5"/>
  <c r="AC131" i="5"/>
  <c r="F146" i="5"/>
  <c r="BC156" i="5"/>
  <c r="J63" i="5"/>
  <c r="N109" i="11"/>
  <c r="P109" i="11" s="1"/>
  <c r="R83" i="5"/>
  <c r="P110" i="5"/>
  <c r="BC143" i="5"/>
  <c r="AY132" i="5"/>
  <c r="F125" i="5"/>
  <c r="J89" i="5"/>
  <c r="P81" i="5"/>
  <c r="F6" i="5"/>
  <c r="AQ65" i="5"/>
  <c r="BB116" i="5"/>
  <c r="BD116" i="5" s="1"/>
  <c r="N50" i="11"/>
  <c r="P50" i="11" s="1"/>
  <c r="F85" i="5"/>
  <c r="L53" i="5"/>
  <c r="T183" i="5"/>
  <c r="J12" i="5"/>
  <c r="F180" i="5"/>
  <c r="BB101" i="5"/>
  <c r="BD101" i="5" s="1"/>
  <c r="AU96" i="5"/>
  <c r="N126" i="5"/>
  <c r="P90" i="5"/>
  <c r="L63" i="5"/>
  <c r="L15" i="5"/>
  <c r="H175" i="11"/>
  <c r="J175" i="11" s="1"/>
  <c r="L96" i="5"/>
  <c r="BC154" i="5"/>
  <c r="AT182" i="5"/>
  <c r="AV182" i="5" s="1"/>
  <c r="T78" i="5"/>
  <c r="AQ194" i="5"/>
  <c r="AQ170" i="5"/>
  <c r="AP170" i="5"/>
  <c r="AR170" i="5" s="1"/>
  <c r="K54" i="11"/>
  <c r="M54" i="11" s="1"/>
  <c r="N25" i="5"/>
  <c r="BB69" i="5"/>
  <c r="BD69" i="5" s="1"/>
  <c r="AY39" i="5"/>
  <c r="R196" i="5"/>
  <c r="K31" i="11"/>
  <c r="M31" i="11" s="1"/>
  <c r="F54" i="5"/>
  <c r="AC48" i="5"/>
  <c r="AT25" i="5"/>
  <c r="AV25" i="5" s="1"/>
  <c r="BC122" i="5"/>
  <c r="K120" i="11"/>
  <c r="M120" i="11" s="1"/>
  <c r="P39" i="5"/>
  <c r="BC98" i="5"/>
  <c r="H78" i="5"/>
  <c r="J197" i="5"/>
  <c r="AU124" i="5"/>
  <c r="BC21" i="5"/>
  <c r="AX17" i="5"/>
  <c r="AZ17" i="5" s="1"/>
  <c r="L141" i="5"/>
  <c r="F9" i="5"/>
  <c r="N87" i="11"/>
  <c r="P87" i="11" s="1"/>
  <c r="T145" i="5"/>
  <c r="BC171" i="5"/>
  <c r="T200" i="5"/>
  <c r="AT115" i="5"/>
  <c r="AV115" i="5" s="1"/>
  <c r="N115" i="5"/>
  <c r="P124" i="5"/>
  <c r="H182" i="5"/>
  <c r="J120" i="5"/>
  <c r="AY77" i="5"/>
  <c r="AC37" i="5"/>
  <c r="L196" i="5"/>
  <c r="J94" i="5"/>
  <c r="L183" i="5"/>
  <c r="T109" i="5"/>
  <c r="N99" i="11"/>
  <c r="P99" i="11" s="1"/>
  <c r="F164" i="5"/>
  <c r="AP22" i="5"/>
  <c r="AR22" i="5" s="1"/>
  <c r="N165" i="11"/>
  <c r="P165" i="11" s="1"/>
  <c r="BC87" i="5"/>
  <c r="BC50" i="5"/>
  <c r="BC111" i="5"/>
  <c r="H16" i="5"/>
  <c r="AT95" i="5"/>
  <c r="AV95" i="5" s="1"/>
  <c r="AP159" i="5"/>
  <c r="AR159" i="5" s="1"/>
  <c r="L181" i="5"/>
  <c r="AQ159" i="5"/>
  <c r="J126" i="5"/>
  <c r="N64" i="11"/>
  <c r="P64" i="11" s="1"/>
  <c r="R5" i="5"/>
  <c r="BC5" i="5"/>
  <c r="AY90" i="5"/>
  <c r="BB42" i="5"/>
  <c r="BD42" i="5" s="1"/>
  <c r="AP131" i="5"/>
  <c r="AR131" i="5" s="1"/>
  <c r="J99" i="5"/>
  <c r="T42" i="5"/>
  <c r="R10" i="5"/>
  <c r="H88" i="5"/>
  <c r="AU122" i="5"/>
  <c r="BC153" i="5"/>
  <c r="R153" i="5"/>
  <c r="P65" i="5"/>
  <c r="E61" i="11"/>
  <c r="G61" i="11" s="1"/>
  <c r="F11" i="5"/>
  <c r="T53" i="5"/>
  <c r="P67" i="5"/>
  <c r="N42" i="11"/>
  <c r="P42" i="11" s="1"/>
  <c r="J49" i="5"/>
  <c r="H49" i="5"/>
  <c r="F78" i="5"/>
  <c r="AQ106" i="5"/>
  <c r="R124" i="5"/>
  <c r="AX175" i="5"/>
  <c r="AZ175" i="5" s="1"/>
  <c r="J165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B154" i="15" s="1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B153" i="15" s="1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B134" i="15" s="1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B152" i="15" s="1"/>
  <c r="W51" i="14"/>
  <c r="B13" i="15" s="1"/>
  <c r="W52" i="14"/>
  <c r="H13" i="15" s="1"/>
  <c r="C157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B65" i="15" l="1"/>
  <c r="B157" i="15"/>
  <c r="C20" i="15"/>
  <c r="C133" i="15" s="1"/>
  <c r="D133" i="15"/>
  <c r="C19" i="15"/>
  <c r="C132" i="15" s="1"/>
  <c r="D132" i="15"/>
  <c r="C18" i="15"/>
  <c r="C131" i="15" s="1"/>
  <c r="D131" i="15"/>
  <c r="C17" i="15"/>
  <c r="C130" i="15" s="1"/>
  <c r="D130" i="15"/>
  <c r="C16" i="15"/>
  <c r="C129" i="15" s="1"/>
  <c r="D129" i="15"/>
  <c r="M262" i="14"/>
  <c r="O262" i="14" s="1"/>
  <c r="F14" i="14"/>
  <c r="E13" i="14"/>
  <c r="F13" i="14"/>
  <c r="F12" i="14"/>
  <c r="D15" i="14"/>
  <c r="F41" i="14" s="1"/>
  <c r="E11" i="14"/>
  <c r="F11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C35" i="15" l="1"/>
  <c r="B145" i="15"/>
  <c r="E15" i="14"/>
  <c r="F15" i="14" s="1"/>
  <c r="B36" i="15"/>
  <c r="B16" i="13"/>
  <c r="B23" i="13" s="1"/>
  <c r="B19" i="13"/>
  <c r="K263" i="14"/>
  <c r="M258" i="14"/>
  <c r="C36" i="15" l="1"/>
  <c r="B146" i="15"/>
  <c r="B16" i="14"/>
  <c r="B21" i="14" s="1"/>
  <c r="B23" i="14" s="1"/>
  <c r="F16" i="14"/>
  <c r="H14" i="15" s="1"/>
  <c r="E4" i="15" s="1"/>
  <c r="B61" i="15"/>
  <c r="B38" i="15"/>
  <c r="B148" i="15" s="1"/>
  <c r="A39" i="15"/>
  <c r="E35" i="15" s="1"/>
  <c r="M263" i="14"/>
  <c r="A265" i="14" s="1"/>
  <c r="O258" i="14"/>
  <c r="D22" i="15" l="1"/>
  <c r="H41" i="14"/>
  <c r="J41" i="14"/>
  <c r="H33" i="15"/>
  <c r="C98" i="15"/>
  <c r="B26" i="14"/>
  <c r="E26" i="14"/>
  <c r="J4" i="14" s="1"/>
  <c r="B62" i="15"/>
  <c r="C38" i="15"/>
  <c r="G5" i="15"/>
  <c r="E95" i="15" l="1"/>
  <c r="D134" i="15"/>
  <c r="A95" i="15"/>
  <c r="B124" i="15"/>
  <c r="B60" i="15"/>
  <c r="C22" i="15"/>
  <c r="C134" i="15" s="1"/>
  <c r="E6" i="15"/>
  <c r="D5" i="15"/>
  <c r="H4" i="15"/>
  <c r="G98" i="15"/>
  <c r="B28" i="14"/>
  <c r="C5" i="15"/>
  <c r="B86" i="15"/>
  <c r="B87" i="15" s="1"/>
  <c r="B63" i="15"/>
  <c r="B207" i="1"/>
  <c r="H8" i="15"/>
  <c r="J5" i="15" s="1"/>
  <c r="C125" i="15" l="1"/>
  <c r="I125" i="15"/>
  <c r="C87" i="15"/>
  <c r="B125" i="15"/>
  <c r="G2" i="15"/>
  <c r="A113" i="15"/>
  <c r="C4" i="15"/>
  <c r="B3" i="15"/>
  <c r="A92" i="15" s="1"/>
  <c r="B7" i="15" l="1"/>
  <c r="A114" i="15" s="1"/>
  <c r="A7" i="15"/>
  <c r="G1" i="15"/>
  <c r="B66" i="15"/>
</calcChain>
</file>

<file path=xl/sharedStrings.xml><?xml version="1.0" encoding="utf-8"?>
<sst xmlns="http://schemas.openxmlformats.org/spreadsheetml/2006/main" count="40721" uniqueCount="576">
  <si>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</si>
  <si>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</si>
  <si>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</si>
  <si>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</si>
  <si>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</si>
  <si>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</si>
  <si>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</si>
  <si>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</si>
  <si>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</si>
  <si>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</si>
  <si>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</si>
  <si>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</si>
  <si>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</si>
  <si>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</si>
  <si>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</si>
  <si>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</si>
  <si>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</si>
  <si>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</si>
  <si>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</si>
  <si>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</si>
  <si>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</si>
  <si>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</si>
  <si>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</si>
  <si>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</si>
  <si>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</si>
  <si>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</si>
  <si>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</si>
  <si>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</si>
  <si>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</si>
  <si>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</si>
  <si>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</si>
  <si>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</si>
  <si>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</si>
  <si>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</si>
  <si>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</si>
  <si>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</si>
  <si>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</si>
  <si>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</si>
  <si>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</si>
  <si>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</si>
  <si>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</si>
  <si>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</si>
  <si>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</si>
  <si>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</si>
  <si>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</si>
  <si>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</si>
  <si>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</si>
  <si>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</si>
  <si>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</si>
  <si>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</si>
  <si>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</si>
  <si>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</si>
  <si>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</si>
  <si>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</si>
  <si>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</si>
  <si>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</si>
  <si>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</si>
  <si>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</si>
  <si>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</si>
  <si>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</si>
  <si>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</si>
  <si>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</si>
  <si>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</si>
  <si>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</si>
  <si>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</si>
  <si>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</si>
  <si>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</si>
  <si>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</si>
  <si>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</si>
  <si>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</si>
  <si>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</si>
  <si>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</si>
  <si>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</si>
  <si>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</si>
  <si>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</si>
  <si>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</si>
  <si>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</si>
  <si>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</si>
  <si>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</si>
  <si>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</si>
  <si>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</si>
  <si>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</si>
  <si>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</si>
  <si>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</si>
  <si>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</si>
  <si>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</si>
  <si>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</si>
  <si>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</si>
  <si>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</si>
  <si>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</si>
  <si>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</si>
  <si>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</si>
  <si>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</si>
  <si>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</si>
  <si>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</si>
  <si>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</si>
  <si>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</si>
  <si>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</si>
  <si>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</si>
  <si>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</si>
  <si>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</si>
  <si>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</si>
  <si>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</si>
  <si>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</si>
  <si>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</si>
  <si>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</si>
  <si>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</si>
  <si>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</si>
  <si>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</si>
  <si>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</si>
  <si>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</si>
  <si>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</si>
  <si>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</si>
  <si>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</si>
  <si>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</si>
  <si>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</si>
  <si>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</si>
  <si>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</si>
  <si>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</si>
  <si>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</si>
  <si>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</si>
  <si>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</si>
  <si>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</si>
  <si>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</si>
  <si>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</si>
  <si>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</si>
  <si>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</si>
  <si>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</si>
  <si>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</si>
  <si>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</si>
  <si>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</si>
  <si>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</si>
  <si>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</si>
  <si>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</si>
  <si>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</si>
  <si>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</si>
  <si>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</si>
  <si>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</si>
  <si>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</si>
  <si>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</si>
  <si>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</si>
  <si>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</si>
  <si>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</si>
  <si>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</si>
  <si>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</si>
  <si>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</si>
  <si>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</si>
  <si>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</si>
  <si>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</si>
  <si>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</si>
  <si>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</si>
  <si>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</si>
  <si>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</si>
  <si>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</si>
  <si>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</si>
  <si>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</si>
  <si>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</si>
  <si>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</si>
  <si>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</si>
  <si>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</si>
  <si>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</si>
  <si>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</si>
  <si>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</si>
  <si>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</si>
  <si>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</si>
  <si>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</si>
  <si>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</si>
  <si>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</si>
  <si>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</si>
  <si>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</si>
  <si>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</si>
  <si>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</si>
  <si>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</si>
  <si>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</si>
  <si>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</si>
  <si>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</si>
  <si>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</si>
  <si>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</si>
  <si>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</si>
  <si>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</si>
  <si>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</si>
  <si>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</si>
  <si>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</si>
  <si>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</si>
  <si>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</si>
  <si>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</si>
  <si>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</si>
  <si>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</si>
  <si>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</si>
  <si>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</si>
  <si>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</si>
  <si>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</si>
  <si>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</si>
  <si>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</si>
  <si>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</si>
  <si>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</si>
  <si>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</si>
  <si>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</si>
  <si>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</si>
  <si>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</si>
  <si>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</si>
  <si>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</si>
  <si>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</si>
  <si>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</si>
  <si>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</si>
  <si>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</si>
  <si>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</si>
  <si>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</si>
  <si>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</si>
  <si>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</si>
  <si>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</si>
  <si>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</si>
  <si>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</si>
  <si>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</si>
  <si>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</si>
  <si>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</si>
  <si>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</si>
  <si>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</si>
  <si>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</si>
  <si>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</si>
  <si>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</si>
  <si>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</si>
  <si>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</si>
  <si>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</si>
  <si>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</si>
  <si>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</si>
  <si>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</si>
  <si>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</si>
  <si>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</si>
  <si>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</si>
  <si>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</si>
  <si>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</si>
  <si>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</si>
  <si>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</si>
  <si>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</si>
  <si>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</si>
  <si>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</si>
  <si>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</si>
  <si>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</si>
  <si>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</si>
  <si>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</si>
  <si>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</si>
  <si>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</si>
  <si>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</si>
  <si>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</si>
  <si>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</si>
  <si>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</si>
  <si>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</si>
  <si>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</si>
  <si>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</si>
  <si>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</si>
  <si>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</si>
  <si>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</si>
  <si>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</si>
  <si>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</si>
  <si>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</si>
  <si>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</si>
  <si>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</si>
  <si>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</si>
  <si>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</si>
  <si>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</si>
  <si>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</si>
  <si>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</si>
  <si>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</si>
  <si>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</si>
  <si>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</si>
  <si>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</si>
  <si>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</si>
  <si>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</si>
  <si>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</si>
  <si>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</si>
  <si>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</si>
  <si>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</si>
  <si>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</si>
  <si>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</si>
  <si>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</si>
  <si>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</si>
  <si>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</si>
  <si>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</si>
  <si>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</si>
  <si>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</si>
  <si>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</si>
  <si>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</si>
  <si>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</si>
  <si>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</si>
  <si>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</si>
  <si>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</si>
  <si>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</si>
  <si>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</si>
  <si>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</si>
  <si>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</si>
  <si>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</si>
  <si>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</si>
  <si>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</si>
  <si>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</si>
  <si>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</si>
  <si>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</si>
  <si>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</si>
  <si>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</si>
  <si>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</si>
  <si>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</si>
  <si>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</si>
  <si>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</si>
  <si>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</si>
  <si>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</si>
  <si>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</si>
  <si>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</si>
  <si>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</si>
  <si>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</si>
  <si>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</si>
  <si>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</si>
  <si>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</si>
  <si>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</si>
  <si>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</si>
  <si>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</si>
  <si>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</si>
  <si>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</si>
  <si>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</si>
  <si>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</si>
  <si>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</si>
  <si>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</si>
  <si>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</si>
  <si>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</si>
  <si>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</si>
  <si>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</si>
  <si>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</si>
  <si>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</si>
  <si>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</si>
  <si>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</si>
  <si>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</si>
  <si>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</si>
  <si>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</si>
  <si>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</si>
  <si>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</si>
  <si>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</si>
  <si>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</si>
  <si>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</si>
  <si>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</si>
  <si>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</si>
  <si>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</si>
  <si>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</si>
  <si>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</si>
  <si>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</si>
  <si>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</si>
  <si>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</si>
  <si>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</si>
  <si>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</si>
  <si>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</si>
  <si>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</si>
  <si>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</si>
  <si>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</si>
  <si>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</si>
  <si>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</si>
  <si>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</si>
  <si>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</si>
  <si>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</si>
  <si>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</si>
  <si>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</si>
  <si>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</si>
  <si>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</si>
  <si>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</si>
  <si>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</si>
  <si>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</si>
  <si>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</si>
  <si>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</si>
  <si>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</si>
  <si>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</si>
  <si>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</si>
  <si>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</si>
  <si>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</si>
  <si>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</si>
  <si>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</si>
  <si>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</si>
  <si>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</si>
  <si>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</si>
  <si>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</si>
  <si>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</si>
  <si>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</si>
  <si>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</si>
  <si>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</si>
  <si>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</si>
  <si>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</si>
  <si>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</si>
  <si>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</si>
  <si>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</si>
  <si>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</si>
  <si>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</si>
  <si>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</si>
  <si>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</si>
  <si>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</si>
  <si>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</si>
  <si>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</si>
  <si>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</si>
  <si>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</si>
  <si>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</si>
  <si>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</si>
  <si>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</si>
  <si>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</si>
  <si>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</si>
  <si>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</si>
  <si>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</si>
  <si>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</si>
  <si>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</si>
  <si>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</si>
  <si>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</si>
  <si>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</si>
  <si>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</si>
  <si>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</si>
  <si>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</si>
  <si>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</si>
  <si>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</si>
  <si>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</si>
  <si>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</si>
  <si>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</si>
  <si>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</si>
  <si>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</si>
  <si>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</si>
  <si>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</si>
  <si>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</si>
  <si>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</si>
  <si>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</si>
  <si>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</si>
  <si>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</si>
  <si>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</si>
  <si>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</si>
  <si>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</si>
  <si>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</si>
  <si>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</si>
  <si>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</si>
  <si>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</si>
  <si>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</si>
  <si>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</si>
  <si>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</si>
  <si>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</si>
  <si>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</si>
  <si>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</si>
  <si>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</si>
  <si>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</si>
  <si>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</si>
  <si>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</si>
  <si>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</si>
  <si>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</si>
  <si>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</si>
  <si>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</si>
  <si>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</si>
  <si>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</si>
  <si>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</si>
  <si>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</si>
  <si>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</si>
  <si>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</si>
  <si>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</si>
  <si>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</si>
  <si>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</si>
  <si>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</si>
  <si>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</si>
  <si>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</si>
  <si>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</si>
  <si>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</si>
  <si>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</si>
  <si>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</si>
  <si>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</si>
  <si>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</si>
  <si>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</si>
  <si>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</si>
  <si>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</si>
  <si>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</si>
  <si>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</si>
  <si>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</si>
  <si>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</si>
  <si>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</si>
  <si>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</si>
  <si>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</si>
  <si>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</si>
  <si>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</si>
  <si>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</si>
  <si>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</si>
  <si>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</si>
  <si>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</si>
  <si>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</si>
  <si>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</si>
  <si>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</si>
  <si>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</si>
  <si>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</si>
  <si>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</si>
  <si>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</si>
  <si>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</si>
  <si>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</si>
  <si>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</si>
  <si>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</si>
  <si>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</si>
  <si>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</si>
  <si>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</si>
  <si>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</si>
  <si>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</si>
  <si>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</si>
  <si>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</si>
  <si>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</si>
  <si>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</si>
  <si>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</si>
  <si>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</si>
  <si>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</si>
  <si>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</si>
  <si>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</si>
  <si>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</si>
  <si>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</si>
  <si>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</si>
  <si>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</si>
  <si>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</si>
  <si>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</si>
  <si>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</si>
  <si>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</si>
  <si>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</si>
  <si>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</si>
  <si>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</si>
  <si>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</si>
  <si>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</si>
  <si>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</si>
  <si>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</si>
  <si>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</si>
  <si>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</si>
  <si>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</si>
  <si>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</si>
  <si>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</si>
  <si>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</si>
  <si>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</si>
  <si>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</si>
  <si>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</si>
  <si>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</si>
  <si>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</si>
  <si>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</si>
  <si>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</si>
  <si>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</si>
  <si>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</si>
  <si>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</si>
  <si>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RESULTADO DA APURAÇÃO CONTRATUAL</t>
  </si>
  <si>
    <t>MÉTODO</t>
  </si>
  <si>
    <t>CICLOS</t>
  </si>
  <si>
    <t>DATA DE CORTE</t>
  </si>
  <si>
    <t>ÍNDICE</t>
  </si>
  <si>
    <t>SALDO DO CICLO</t>
  </si>
  <si>
    <t>SITUAÇÃO</t>
  </si>
  <si>
    <t>IMPORTANTE — Esta ferramenta auxilia a apuração e a conferência dos cálculos, mas não substitui a revisão do responsável pela análise. Antes de qualquer aprovação ou formalização, confirme os dados de entrada, os critérios aplicados e os resultados apresentados.</t>
  </si>
  <si>
    <t>CICLOS APURADOS</t>
  </si>
  <si>
    <t>Período</t>
  </si>
  <si>
    <t>Variação apurada</t>
  </si>
  <si>
    <t>Percentual aplicado</t>
  </si>
  <si>
    <t>Efeito financeiro</t>
  </si>
  <si>
    <t>Observação</t>
  </si>
  <si>
    <t>VALOR TOTAL ATUALIZADO DO CONTRATO — METODOLOGIA E FORMAÇÃO</t>
  </si>
  <si>
    <t>(=) VTA OFICIAL</t>
  </si>
  <si>
    <t>Conferência da formação</t>
  </si>
  <si>
    <t>RETROATIVO POR CICLO</t>
  </si>
  <si>
    <t>Pago / considerado</t>
  </si>
  <si>
    <t>Reajustado</t>
  </si>
  <si>
    <t>Diferença</t>
  </si>
  <si>
    <t>REMANESCENTE POR CICLO</t>
  </si>
  <si>
    <t>Remanescente base</t>
  </si>
  <si>
    <t>Fator</t>
  </si>
  <si>
    <t>SITUAÇÃO ATUAL DO CONTRATO</t>
  </si>
  <si>
    <t>Data da referência</t>
  </si>
  <si>
    <t>Execução atualizada</t>
  </si>
  <si>
    <t>Saldo do ciclo</t>
  </si>
  <si>
    <t>REFERÊNCIAS PARA CONFERÊNCIA — NÃO SÃO O VTA OFICIAL</t>
  </si>
  <si>
    <t>Referência</t>
  </si>
  <si>
    <t>FINALIDADE</t>
  </si>
  <si>
    <t>Situação atual do contrato</t>
  </si>
  <si>
    <t>REFERÊNCIA ATUAL</t>
  </si>
  <si>
    <t>Última referência de abertura</t>
  </si>
  <si>
    <t>REFERÊNCIA DE ABERTURA</t>
  </si>
  <si>
    <t>Contrato original integralmente reajustado</t>
  </si>
  <si>
    <t>COMPARATIVO TEÓRICO</t>
  </si>
  <si>
    <t>CONFERÊNCIA ENTRE REFERÊNCIAS DO CONTRATO</t>
  </si>
  <si>
    <t>DIFERENÇA</t>
  </si>
  <si>
    <t>CONFERÊNCIA DA EXECUÇÃO</t>
  </si>
  <si>
    <t>Execução estimada pelo quantitativo</t>
  </si>
  <si>
    <t>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</si>
</sst>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0.00%;\-0.00%;0.00%;&quot;—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b/>
      <sz val="20"/>
      <color rgb="FF1F3864"/>
      <name val="Calibri"/>
      <family val="2"/>
    </font>
    <font>
      <b/>
      <sz val="12"/>
      <color rgb="FF595959"/>
      <name val="Calibri"/>
      <family val="2"/>
    </font>
    <font>
      <b/>
      <sz val="10"/>
      <color rgb="FF9A6700"/>
      <name val="Calibri"/>
      <family val="2"/>
    </font>
    <font>
      <b/>
      <sz val="13"/>
      <color rgb="FF9A6700"/>
      <name val="Calibri"/>
      <family val="2"/>
    </font>
    <font>
      <sz val="9"/>
      <color rgb="FF9A6700"/>
      <name val="Calibri"/>
      <family val="2"/>
    </font>
    <font>
      <i/>
      <sz val="9"/>
      <color rgb="FF595959"/>
      <name val="Calibri"/>
      <family val="2"/>
    </font>
    <font>
      <b/>
      <sz val="12"/>
      <color rgb="FF1F3864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7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40" fillId="0" borderId="0" xfId="0" applyFont="1" applyBorder="1"/>
    <xf numFmtId="0" fontId="56" fillId="66" borderId="0" xfId="0" applyNumberFormat="1" applyFont="1" applyFill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44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171" fontId="45" fillId="0" borderId="0" xfId="0" applyNumberFormat="1" applyFont="1" applyBorder="1" applyAlignment="1">
      <alignment horizontal="left" vertical="center"/>
    </xf>
    <xf numFmtId="169" fontId="45" fillId="0" borderId="0" xfId="0" applyNumberFormat="1" applyFont="1" applyBorder="1" applyAlignment="1">
      <alignment horizontal="left" vertical="center"/>
    </xf>
    <xf numFmtId="0" fontId="8" fillId="67" borderId="0" xfId="0" applyNumberFormat="1" applyFont="1" applyFill="1" applyBorder="1" applyAlignment="1">
      <alignment horizontal="left" vertical="center"/>
    </xf>
    <xf numFmtId="178" fontId="73" fillId="0" borderId="0" xfId="0" applyNumberFormat="1" applyFont="1" applyBorder="1" applyAlignment="1">
      <alignment horizontal="left" vertical="center"/>
    </xf>
    <xf numFmtId="0" fontId="23" fillId="0" borderId="0" xfId="0" applyNumberFormat="1" applyFont="1" applyBorder="1" applyAlignment="1">
      <alignment horizontal="left" vertical="center"/>
    </xf>
    <xf numFmtId="178" fontId="74" fillId="0" borderId="0" xfId="0" applyNumberFormat="1" applyFont="1" applyBorder="1" applyAlignment="1">
      <alignment horizontal="left" vertical="center"/>
    </xf>
    <xf numFmtId="183" fontId="74" fillId="0" borderId="0" xfId="0" applyNumberFormat="1" applyFont="1" applyBorder="1" applyAlignment="1">
      <alignment horizontal="left" vertical="center"/>
    </xf>
    <xf numFmtId="0" fontId="74" fillId="0" borderId="0" xfId="0" applyNumberFormat="1" applyFont="1" applyBorder="1" applyAlignment="1">
      <alignment horizontal="left" vertical="center"/>
    </xf>
    <xf numFmtId="0" fontId="75" fillId="0" borderId="0" xfId="0" applyNumberFormat="1" applyFont="1" applyBorder="1" applyAlignment="1">
      <alignment horizontal="left" vertical="center"/>
    </xf>
    <xf numFmtId="178" fontId="76" fillId="0" borderId="0" xfId="0" applyNumberFormat="1" applyFont="1" applyBorder="1" applyAlignment="1">
      <alignment horizontal="left" vertical="center"/>
    </xf>
    <xf numFmtId="0" fontId="77" fillId="0" borderId="0" xfId="0" applyNumberFormat="1" applyFont="1" applyBorder="1" applyAlignment="1">
      <alignment horizontal="left" vertical="center"/>
    </xf>
    <xf numFmtId="0" fontId="40" fillId="0" borderId="0" xfId="0" applyNumberFormat="1" applyFont="1" applyBorder="1" applyAlignment="1">
      <alignment horizontal="left" vertical="center"/>
    </xf>
    <xf numFmtId="0" fontId="78" fillId="46" borderId="0" xfId="0" applyNumberFormat="1" applyFont="1" applyFill="1" applyBorder="1" applyAlignment="1">
      <alignment horizontal="left" vertical="center" wrapText="1"/>
    </xf>
    <xf numFmtId="0" fontId="40" fillId="0" borderId="0" xfId="0" applyFont="1" applyBorder="1" applyAlignment="1">
      <alignment horizontal="left" vertical="center" wrapText="1"/>
    </xf>
    <xf numFmtId="0" fontId="79" fillId="67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Border="1" applyAlignment="1">
      <alignment horizontal="left" vertical="center"/>
    </xf>
    <xf numFmtId="183" fontId="22" fillId="0" borderId="0" xfId="0" applyNumberFormat="1" applyFont="1" applyBorder="1" applyAlignment="1">
      <alignment horizontal="left" vertical="center"/>
    </xf>
    <xf numFmtId="165" fontId="22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 wrapText="1"/>
    </xf>
    <xf numFmtId="178" fontId="22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178" fontId="24" fillId="0" borderId="0" xfId="0" applyNumberFormat="1" applyFont="1" applyBorder="1" applyAlignment="1">
      <alignment horizontal="left" vertical="center"/>
    </xf>
    <xf numFmtId="169" fontId="22" fillId="0" borderId="0" xfId="0" applyNumberFormat="1" applyFont="1" applyBorder="1" applyAlignment="1">
      <alignment horizontal="left" vertical="center"/>
    </xf>
    <xf numFmtId="171" fontId="24" fillId="0" borderId="0" xfId="0" applyNumberFormat="1" applyFont="1" applyBorder="1" applyAlignment="1">
      <alignment horizontal="left" vertical="center"/>
    </xf>
    <xf numFmtId="0" fontId="78" fillId="0" borderId="0" xfId="0" applyNumberFormat="1" applyFont="1" applyBorder="1" applyAlignment="1">
      <alignment horizontal="left" vertical="center"/>
    </xf>
    <xf numFmtId="171" fontId="3" fillId="2" borderId="1" xfId="0" applyNumberFormat="1" applyFont="1" applyFill="1" applyBorder="1" applyProtection="1">
      <protection locked="0"/>
    </xf>
    <xf numFmtId="178" fontId="68" fillId="53" borderId="40" xfId="0" applyNumberFormat="1" applyFont="1" applyFill="1" applyBorder="1"/>
  </cellXfs>
  <cellStyles count="1">
    <cellStyle name="Normal" xfId="0" builtinId="0"/>
  </cellStyles>
  <dxfs count="69"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475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46265.634309374997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7" t="s">
        <v>49</v>
      </c>
      <c r="B9" s="368"/>
      <c r="C9" s="368"/>
      <c r="D9" s="368"/>
      <c r="E9" s="368"/>
      <c r="F9" s="369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8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67" priority="1" stopIfTrue="1">
      <formula>AND($C2&lt;&gt;"",$G2="")</formula>
    </cfRule>
    <cfRule type="expression" dxfId="6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5" priority="2">
      <formula>$U2="TOTAL"</formula>
    </cfRule>
  </conditionalFormatting>
  <conditionalFormatting sqref="E2:E201">
    <cfRule type="expression" dxfId="64" priority="3" stopIfTrue="1">
      <formula>AND($A2&lt;&gt;"",ISNUMBER($BI2),$BI2&gt;1)</formula>
    </cfRule>
    <cfRule type="expression" dxfId="63" priority="3">
      <formula>AND($A2&lt;&gt;"",ISNUMBER(E2),E2&gt;0)</formula>
    </cfRule>
    <cfRule type="expression" dxfId="62" priority="4">
      <formula>AND($A2&lt;&gt;"",E2=0)</formula>
    </cfRule>
    <cfRule type="expression" dxfId="61" priority="5">
      <formula>AND($A2&lt;&gt;"",E2="",OR(NOT(ISNUMBER($BI2)),$BI2&lt;=1))</formula>
    </cfRule>
  </conditionalFormatting>
  <conditionalFormatting sqref="G2:G201">
    <cfRule type="expression" dxfId="60" priority="6" stopIfTrue="1">
      <formula>AND($A2&lt;&gt;"",ISNUMBER($BI2),$BI2&gt;2)</formula>
    </cfRule>
    <cfRule type="expression" dxfId="59" priority="7">
      <formula>AND($A2&lt;&gt;"",ISNUMBER(G2),G2&gt;0)</formula>
    </cfRule>
    <cfRule type="expression" dxfId="58" priority="8">
      <formula>AND($A2&lt;&gt;"",G2=0)</formula>
    </cfRule>
    <cfRule type="expression" dxfId="57" priority="9">
      <formula>AND($A2&lt;&gt;"",G2="",OR(NOT(ISNUMBER($BI2)),$BI2&lt;=2))</formula>
    </cfRule>
  </conditionalFormatting>
  <conditionalFormatting sqref="I2:I201">
    <cfRule type="expression" dxfId="56" priority="10" stopIfTrue="1">
      <formula>AND($A2&lt;&gt;"",ISNUMBER($BI2),$BI2&gt;3)</formula>
    </cfRule>
    <cfRule type="expression" dxfId="55" priority="11">
      <formula>AND($A2&lt;&gt;"",ISNUMBER(I2),I2&gt;0)</formula>
    </cfRule>
    <cfRule type="expression" dxfId="54" priority="12">
      <formula>AND($A2&lt;&gt;"",I2=0)</formula>
    </cfRule>
    <cfRule type="expression" dxfId="53" priority="13">
      <formula>AND($A2&lt;&gt;"",I2="",OR(NOT(ISNUMBER($BI2)),$BI2&lt;=3))</formula>
    </cfRule>
  </conditionalFormatting>
  <conditionalFormatting sqref="K2:K201">
    <cfRule type="expression" dxfId="52" priority="14" stopIfTrue="1">
      <formula>AND($A2&lt;&gt;"",ISNUMBER($BI2),$BI2&gt;4)</formula>
    </cfRule>
    <cfRule type="expression" dxfId="51" priority="15">
      <formula>AND($A2&lt;&gt;"",ISNUMBER(K2),K2&gt;0)</formula>
    </cfRule>
    <cfRule type="expression" dxfId="50" priority="16">
      <formula>AND($A2&lt;&gt;"",K2=0)</formula>
    </cfRule>
    <cfRule type="expression" dxfId="4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509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8" priority="1" stopIfTrue="1">
      <formula>AND(OR($A2&lt;&gt;"",$B2&lt;&gt;"",$D2&lt;&gt;"",$G2&lt;&gt;""),$L2="")</formula>
    </cfRule>
    <cfRule type="expression" dxfId="47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6" priority="7">
      <formula>OR(LEFT(UPPER($D2),6)="SUPRES",LEFT(UPPER($D2),4)="DECR")</formula>
    </cfRule>
    <cfRule type="expression" dxfId="45" priority="7">
      <formula>OR(LEFT(UPPER($D2),6)="SUPRES",LEFT(UPPER($D2),4)="DECR")</formula>
    </cfRule>
  </conditionalFormatting>
  <conditionalFormatting sqref="C2:C200">
    <cfRule type="expression" dxfId="44" priority="15">
      <formula>UPPER($C2)="C0"</formula>
    </cfRule>
    <cfRule type="expression" dxfId="43" priority="15">
      <formula>UPPER($C2)="C1"</formula>
    </cfRule>
    <cfRule type="expression" dxfId="42" priority="15">
      <formula>UPPER($C2)="C2"</formula>
    </cfRule>
    <cfRule type="expression" dxfId="41" priority="15">
      <formula>UPPER($C2)="C3"</formula>
    </cfRule>
    <cfRule type="expression" dxfId="40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0" t="s">
        <v>162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163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164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165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166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167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168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169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170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171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172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9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2" t="s">
        <v>203</v>
      </c>
      <c r="B1" s="372" t="s">
        <v>204</v>
      </c>
      <c r="C1" s="373"/>
      <c r="D1" s="373"/>
      <c r="E1" s="373"/>
      <c r="F1" s="373"/>
      <c r="G1" s="373"/>
      <c r="H1" s="373"/>
      <c r="I1" s="373"/>
      <c r="J1" s="373"/>
      <c r="K1" s="373"/>
      <c r="L1" s="373"/>
      <c r="M1" s="373"/>
      <c r="N1" s="373"/>
      <c r="O1" s="373"/>
      <c r="P1" s="374"/>
      <c r="Q1" s="370" t="s">
        <v>205</v>
      </c>
      <c r="R1" s="371"/>
      <c r="S1" s="371"/>
      <c r="T1" s="371"/>
      <c r="U1" s="371"/>
      <c r="V1" s="371"/>
      <c r="W1" s="371"/>
      <c r="X1" s="371"/>
      <c r="Y1" s="371"/>
      <c r="Z1" s="375" t="s">
        <v>206</v>
      </c>
      <c r="AA1" s="371"/>
      <c r="AB1" s="371"/>
      <c r="AC1" s="371"/>
      <c r="AE1" s="376" t="s">
        <v>207</v>
      </c>
    </row>
    <row r="2" spans="1:31" ht="43.5" customHeight="1" x14ac:dyDescent="0.35">
      <c r="A2" s="377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7" t="s">
        <v>223</v>
      </c>
      <c r="R2" s="217" t="s">
        <v>224</v>
      </c>
      <c r="S2" s="217" t="s">
        <v>225</v>
      </c>
      <c r="T2" s="217" t="s">
        <v>226</v>
      </c>
      <c r="U2" s="217" t="s">
        <v>227</v>
      </c>
      <c r="V2" s="217" t="s">
        <v>228</v>
      </c>
      <c r="W2" s="217" t="s">
        <v>229</v>
      </c>
      <c r="X2" s="217" t="s">
        <v>230</v>
      </c>
      <c r="Y2" s="217" t="s">
        <v>231</v>
      </c>
      <c r="Z2" s="220" t="s">
        <v>232</v>
      </c>
      <c r="AA2" s="220" t="s">
        <v>233</v>
      </c>
      <c r="AB2" s="220" t="s">
        <v>234</v>
      </c>
      <c r="AC2" s="220" t="s">
        <v>235</v>
      </c>
      <c r="AE2" s="37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8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6">
        <f ca="1">IF(CONTROLE!$B$14="","",CONTROLE!$B$14)</f>
        <v>46265.634309374997</v>
      </c>
    </row>
    <row r="5" spans="1:3" x14ac:dyDescent="0.35">
      <c r="A5" s="6" t="s">
        <v>252</v>
      </c>
      <c r="B5" s="242" t="str">
        <f>IF(CONTROLE!$B$2="","",CONTROLE!$B$2)</f>
        <v/>
      </c>
    </row>
    <row r="6" spans="1:3" x14ac:dyDescent="0.35">
      <c r="A6" s="6" t="s">
        <v>253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8" t="str">
        <f ca="1">posicao_referencia!$I$6</f>
        <v/>
      </c>
    </row>
    <row r="8" spans="1:3" ht="43.5" customHeight="1" x14ac:dyDescent="0.35">
      <c r="A8" s="6" t="s">
        <v>255</v>
      </c>
      <c r="B8" s="198" t="str">
        <f ca="1">IF(ISERROR(INDIRECT("CICLO_EM_EXECUCAO!A9")),"",IF(INDIRECT("CICLO_EM_EXECUCAO!A9")="","",INDIRECT("CICLO_EM_EXECUCAO!D5")))</f>
        <v/>
      </c>
      <c r="C8" s="333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8" t="str">
        <f ca="1">posicao_referencia!$I$5</f>
        <v/>
      </c>
    </row>
    <row r="12" spans="1:3" x14ac:dyDescent="0.35">
      <c r="A12" s="6" t="s">
        <v>259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7"/>
    </row>
    <row r="14" spans="1:3" ht="43.5" customHeight="1" x14ac:dyDescent="0.35">
      <c r="A14" s="6" t="s">
        <v>261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262</v>
      </c>
    </row>
    <row r="15" spans="1:3" x14ac:dyDescent="0.35">
      <c r="A15" s="6" t="s">
        <v>263</v>
      </c>
      <c r="B15" s="327"/>
    </row>
    <row r="16" spans="1:3" x14ac:dyDescent="0.35">
      <c r="A16" s="6" t="s">
        <v>264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2" t="str">
        <f>IF($B$12&lt;&gt;"","Financeiro",IF($B$14&lt;&gt;"","PC",""))</f>
        <v/>
      </c>
    </row>
    <row r="21" spans="1:3" x14ac:dyDescent="0.35">
      <c r="A21" s="6" t="s">
        <v>270</v>
      </c>
      <c r="B21" s="198" t="str">
        <f ca="1">posicao_referencia!$I$5</f>
        <v/>
      </c>
    </row>
    <row r="22" spans="1:3" x14ac:dyDescent="0.35">
      <c r="A22" s="6" t="s">
        <v>271</v>
      </c>
      <c r="B22" s="242" t="str">
        <f ca="1">posicao_referencia!$I$8</f>
        <v>POSICAO DE REFERENCIA INDISPONIVEL</v>
      </c>
    </row>
    <row r="23" spans="1:3" x14ac:dyDescent="0.35">
      <c r="A23" s="6" t="s">
        <v>272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8" t="s">
        <v>273</v>
      </c>
      <c r="B25" s="379"/>
      <c r="C25" s="380"/>
    </row>
    <row r="26" spans="1:3" x14ac:dyDescent="0.35">
      <c r="A26" s="329" t="s">
        <v>274</v>
      </c>
      <c r="B26" s="385" t="s">
        <v>275</v>
      </c>
      <c r="C26" s="386"/>
    </row>
    <row r="27" spans="1:3" x14ac:dyDescent="0.35">
      <c r="A27" s="330" t="s">
        <v>276</v>
      </c>
      <c r="B27" s="387" t="s">
        <v>277</v>
      </c>
      <c r="C27" s="384"/>
    </row>
    <row r="28" spans="1:3" x14ac:dyDescent="0.35">
      <c r="A28" s="331" t="s">
        <v>278</v>
      </c>
      <c r="B28" s="383" t="s">
        <v>279</v>
      </c>
      <c r="C28" s="384"/>
    </row>
    <row r="29" spans="1:3" x14ac:dyDescent="0.35">
      <c r="A29" s="332" t="s">
        <v>280</v>
      </c>
      <c r="B29" s="381" t="s">
        <v>281</v>
      </c>
      <c r="C29" s="38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8" t="s">
        <v>282</v>
      </c>
      <c r="B1" s="371"/>
      <c r="C1" s="371"/>
      <c r="D1" s="371"/>
      <c r="E1" s="371"/>
      <c r="F1" s="371"/>
      <c r="G1" s="371"/>
      <c r="H1" s="371"/>
      <c r="I1" s="371"/>
      <c r="J1" s="371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5" t="s">
        <v>286</v>
      </c>
      <c r="B2" s="371"/>
      <c r="C2" s="371"/>
      <c r="D2" s="371"/>
      <c r="E2" s="371"/>
      <c r="F2" s="371"/>
      <c r="G2" s="371"/>
      <c r="H2" s="371"/>
      <c r="I2" s="371"/>
      <c r="J2" s="37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6" t="str">
        <f>IF(AND(RESULTADOS!$G$43="Sim",RESULTADOS!$D$43&lt;&gt;""),RESULTADOS!$D$43,"")</f>
        <v/>
      </c>
      <c r="E5" s="397"/>
      <c r="F5" s="397"/>
      <c r="G5" s="397"/>
      <c r="H5" s="397"/>
      <c r="I5" s="397"/>
      <c r="J5" s="398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3" t="s">
        <v>294</v>
      </c>
      <c r="B6" s="371"/>
      <c r="C6" s="371"/>
      <c r="D6" s="371"/>
      <c r="E6" s="371"/>
      <c r="F6" s="371"/>
      <c r="G6" s="371"/>
      <c r="H6" s="371"/>
      <c r="I6" s="371"/>
      <c r="J6" s="37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2" t="s">
        <v>295</v>
      </c>
      <c r="B8" s="371"/>
      <c r="C8" s="371"/>
      <c r="D8" s="371"/>
      <c r="E8" s="371"/>
      <c r="F8" s="371"/>
      <c r="G8" s="371"/>
      <c r="H8" s="371"/>
      <c r="I8" s="371"/>
      <c r="J8" s="37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4" t="s">
        <v>305</v>
      </c>
      <c r="B17" s="371"/>
      <c r="C17" s="371"/>
      <c r="D17" s="371"/>
      <c r="E17" s="371"/>
      <c r="F17" s="371"/>
      <c r="G17" s="371"/>
      <c r="H17" s="371"/>
      <c r="I17" s="371"/>
      <c r="J17" s="37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2" t="s">
        <v>306</v>
      </c>
      <c r="B19" s="371"/>
      <c r="C19" s="371"/>
      <c r="D19" s="371"/>
      <c r="E19" s="371"/>
      <c r="F19" s="371"/>
      <c r="G19" s="371"/>
      <c r="H19" s="371"/>
      <c r="I19" s="371"/>
      <c r="J19" s="371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505</v>
      </c>
      <c r="D20" s="62" t="str">
        <f>IF(COUNTIF(financeiro!$C$2:$C$73,"&lt;&gt;")=0,"",ROUND(SUM(financeiro!$C$2:$C$73),2))</f>
        <v/>
      </c>
      <c r="E20" s="62" t="s">
        <v>510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6" t="str">
        <f>IF(AND(RESULTADOS!$G$44="Sim",RESULTADOS!$D$44&lt;&gt;""),RESULTADOS!$D$44,"")</f>
        <v/>
      </c>
      <c r="E24" s="397"/>
      <c r="F24" s="397"/>
      <c r="G24" s="397"/>
      <c r="H24" s="397"/>
      <c r="I24" s="397"/>
      <c r="J24" s="398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6" t="str">
        <f>IF(AND(RESULTADOS!$G$45="Sim",RESULTADOS!$D$45&lt;&gt;""),RESULTADOS!$D$45,"")</f>
        <v/>
      </c>
      <c r="E25" s="397"/>
      <c r="F25" s="397"/>
      <c r="G25" s="397"/>
      <c r="H25" s="397"/>
      <c r="I25" s="397"/>
      <c r="J25" s="398"/>
      <c r="K25" s="61"/>
      <c r="L25" s="61"/>
      <c r="M25" s="61"/>
      <c r="N25" s="61"/>
      <c r="O25" s="61"/>
      <c r="P25" s="61"/>
      <c r="Q25" s="61"/>
      <c r="S25" t="s">
        <v>321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401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7"/>
      <c r="G26" s="397"/>
      <c r="H26" s="397"/>
      <c r="I26" s="397"/>
      <c r="J26" s="398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5" t="s">
        <v>324</v>
      </c>
      <c r="B27" s="371"/>
      <c r="C27" s="371"/>
      <c r="D27" s="371"/>
      <c r="E27" s="371"/>
      <c r="F27" s="371"/>
      <c r="G27" s="371"/>
      <c r="H27" s="371"/>
      <c r="I27" s="371"/>
      <c r="J27" s="371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326</v>
      </c>
      <c r="B28" s="209" t="str">
        <f>IF(OR($B$4="Financeiro",$B$4="Itens"),$B$23,$B$26)</f>
        <v/>
      </c>
      <c r="C28" s="210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329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2" t="s">
        <v>331</v>
      </c>
      <c r="B30" s="371"/>
      <c r="C30" s="371"/>
      <c r="D30" s="371"/>
      <c r="E30" s="371"/>
      <c r="F30" s="371"/>
      <c r="G30" s="371"/>
      <c r="H30" s="371"/>
      <c r="I30" s="371"/>
      <c r="J30" s="371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9"/>
      <c r="C36" s="390"/>
      <c r="D36" s="390"/>
      <c r="E36" s="391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533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2" t="s">
        <v>351</v>
      </c>
      <c r="B40" s="371"/>
      <c r="C40" s="371"/>
      <c r="D40" s="371"/>
      <c r="E40" s="371"/>
      <c r="F40" s="371"/>
      <c r="G40" s="371"/>
      <c r="H40" s="371"/>
      <c r="I40" s="371"/>
      <c r="J40" s="371"/>
      <c r="K40" s="61"/>
      <c r="L40" s="61"/>
      <c r="M40" s="61"/>
      <c r="N40" s="61"/>
      <c r="O40" s="61"/>
      <c r="P40" s="61"/>
      <c r="Q40" s="61"/>
      <c r="V40" s="215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3"/>
      <c r="B48" s="371"/>
      <c r="C48" s="371"/>
      <c r="D48" s="371"/>
      <c r="E48" s="371"/>
      <c r="F48" s="371"/>
      <c r="G48" s="371"/>
      <c r="H48" s="371"/>
      <c r="I48" s="371"/>
      <c r="J48" s="371"/>
      <c r="K48" s="61"/>
      <c r="L48" s="61"/>
      <c r="M48" s="61"/>
      <c r="N48" s="61"/>
      <c r="O48" s="61"/>
      <c r="P48" s="61"/>
      <c r="Q48" s="61"/>
      <c r="V48" s="216" t="s">
        <v>375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3"/>
      <c r="B49" s="371"/>
      <c r="C49" s="371"/>
      <c r="D49" s="371"/>
      <c r="E49" s="371"/>
      <c r="F49" s="371"/>
      <c r="G49" s="371"/>
      <c r="H49" s="371"/>
      <c r="I49" s="371"/>
      <c r="J49" s="371"/>
      <c r="K49" s="61"/>
      <c r="L49" s="61"/>
      <c r="M49" s="61"/>
      <c r="N49" s="61"/>
      <c r="O49" s="61"/>
      <c r="P49" s="61"/>
      <c r="Q49" s="61"/>
      <c r="V49" s="216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377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378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9" t="s">
        <v>379</v>
      </c>
      <c r="B52" s="400"/>
      <c r="C52" s="400"/>
      <c r="D52" s="400"/>
      <c r="E52" s="400"/>
      <c r="F52" s="400"/>
      <c r="G52" s="400"/>
      <c r="H52" s="400"/>
      <c r="I52" s="61"/>
      <c r="J52" s="399" t="s">
        <v>380</v>
      </c>
      <c r="K52" s="400"/>
      <c r="L52" s="400"/>
      <c r="M52" s="400"/>
      <c r="N52" s="400"/>
      <c r="O52" s="400"/>
      <c r="P52" s="400"/>
      <c r="Q52" s="400"/>
      <c r="V52" s="216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500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501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0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3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7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6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5" priority="4">
      <formula>OR(ISNUMBER(SEARCH("MANUAL",F36)),ISNUMBER(SEARCH("DIVERGENTE",F36)),ISNUMBER(SEARCH("INCOMPLETO",F36)))</formula>
    </cfRule>
  </conditionalFormatting>
  <conditionalFormatting sqref="J4">
    <cfRule type="expression" dxfId="34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3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</sheetPr>
  <dimension ref="A1:N166"/>
  <sheetViews>
    <sheetView showGridLines="0" tabSelected="1" topLeftCell="A90" zoomScale="90" zoomScaleNormal="90" workbookViewId="0">
      <selection activeCell="A90" sqref="A90:H90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hidden="1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hidden="1" customHeight="1" x14ac:dyDescent="0.3">
      <c r="A1" s="427" t="s">
        <v>282</v>
      </c>
      <c r="B1" s="427"/>
      <c r="C1" s="427"/>
      <c r="D1" s="427"/>
      <c r="E1" s="427"/>
      <c r="F1" s="427"/>
      <c r="G1" s="428" t="str">
        <f ca="1">$B$3</f>
        <v>REVISE</v>
      </c>
      <c r="H1" s="429"/>
    </row>
    <row r="2" spans="1:10" ht="90.5" hidden="1" customHeight="1" x14ac:dyDescent="0.3">
      <c r="A2" s="430" t="s">
        <v>486</v>
      </c>
      <c r="B2" s="430"/>
      <c r="C2" s="430"/>
      <c r="D2" s="430"/>
      <c r="E2" s="430"/>
      <c r="F2" s="430"/>
      <c r="G2" s="43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31"/>
      <c r="J2" s="255" t="s">
        <v>46</v>
      </c>
    </row>
    <row r="3" spans="1:10" ht="20" hidden="1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434" t="str">
        <f>$D$6</f>
        <v/>
      </c>
      <c r="H3" s="435"/>
      <c r="J3" s="255" t="s">
        <v>47</v>
      </c>
    </row>
    <row r="4" spans="1:10" ht="18" hidden="1" customHeight="1" x14ac:dyDescent="0.3">
      <c r="A4" s="304" t="s">
        <v>494</v>
      </c>
      <c r="B4" s="305"/>
      <c r="C4" s="335" t="str">
        <f>$H$8</f>
        <v>REVISE</v>
      </c>
      <c r="D4" s="336" t="s">
        <v>495</v>
      </c>
      <c r="E4" s="337" t="str">
        <f>$H$14</f>
        <v>REVISE</v>
      </c>
      <c r="F4" s="336" t="s">
        <v>496</v>
      </c>
      <c r="G4" s="306"/>
      <c r="H4" s="338" t="str">
        <f ca="1">$H$33</f>
        <v>REVISE</v>
      </c>
    </row>
    <row r="5" spans="1:10" ht="34" hidden="1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436" t="str">
        <f>$D$22</f>
        <v/>
      </c>
      <c r="E5" s="437"/>
      <c r="F5" s="261" t="str">
        <f>IF(CONTROLE!$B$3="","",CONTROLE!$B$3)</f>
        <v/>
      </c>
      <c r="G5" s="312" t="str">
        <f ca="1">$B$38</f>
        <v/>
      </c>
      <c r="H5" s="262" t="str">
        <f>IF(CONTROLE!$B$11="","",CONTROLE!$B$11)</f>
        <v/>
      </c>
      <c r="J5" s="263">
        <f ca="1">($H$8&lt;&gt;"VALIDADO")+($H$14&lt;&gt;"VALIDADO")+($H$24&lt;&gt;"VALIDADO")+($H$33="REVISE")+COUNTIF($H$43:$H$50,"REVISE")</f>
        <v>4</v>
      </c>
    </row>
    <row r="6" spans="1:10" ht="18" hidden="1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hidden="1" customHeight="1" x14ac:dyDescent="0.3">
      <c r="A7" s="311" t="str">
        <f ca="1">IF($J$5=0,"APURAÇÃO CONCLUÍDA","PENDÊNCIAS PARA CONCLUSÃO:")</f>
        <v>PENDÊNCIAS PARA CONCLUSÃO:</v>
      </c>
      <c r="B7" s="43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3"/>
      <c r="D7" s="433"/>
      <c r="E7" s="433"/>
      <c r="F7" s="433"/>
      <c r="G7" s="433"/>
      <c r="H7" s="433"/>
    </row>
    <row r="8" spans="1:10" ht="15" hidden="1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hidden="1" customHeight="1" x14ac:dyDescent="0.3">
      <c r="A9" s="278" t="s">
        <v>528</v>
      </c>
      <c r="B9" s="313"/>
      <c r="C9" s="426"/>
      <c r="D9" s="426"/>
      <c r="E9" s="426"/>
      <c r="F9" s="426"/>
      <c r="G9" s="426"/>
      <c r="H9" s="314"/>
      <c r="J9" s="263">
        <f>COUNTIF(parametros!$A$3:$A$6,"Sim")</f>
        <v>0</v>
      </c>
    </row>
    <row r="10" spans="1:10" ht="46" hidden="1" customHeight="1" x14ac:dyDescent="0.3">
      <c r="A10" s="268" t="s">
        <v>529</v>
      </c>
      <c r="B10" s="269" t="str">
        <f ca="1">IF(MEMORIA_RESULTADOS!$W$50="","",MEMORIA_RESULTADOS!$W$50)</f>
        <v/>
      </c>
      <c r="C10" s="42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5"/>
      <c r="E10" s="425"/>
      <c r="F10" s="424" t="s">
        <v>433</v>
      </c>
      <c r="G10" s="425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530</v>
      </c>
      <c r="B11" s="316" t="str">
        <f>IF(MEMORIA_RESULTADOS!$W$48="","",MEMORIA_RESULTADOS!$W$48)</f>
        <v/>
      </c>
      <c r="C11" s="40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5"/>
      <c r="E11" s="405"/>
      <c r="F11" s="404" t="s">
        <v>434</v>
      </c>
      <c r="G11" s="405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531</v>
      </c>
      <c r="B12" s="316" t="str">
        <f>IFERROR(comparativo_VTA!$B$208,"")</f>
        <v/>
      </c>
      <c r="C12" s="404" t="s">
        <v>435</v>
      </c>
      <c r="D12" s="405"/>
      <c r="E12" s="405"/>
      <c r="F12" s="404" t="s">
        <v>436</v>
      </c>
      <c r="G12" s="405"/>
      <c r="H12" s="320" t="s">
        <v>437</v>
      </c>
    </row>
    <row r="13" spans="1:10" ht="46" hidden="1" customHeight="1" x14ac:dyDescent="0.3">
      <c r="A13" s="317" t="s">
        <v>532</v>
      </c>
      <c r="B13" s="318" t="str">
        <f ca="1">IF(MEMORIA_RESULTADOS!$W$51="","",MEMORIA_RESULTADOS!$W$51)</f>
        <v/>
      </c>
      <c r="C13" s="408" t="s">
        <v>438</v>
      </c>
      <c r="D13" s="409"/>
      <c r="E13" s="409"/>
      <c r="F13" s="408" t="s">
        <v>439</v>
      </c>
      <c r="G13" s="409"/>
      <c r="H13" s="321" t="str">
        <f ca="1">MEMORIA_RESULTADOS!$W$52</f>
        <v>POSICAO ATUAL NAO INFORMADA</v>
      </c>
    </row>
    <row r="14" spans="1:10" ht="15" hidden="1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hidden="1" customHeight="1" x14ac:dyDescent="0.3">
      <c r="A15" s="278" t="s">
        <v>487</v>
      </c>
      <c r="B15" s="267" t="s">
        <v>440</v>
      </c>
      <c r="C15" s="267" t="s">
        <v>441</v>
      </c>
      <c r="D15" s="267" t="s">
        <v>442</v>
      </c>
      <c r="E15" s="270"/>
      <c r="F15" s="270"/>
      <c r="G15" s="270"/>
      <c r="H15" s="270"/>
    </row>
    <row r="16" spans="1:10" ht="19" hidden="1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20" t="str">
        <f>IF($A$23="","",$A$23&amp;CHAR(10)&amp;"Pago: R$ "&amp;ROUND($B$23,2)&amp;"  ·  Reajustado: R$ "&amp;ROUND($C$23,2)&amp;"  ·  Delta: R$ "&amp;ROUND($D$23,2)&amp;CHAR(10)&amp;$E$23)</f>
        <v/>
      </c>
      <c r="F16" s="421"/>
      <c r="G16" s="421"/>
      <c r="H16" s="421"/>
    </row>
    <row r="17" spans="1:8" ht="19" hidden="1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22"/>
      <c r="F17" s="421"/>
      <c r="G17" s="421"/>
      <c r="H17" s="421"/>
    </row>
    <row r="18" spans="1:8" ht="19" hidden="1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22"/>
      <c r="F18" s="421"/>
      <c r="G18" s="421"/>
      <c r="H18" s="421"/>
    </row>
    <row r="19" spans="1:8" ht="19" hidden="1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22"/>
      <c r="F19" s="421"/>
      <c r="G19" s="421"/>
      <c r="H19" s="421"/>
    </row>
    <row r="20" spans="1:8" ht="19" hidden="1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22"/>
      <c r="F20" s="421"/>
      <c r="G20" s="421"/>
      <c r="H20" s="421"/>
    </row>
    <row r="21" spans="1:8" ht="19" hidden="1" customHeight="1" x14ac:dyDescent="0.3">
      <c r="A21" s="342" t="s">
        <v>443</v>
      </c>
      <c r="B21" s="343"/>
      <c r="C21" s="343"/>
      <c r="D21" s="343" t="str">
        <f>IF(ISNUMBER(MEMORIA_RESULTADOS!$B$5),ROUND(RETRO_OFICIAL-SUM($D$16:$D$20),2),"")</f>
        <v/>
      </c>
      <c r="E21" s="422"/>
      <c r="F21" s="421"/>
      <c r="G21" s="421"/>
      <c r="H21" s="421"/>
    </row>
    <row r="22" spans="1:8" ht="24" hidden="1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hidden="1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406" t="str">
        <f>IF(OR(MEMORIA_RESULTADOS!$B$4&lt;&gt;"PCs",MEMORIA_RESULTADOS!$T$28=0),"","Sem retroativo pela regra de DATA_PC. Detalhes: itens_PC -&gt; EFEITO_FINANCEIRO_PC = Nao")</f>
        <v/>
      </c>
      <c r="F23" s="407"/>
      <c r="G23" s="407"/>
      <c r="H23" s="407"/>
    </row>
    <row r="24" spans="1:8" ht="22" hidden="1" customHeight="1" x14ac:dyDescent="0.3">
      <c r="A24" s="278" t="s">
        <v>488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hidden="1" customHeight="1" x14ac:dyDescent="0.3">
      <c r="A25" s="281" t="s">
        <v>296</v>
      </c>
      <c r="B25" s="282" t="s">
        <v>444</v>
      </c>
      <c r="C25" s="282" t="s">
        <v>445</v>
      </c>
      <c r="D25" s="283" t="s">
        <v>442</v>
      </c>
      <c r="E25" s="410" t="s">
        <v>489</v>
      </c>
      <c r="F25" s="411"/>
      <c r="G25" s="411"/>
      <c r="H25" s="411"/>
    </row>
    <row r="26" spans="1:8" ht="19" hidden="1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hidden="1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hidden="1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hidden="1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hidden="1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hidden="1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hidden="1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hidden="1" customHeight="1" x14ac:dyDescent="0.35">
      <c r="A34" s="273" t="s">
        <v>446</v>
      </c>
      <c r="B34" s="287" t="str">
        <f>UPPER(CONTROLE!$B$2)</f>
        <v/>
      </c>
      <c r="C34" s="416"/>
      <c r="D34" s="417"/>
      <c r="E34" s="418" t="s">
        <v>490</v>
      </c>
      <c r="F34" s="419"/>
      <c r="G34" s="419"/>
      <c r="H34" s="419"/>
    </row>
    <row r="35" spans="1:8" ht="22" hidden="1" customHeight="1" x14ac:dyDescent="0.3">
      <c r="A35" s="273" t="s">
        <v>447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2" t="str">
        <f ca="1">IF($B$35="","Aguardando dado","")</f>
        <v>Aguardando dado</v>
      </c>
      <c r="D35" s="413"/>
      <c r="E35" s="420" t="str">
        <f ca="1">IF($A$39="","",$A$39)</f>
        <v/>
      </c>
      <c r="F35" s="421"/>
      <c r="G35" s="421"/>
      <c r="H35" s="423"/>
    </row>
    <row r="36" spans="1:8" ht="22" hidden="1" customHeight="1" x14ac:dyDescent="0.3">
      <c r="A36" s="273" t="s">
        <v>448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2" t="str">
        <f ca="1">IF($B$36="","Aguardando dado","")</f>
        <v>Aguardando dado</v>
      </c>
      <c r="D36" s="413"/>
      <c r="E36" s="422"/>
      <c r="F36" s="421"/>
      <c r="G36" s="421"/>
      <c r="H36" s="423"/>
    </row>
    <row r="37" spans="1:8" ht="22" hidden="1" customHeight="1" x14ac:dyDescent="0.3">
      <c r="A37" s="273" t="s">
        <v>449</v>
      </c>
      <c r="B37" s="274" t="str">
        <f>IFERROR(INDEX($C$26:$C$30,MATCH(UPPER(CONTROLE!$B$2),$A$26:$A$30,0)),"")</f>
        <v/>
      </c>
      <c r="C37" s="412" t="str">
        <f>IF($B$37="","Aguardando dado","")</f>
        <v>Aguardando dado</v>
      </c>
      <c r="D37" s="413"/>
      <c r="E37" s="422"/>
      <c r="F37" s="421"/>
      <c r="G37" s="421"/>
      <c r="H37" s="423"/>
    </row>
    <row r="38" spans="1:8" ht="22" hidden="1" customHeight="1" x14ac:dyDescent="0.3">
      <c r="A38" s="275" t="s">
        <v>450</v>
      </c>
      <c r="B38" s="276" t="str">
        <f ca="1">IF(OR(B36="",B37=""),"",ROUND(B37-B36,2))</f>
        <v/>
      </c>
      <c r="C38" s="414" t="str">
        <f ca="1">IF($B$38="","Aguardando dado","")</f>
        <v>Aguardando dado</v>
      </c>
      <c r="D38" s="415"/>
      <c r="E38" s="422"/>
      <c r="F38" s="421"/>
      <c r="G38" s="421"/>
      <c r="H38" s="423"/>
    </row>
    <row r="39" spans="1:8" ht="15" hidden="1" customHeight="1" x14ac:dyDescent="0.3">
      <c r="A39" s="402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3"/>
      <c r="C39" s="403"/>
      <c r="D39" s="403"/>
      <c r="E39" s="403"/>
      <c r="F39" s="403"/>
      <c r="G39" s="403"/>
      <c r="H39" s="403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491</v>
      </c>
      <c r="B41" s="290"/>
      <c r="C41" s="290"/>
      <c r="D41" s="345" t="s">
        <v>492</v>
      </c>
      <c r="E41" s="290"/>
      <c r="F41" s="290"/>
      <c r="G41" s="290"/>
      <c r="H41" s="290"/>
    </row>
    <row r="42" spans="1:8" ht="24" hidden="1" customHeight="1" x14ac:dyDescent="0.3">
      <c r="A42" s="291" t="s">
        <v>451</v>
      </c>
      <c r="B42" s="291" t="s">
        <v>296</v>
      </c>
      <c r="C42" s="291" t="s">
        <v>452</v>
      </c>
      <c r="D42" s="291" t="s">
        <v>453</v>
      </c>
      <c r="E42" s="291" t="s">
        <v>454</v>
      </c>
      <c r="F42" s="291" t="s">
        <v>455</v>
      </c>
      <c r="G42" s="291" t="s">
        <v>456</v>
      </c>
      <c r="H42" s="291" t="s">
        <v>457</v>
      </c>
    </row>
    <row r="43" spans="1:8" ht="24" hidden="1" customHeight="1" x14ac:dyDescent="0.3">
      <c r="A43" s="292" t="s">
        <v>292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458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459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460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460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460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460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460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hidden="1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hidden="1" customHeight="1" x14ac:dyDescent="0.3">
      <c r="A53" s="298" t="s">
        <v>493</v>
      </c>
      <c r="B53" s="299"/>
      <c r="C53" s="299"/>
      <c r="D53" s="300"/>
      <c r="E53" s="300"/>
      <c r="F53" s="300"/>
      <c r="G53" s="300"/>
      <c r="H53" s="300"/>
    </row>
    <row r="54" spans="1:8" hidden="1" x14ac:dyDescent="0.3">
      <c r="A54" s="301" t="s">
        <v>461</v>
      </c>
      <c r="B54" s="301" t="s">
        <v>432</v>
      </c>
      <c r="C54" s="301" t="s">
        <v>462</v>
      </c>
      <c r="D54" s="302"/>
      <c r="E54" s="302"/>
      <c r="F54" s="302"/>
      <c r="G54" s="302"/>
      <c r="H54" s="302"/>
    </row>
    <row r="55" spans="1:8" ht="16" hidden="1" customHeight="1" x14ac:dyDescent="0.3">
      <c r="A55" s="346" t="s">
        <v>463</v>
      </c>
      <c r="B55" s="476" t="str">
        <f>IF($B$5&lt;&gt;"PCs","",MEMORIA_RESULTADOS!$T$33)</f>
        <v/>
      </c>
      <c r="C55" s="347" t="s">
        <v>464</v>
      </c>
    </row>
    <row r="56" spans="1:8" ht="16" hidden="1" customHeight="1" x14ac:dyDescent="0.3">
      <c r="A56" s="346" t="s">
        <v>465</v>
      </c>
      <c r="B56" s="476" t="str">
        <f>IF($B$5&lt;&gt;"PCs","",MEMORIA_RESULTADOS!$T$34)</f>
        <v/>
      </c>
      <c r="C56" s="347" t="s">
        <v>466</v>
      </c>
    </row>
    <row r="57" spans="1:8" ht="16" hidden="1" customHeight="1" x14ac:dyDescent="0.3">
      <c r="A57" s="346" t="s">
        <v>467</v>
      </c>
      <c r="B57" s="476" t="str">
        <f>IF($B$5&lt;&gt;"PCs","",MEMORIA_RESULTADOS!$T$35)</f>
        <v/>
      </c>
      <c r="C57" s="347" t="s">
        <v>468</v>
      </c>
    </row>
    <row r="58" spans="1:8" ht="16" hidden="1" customHeight="1" x14ac:dyDescent="0.3">
      <c r="A58" s="346" t="s">
        <v>469</v>
      </c>
      <c r="B58" s="476" t="str">
        <f>IF($B$5&lt;&gt;"PCs","",MEMORIA_RESULTADOS!$T$36)</f>
        <v/>
      </c>
      <c r="C58" s="347" t="s">
        <v>470</v>
      </c>
    </row>
    <row r="59" spans="1:8" ht="16" hidden="1" customHeight="1" x14ac:dyDescent="0.3">
      <c r="A59" s="346" t="s">
        <v>471</v>
      </c>
      <c r="B59" s="476" t="str">
        <f>IF($B$5&lt;&gt;"PCs","",MEMORIA_RESULTADOS!$T$37)</f>
        <v/>
      </c>
      <c r="C59" s="347" t="s">
        <v>472</v>
      </c>
    </row>
    <row r="60" spans="1:8" ht="16" hidden="1" customHeight="1" x14ac:dyDescent="0.3">
      <c r="A60" s="346" t="s">
        <v>473</v>
      </c>
      <c r="B60" s="348" t="str">
        <f>$D$22</f>
        <v/>
      </c>
      <c r="C60" s="347" t="s">
        <v>474</v>
      </c>
    </row>
    <row r="61" spans="1:8" ht="16" hidden="1" customHeight="1" x14ac:dyDescent="0.3">
      <c r="A61" s="346" t="s">
        <v>475</v>
      </c>
      <c r="B61" s="348" t="str">
        <f ca="1">$B$36</f>
        <v/>
      </c>
      <c r="C61" s="347" t="s">
        <v>476</v>
      </c>
    </row>
    <row r="62" spans="1:8" ht="16" hidden="1" customHeight="1" x14ac:dyDescent="0.3">
      <c r="A62" s="346" t="s">
        <v>477</v>
      </c>
      <c r="B62" s="348" t="str">
        <f ca="1">$B$38</f>
        <v/>
      </c>
      <c r="C62" s="347" t="s">
        <v>478</v>
      </c>
    </row>
    <row r="63" spans="1:8" ht="16" hidden="1" customHeight="1" x14ac:dyDescent="0.3">
      <c r="A63" s="346" t="s">
        <v>479</v>
      </c>
      <c r="B63" s="348" t="str">
        <f>IF(VTA_FINAL="","",VTA_FINAL)</f>
        <v/>
      </c>
      <c r="C63" s="347" t="s">
        <v>511</v>
      </c>
    </row>
    <row r="64" spans="1:8" ht="16" hidden="1" customHeight="1" x14ac:dyDescent="0.3">
      <c r="A64" s="346" t="s">
        <v>480</v>
      </c>
      <c r="B64" s="347" t="str">
        <f>"Linhas 10 a 13 (ocultas - auditoria interna)"</f>
        <v>Linhas 10 a 13 (ocultas - auditoria interna)</v>
      </c>
      <c r="C64" s="347" t="s">
        <v>481</v>
      </c>
    </row>
    <row r="65" spans="1:5" ht="16" hidden="1" customHeight="1" x14ac:dyDescent="0.3">
      <c r="A65" s="346" t="s">
        <v>482</v>
      </c>
      <c r="B65" s="348" t="str">
        <f ca="1">$B$13</f>
        <v/>
      </c>
      <c r="C65" s="347" t="s">
        <v>483</v>
      </c>
    </row>
    <row r="66" spans="1:5" ht="16" hidden="1" customHeight="1" x14ac:dyDescent="0.3">
      <c r="A66" s="346" t="s">
        <v>484</v>
      </c>
      <c r="B66" s="347" t="str">
        <f ca="1">$B$3</f>
        <v>REVISE</v>
      </c>
      <c r="C66" s="347" t="s">
        <v>485</v>
      </c>
    </row>
    <row r="67" spans="1:5" hidden="1" x14ac:dyDescent="0.3"/>
    <row r="68" spans="1:5" hidden="1" x14ac:dyDescent="0.3">
      <c r="A68" s="351" t="s">
        <v>506</v>
      </c>
    </row>
    <row r="69" spans="1:5" hidden="1" x14ac:dyDescent="0.3">
      <c r="A69" s="255" t="s">
        <v>507</v>
      </c>
    </row>
    <row r="70" spans="1:5" hidden="1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hidden="1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hidden="1" x14ac:dyDescent="0.3">
      <c r="A72" s="354" t="s">
        <v>296</v>
      </c>
      <c r="B72" s="354" t="s">
        <v>508</v>
      </c>
      <c r="C72" s="354" t="s">
        <v>512</v>
      </c>
      <c r="D72" s="354" t="s">
        <v>513</v>
      </c>
      <c r="E72" s="354" t="s">
        <v>514</v>
      </c>
    </row>
    <row r="73" spans="1:5" hidden="1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hidden="1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hidden="1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hidden="1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hidden="1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hidden="1" x14ac:dyDescent="0.3">
      <c r="A78" s="357" t="s">
        <v>515</v>
      </c>
    </row>
    <row r="79" spans="1:5" hidden="1" x14ac:dyDescent="0.3">
      <c r="A79" s="358" t="s">
        <v>516</v>
      </c>
      <c r="B79" s="359"/>
      <c r="C79" s="359"/>
    </row>
    <row r="80" spans="1:5" hidden="1" x14ac:dyDescent="0.3">
      <c r="A80" s="359" t="s">
        <v>517</v>
      </c>
      <c r="B80" s="359"/>
      <c r="C80" s="359"/>
    </row>
    <row r="81" spans="1:8" hidden="1" x14ac:dyDescent="0.3">
      <c r="A81" s="359" t="s">
        <v>518</v>
      </c>
      <c r="B81" s="359"/>
      <c r="C81" s="359"/>
    </row>
    <row r="82" spans="1:8" hidden="1" x14ac:dyDescent="0.3">
      <c r="A82" s="360" t="s">
        <v>519</v>
      </c>
      <c r="B82" s="360" t="s">
        <v>432</v>
      </c>
      <c r="C82" s="360" t="s">
        <v>520</v>
      </c>
    </row>
    <row r="83" spans="1:8" hidden="1" x14ac:dyDescent="0.3">
      <c r="A83" s="361" t="s">
        <v>521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hidden="1" x14ac:dyDescent="0.3">
      <c r="A84" s="361" t="s">
        <v>522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idden="1" x14ac:dyDescent="0.3">
      <c r="A85" s="361" t="s">
        <v>523</v>
      </c>
      <c r="B85" s="362" t="str">
        <f>IF(MEMORIA_RESULTADOS!$D$35="","",MEMORIA_RESULTADOS!$D$35)</f>
        <v/>
      </c>
      <c r="C85" s="361" t="s">
        <v>524</v>
      </c>
    </row>
    <row r="86" spans="1:8" hidden="1" x14ac:dyDescent="0.3">
      <c r="A86" s="360" t="s">
        <v>525</v>
      </c>
      <c r="B86" s="363" t="str">
        <f>IF(VTA_FINAL="","",VTA_FINAL)</f>
        <v/>
      </c>
      <c r="C86" s="361" t="s">
        <v>526</v>
      </c>
    </row>
    <row r="87" spans="1:8" hidden="1" x14ac:dyDescent="0.3">
      <c r="A87" s="361" t="s">
        <v>527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  <row r="88" spans="1:8" hidden="1" x14ac:dyDescent="0.3"/>
    <row r="89" spans="1:8" hidden="1" x14ac:dyDescent="0.3"/>
    <row r="90" spans="1:8" ht="30" customHeight="1" x14ac:dyDescent="0.3">
      <c r="A90" s="439" t="s">
        <v>534</v>
      </c>
      <c r="B90" s="440"/>
      <c r="C90" s="440"/>
      <c r="D90" s="440"/>
      <c r="E90" s="440"/>
      <c r="F90" s="440"/>
      <c r="G90" s="440"/>
      <c r="H90" s="440"/>
    </row>
    <row r="91" spans="1:8" ht="16" customHeight="1" x14ac:dyDescent="0.3">
      <c r="A91" s="441" t="s">
        <v>54</v>
      </c>
      <c r="B91" s="441" t="s">
        <v>535</v>
      </c>
      <c r="C91" s="442" t="s">
        <v>536</v>
      </c>
      <c r="D91" s="440"/>
      <c r="E91" s="442" t="s">
        <v>537</v>
      </c>
      <c r="F91" s="440"/>
      <c r="G91" s="442" t="s">
        <v>538</v>
      </c>
      <c r="H91" s="440"/>
    </row>
    <row r="92" spans="1:8" ht="20" customHeight="1" x14ac:dyDescent="0.3">
      <c r="A92" s="443" t="str">
        <f ca="1">$B$3</f>
        <v>REVISE</v>
      </c>
      <c r="B92" s="444" t="str">
        <f>IF($B$5="","—",$B$5)</f>
        <v>SELECIONE O METODO EM CONTROLE!B1</v>
      </c>
      <c r="C92" s="445" t="str">
        <f>IF($J$11="","—",$J$11)</f>
        <v>—</v>
      </c>
      <c r="D92" s="440"/>
      <c r="E92" s="446" t="str">
        <f>IF(CONTROLE!$B$3="","—",CONTROLE!$B$3)</f>
        <v>—</v>
      </c>
      <c r="F92" s="440"/>
      <c r="G92" s="447">
        <f>IF(parametros!$E$16="","—",parametros!$E$16)</f>
        <v>1</v>
      </c>
      <c r="H92" s="440"/>
    </row>
    <row r="93" spans="1:8" ht="8" customHeight="1" x14ac:dyDescent="0.3"/>
    <row r="94" spans="1:8" ht="16" customHeight="1" x14ac:dyDescent="0.3">
      <c r="A94" s="448" t="s">
        <v>494</v>
      </c>
      <c r="B94" s="440"/>
      <c r="C94" s="440"/>
      <c r="D94" s="440"/>
      <c r="E94" s="448" t="s">
        <v>495</v>
      </c>
      <c r="F94" s="440"/>
      <c r="G94" s="440"/>
      <c r="H94" s="440"/>
    </row>
    <row r="95" spans="1:8" ht="32" customHeight="1" x14ac:dyDescent="0.3">
      <c r="A95" s="449" t="str">
        <f>IF(VTA_FINAL="","",VTA_FINAL)</f>
        <v/>
      </c>
      <c r="B95" s="440"/>
      <c r="C95" s="440"/>
      <c r="D95" s="440"/>
      <c r="E95" s="449" t="str">
        <f>$D$22</f>
        <v/>
      </c>
      <c r="F95" s="440"/>
      <c r="G95" s="440"/>
      <c r="H95" s="440"/>
    </row>
    <row r="96" spans="1:8" ht="8" customHeight="1" x14ac:dyDescent="0.3"/>
    <row r="97" spans="1:9" ht="14" customHeight="1" x14ac:dyDescent="0.3">
      <c r="A97" s="450" t="s">
        <v>496</v>
      </c>
      <c r="B97" s="440"/>
      <c r="C97" s="450" t="s">
        <v>539</v>
      </c>
      <c r="D97" s="440"/>
      <c r="E97" s="450" t="s">
        <v>388</v>
      </c>
      <c r="F97" s="440"/>
      <c r="G97" s="450" t="s">
        <v>540</v>
      </c>
      <c r="H97" s="440"/>
    </row>
    <row r="98" spans="1:9" ht="20" customHeight="1" x14ac:dyDescent="0.3">
      <c r="A98" s="451" t="str">
        <f>IF(REM_ATUALIZADO_OFICIAL="","",REM_ATUALIZADO_OFICIAL)</f>
        <v/>
      </c>
      <c r="B98" s="440"/>
      <c r="C98" s="451" t="str">
        <f ca="1">IF(SALDO_REMANESCENTE_ATUAL="","",SALDO_REMANESCENTE_ATUAL)</f>
        <v/>
      </c>
      <c r="D98" s="440"/>
      <c r="E98" s="452" t="str">
        <f>IF($D$6="","",$D$6)</f>
        <v/>
      </c>
      <c r="F98" s="440"/>
      <c r="G98" s="453" t="str">
        <f ca="1">IF($H$33="","",$H$33)</f>
        <v>REVISE</v>
      </c>
      <c r="H98" s="440"/>
    </row>
    <row r="99" spans="1:9" ht="8" customHeight="1" x14ac:dyDescent="0.3"/>
    <row r="100" spans="1:9" ht="18" customHeight="1" x14ac:dyDescent="0.3">
      <c r="A100" s="454" t="str">
        <f>IF(AND(MEMORIA_RESULTADOS!$B$4="PCs",N(RETROATIVO_POTENCIAL_PC)&gt;0),"RETROATIVO POTENCIAL — EM ANÁLISE","")</f>
        <v/>
      </c>
      <c r="B100" s="440"/>
      <c r="C100" s="440"/>
      <c r="D100" s="455" t="str">
        <f>IF(AND(MEMORIA_RESULTADOS!$B$4="PCs",N(RETROATIVO_POTENCIAL_PC)&gt;0),RETROATIVO_POTENCIAL_PC,"")</f>
        <v/>
      </c>
      <c r="E100" s="438"/>
      <c r="F100" s="438"/>
      <c r="G100" s="438"/>
      <c r="H100" s="438"/>
      <c r="I100" s="457">
        <f>IF(AND(MEMORIA_RESULTADOS!$B$4="PCs",N(RETROATIVO_POTENCIAL_PC)&gt;0),1,0)</f>
        <v>0</v>
      </c>
    </row>
    <row r="101" spans="1:9" ht="14" customHeight="1" x14ac:dyDescent="0.3">
      <c r="A101" s="456" t="str">
        <f>IF(AND(MEMORIA_RESULTADOS!$B$4="PCs",N(RETROATIVO_POTENCIAL_PC)&gt;0),"Valor potencial relacionado a PCs ainda em análise. Não compõe os valores oficiais enquanto permanecer em análise.","")</f>
        <v/>
      </c>
      <c r="B101" s="440"/>
      <c r="C101" s="440"/>
      <c r="D101" s="440"/>
      <c r="E101" s="440"/>
      <c r="F101" s="440"/>
      <c r="G101" s="440"/>
      <c r="H101" s="440"/>
    </row>
    <row r="102" spans="1:9" ht="8" customHeight="1" x14ac:dyDescent="0.3"/>
    <row r="103" spans="1:9" ht="28" customHeight="1" x14ac:dyDescent="0.3">
      <c r="A103" s="458" t="s">
        <v>541</v>
      </c>
      <c r="B103" s="459"/>
      <c r="C103" s="459"/>
      <c r="D103" s="459"/>
      <c r="E103" s="459"/>
      <c r="F103" s="459"/>
      <c r="G103" s="459"/>
      <c r="H103" s="459"/>
    </row>
    <row r="104" spans="1:9" ht="8" customHeight="1" x14ac:dyDescent="0.3"/>
    <row r="105" spans="1:9" ht="15.5" x14ac:dyDescent="0.3">
      <c r="A105" s="460" t="s">
        <v>542</v>
      </c>
      <c r="B105" s="440"/>
      <c r="C105" s="440"/>
      <c r="D105" s="440"/>
      <c r="E105" s="440"/>
      <c r="F105" s="440"/>
      <c r="G105" s="440"/>
      <c r="H105" s="440"/>
    </row>
    <row r="106" spans="1:9" x14ac:dyDescent="0.3">
      <c r="A106" s="461" t="s">
        <v>296</v>
      </c>
      <c r="B106" s="461" t="s">
        <v>457</v>
      </c>
      <c r="C106" s="461" t="s">
        <v>543</v>
      </c>
      <c r="D106" s="461" t="s">
        <v>544</v>
      </c>
      <c r="E106" s="461" t="s">
        <v>545</v>
      </c>
      <c r="F106" s="461" t="s">
        <v>546</v>
      </c>
      <c r="G106" s="462" t="s">
        <v>547</v>
      </c>
      <c r="H106" s="440"/>
    </row>
    <row r="107" spans="1:9" ht="16" customHeight="1" x14ac:dyDescent="0.3">
      <c r="A107" s="463" t="str">
        <f>IF(parametros!$B$2="","",parametros!$B$2)</f>
        <v>C0</v>
      </c>
      <c r="B107" s="463" t="str">
        <f>IF(parametros!$B$2="","",IF(parametros!$G$2="","—",parametros!$G$2))</f>
        <v>—</v>
      </c>
      <c r="C107" s="463" t="str">
        <f>IF(OR(parametros!$C$2="",parametros!$D$2=""),"",RIGHT("0"&amp;DAY(parametros!$C$2),2)&amp;"/"&amp;RIGHT("0"&amp;MONTH(parametros!$C$2),2)&amp;"/"&amp;YEAR(parametros!$C$2)&amp;" a "&amp;RIGHT("0"&amp;DAY(parametros!$D$2),2)&amp;"/"&amp;RIGHT("0"&amp;MONTH(parametros!$D$2),2)&amp;"/"&amp;YEAR(parametros!$D$2))</f>
        <v/>
      </c>
      <c r="D107" s="464" t="str">
        <f>IF(parametros!$E$2="","",parametros!$E$2)</f>
        <v/>
      </c>
      <c r="E107" s="464">
        <f>IF(parametros!$B$2="","",IF(parametros!$C$11="",0,parametros!$C$11))</f>
        <v>0</v>
      </c>
      <c r="F107" s="465" t="str">
        <f>IF(parametros!$H$2="","",parametros!$H$2)</f>
        <v/>
      </c>
      <c r="G107" s="466" t="str">
        <f>IF(parametros!$B$2="","",IF(parametros!$F$11="","",parametros!$F$11))</f>
        <v>Base</v>
      </c>
      <c r="H107" s="440"/>
    </row>
    <row r="108" spans="1:9" ht="16" customHeight="1" x14ac:dyDescent="0.3">
      <c r="A108" s="463" t="str">
        <f>IF(parametros!$B$3="","",parametros!$B$3)</f>
        <v>C1</v>
      </c>
      <c r="B108" s="463" t="str">
        <f>IF(parametros!$B$3="","",IF(parametros!$G$3="","—",parametros!$G$3))</f>
        <v>—</v>
      </c>
      <c r="C108" s="463" t="str">
        <f>IF(OR(parametros!$C$3="",parametros!$D$3=""),"",RIGHT("0"&amp;DAY(parametros!$C$3),2)&amp;"/"&amp;RIGHT("0"&amp;MONTH(parametros!$C$3),2)&amp;"/"&amp;YEAR(parametros!$C$3)&amp;" a "&amp;RIGHT("0"&amp;DAY(parametros!$D$3),2)&amp;"/"&amp;RIGHT("0"&amp;MONTH(parametros!$D$3),2)&amp;"/"&amp;YEAR(parametros!$D$3))</f>
        <v/>
      </c>
      <c r="D108" s="464" t="str">
        <f>IF(parametros!$E$3="","",parametros!$E$3)</f>
        <v/>
      </c>
      <c r="E108" s="464">
        <f>IF(parametros!$B$3="","",IF(parametros!$C$12="",0,parametros!$C$12))</f>
        <v>0</v>
      </c>
      <c r="F108" s="465" t="str">
        <f>IF(parametros!$H$3="","",parametros!$H$3)</f>
        <v/>
      </c>
      <c r="G108" s="466" t="str">
        <f>IF(parametros!$B$3="","",IF(parametros!$F$12="","",parametros!$F$12))</f>
        <v>Fora da apuracao</v>
      </c>
      <c r="H108" s="440"/>
    </row>
    <row r="109" spans="1:9" ht="16" customHeight="1" x14ac:dyDescent="0.3">
      <c r="A109" s="463" t="str">
        <f>IF(parametros!$B$4="","",parametros!$B$4)</f>
        <v>C2</v>
      </c>
      <c r="B109" s="463" t="str">
        <f>IF(parametros!$B$4="","",IF(parametros!$G$4="","—",parametros!$G$4))</f>
        <v>—</v>
      </c>
      <c r="C109" s="463" t="str">
        <f>IF(OR(parametros!$C$4="",parametros!$D$4=""),"",RIGHT("0"&amp;DAY(parametros!$C$4),2)&amp;"/"&amp;RIGHT("0"&amp;MONTH(parametros!$C$4),2)&amp;"/"&amp;YEAR(parametros!$C$4)&amp;" a "&amp;RIGHT("0"&amp;DAY(parametros!$D$4),2)&amp;"/"&amp;RIGHT("0"&amp;MONTH(parametros!$D$4),2)&amp;"/"&amp;YEAR(parametros!$D$4))</f>
        <v/>
      </c>
      <c r="D109" s="464" t="str">
        <f>IF(parametros!$E$4="","",parametros!$E$4)</f>
        <v/>
      </c>
      <c r="E109" s="464">
        <f>IF(parametros!$B$4="","",IF(parametros!$C$13="",0,parametros!$C$13))</f>
        <v>0</v>
      </c>
      <c r="F109" s="465" t="str">
        <f>IF(parametros!$H$4="","",parametros!$H$4)</f>
        <v/>
      </c>
      <c r="G109" s="466" t="str">
        <f>IF(parametros!$B$4="","",IF(parametros!$F$13="","",parametros!$F$13))</f>
        <v>Fora da apuracao</v>
      </c>
      <c r="H109" s="440"/>
    </row>
    <row r="110" spans="1:9" ht="16" customHeight="1" x14ac:dyDescent="0.3">
      <c r="A110" s="463" t="str">
        <f>IF(parametros!$B$5="","",parametros!$B$5)</f>
        <v>C3</v>
      </c>
      <c r="B110" s="463" t="str">
        <f>IF(parametros!$B$5="","",IF(parametros!$G$5="","—",parametros!$G$5))</f>
        <v>—</v>
      </c>
      <c r="C110" s="463" t="str">
        <f>IF(OR(parametros!$C$5="",parametros!$D$5=""),"",RIGHT("0"&amp;DAY(parametros!$C$5),2)&amp;"/"&amp;RIGHT("0"&amp;MONTH(parametros!$C$5),2)&amp;"/"&amp;YEAR(parametros!$C$5)&amp;" a "&amp;RIGHT("0"&amp;DAY(parametros!$D$5),2)&amp;"/"&amp;RIGHT("0"&amp;MONTH(parametros!$D$5),2)&amp;"/"&amp;YEAR(parametros!$D$5))</f>
        <v/>
      </c>
      <c r="D110" s="464" t="str">
        <f>IF(parametros!$E$5="","",parametros!$E$5)</f>
        <v/>
      </c>
      <c r="E110" s="464">
        <f>IF(parametros!$B$5="","",IF(parametros!$C$14="",0,parametros!$C$14))</f>
        <v>0</v>
      </c>
      <c r="F110" s="465" t="str">
        <f>IF(parametros!$H$5="","",parametros!$H$5)</f>
        <v/>
      </c>
      <c r="G110" s="466" t="str">
        <f>IF(parametros!$B$5="","",IF(parametros!$F$14="","",parametros!$F$14))</f>
        <v>Fora da apuracao</v>
      </c>
      <c r="H110" s="440"/>
    </row>
    <row r="111" spans="1:9" ht="16" customHeight="1" x14ac:dyDescent="0.3">
      <c r="A111" s="463" t="str">
        <f>IF(parametros!$B$6="","",parametros!$B$6)</f>
        <v>C4</v>
      </c>
      <c r="B111" s="463" t="str">
        <f>IF(parametros!$B$6="","",IF(parametros!$G$6="","—",parametros!$G$6))</f>
        <v>—</v>
      </c>
      <c r="C111" s="463" t="str">
        <f>IF(OR(parametros!$C$6="",parametros!$D$6=""),"",RIGHT("0"&amp;DAY(parametros!$C$6),2)&amp;"/"&amp;RIGHT("0"&amp;MONTH(parametros!$C$6),2)&amp;"/"&amp;YEAR(parametros!$C$6)&amp;" a "&amp;RIGHT("0"&amp;DAY(parametros!$D$6),2)&amp;"/"&amp;RIGHT("0"&amp;MONTH(parametros!$D$6),2)&amp;"/"&amp;YEAR(parametros!$D$6))</f>
        <v/>
      </c>
      <c r="D111" s="464" t="str">
        <f>IF(parametros!$E$6="","",parametros!$E$6)</f>
        <v/>
      </c>
      <c r="E111" s="464">
        <f>IF(parametros!$B$6="","",IF(parametros!$C$15="",0,parametros!$C$15))</f>
        <v>0</v>
      </c>
      <c r="F111" s="465" t="str">
        <f>IF(parametros!$H$6="","",parametros!$H$6)</f>
        <v/>
      </c>
      <c r="G111" s="466" t="str">
        <f>IF(parametros!$B$6="","",IF(parametros!$F$15="","",parametros!$F$15))</f>
        <v>Fora da apuracao</v>
      </c>
      <c r="H111" s="440"/>
    </row>
    <row r="112" spans="1:9" ht="8" customHeight="1" x14ac:dyDescent="0.3"/>
    <row r="113" spans="1:9" ht="16" customHeight="1" x14ac:dyDescent="0.3">
      <c r="A113" s="467" t="str">
        <f ca="1">IF($J$5=0,IF(AND(MEMORIA_RESULTADOS!$B$4="PCs",N(RETROATIVO_POTENCIAL_PC)&gt;0),"APURAÇÃO CONCLUÍDA — COM VALOR POTENCIAL EM ANÁLISE","APURAÇÃO CONCLUÍDA"),"PENDÊNCIAS PARA CONCLUSÃO")</f>
        <v>PENDÊNCIAS PARA CONCLUSÃO</v>
      </c>
      <c r="B113" s="440"/>
      <c r="C113" s="440"/>
      <c r="D113" s="440"/>
      <c r="E113" s="440"/>
      <c r="F113" s="440"/>
      <c r="G113" s="440"/>
      <c r="H113" s="440"/>
    </row>
    <row r="114" spans="1:9" ht="26" customHeight="1" x14ac:dyDescent="0.3">
      <c r="A114" s="468" t="str">
        <f ca="1">IF($J$5=0,IF(AND(MEMORIA_RESULTADOS!$B$4="PCs",N(RETROATIVO_POTENCIAL_PC)&gt;0),"Os valores oficiais estão apurados, mas ainda há retroativo potencial em análise (bloco em âmbar acima). Ele não compõe o VTA nem o retroativo oficial.","Nenhuma pendência registrada pelas validações desta apuração."),$B$7)</f>
        <v xml:space="preserve">Informar / concluir: composição do VTA; retroativo por ciclo; remanescente por ciclo; situação do ciclo atual; </v>
      </c>
      <c r="B114" s="459"/>
      <c r="C114" s="459"/>
      <c r="D114" s="459"/>
      <c r="E114" s="459"/>
      <c r="F114" s="459"/>
      <c r="G114" s="459"/>
      <c r="H114" s="459"/>
    </row>
    <row r="115" spans="1:9" ht="8" customHeight="1" x14ac:dyDescent="0.3"/>
    <row r="116" spans="1:9" ht="8" customHeight="1" x14ac:dyDescent="0.3"/>
    <row r="117" spans="1:9" ht="15.5" x14ac:dyDescent="0.3">
      <c r="A117" s="460" t="s">
        <v>548</v>
      </c>
      <c r="B117" s="440"/>
      <c r="C117" s="440"/>
      <c r="D117" s="440"/>
      <c r="E117" s="440"/>
      <c r="F117" s="440"/>
      <c r="G117" s="440"/>
      <c r="H117" s="440"/>
    </row>
    <row r="118" spans="1:9" x14ac:dyDescent="0.3">
      <c r="A118" s="466" t="str">
        <f>$A$69</f>
        <v>VTA = execucao ja realizada + acertos ainda devidos + saldo futuro atualizado.</v>
      </c>
      <c r="B118" s="440"/>
      <c r="C118" s="440"/>
      <c r="D118" s="440"/>
      <c r="E118" s="440"/>
      <c r="F118" s="440"/>
      <c r="G118" s="440"/>
      <c r="H118" s="440"/>
    </row>
    <row r="119" spans="1:9" x14ac:dyDescent="0.3">
      <c r="A119" s="466" t="str">
        <f>$A$70</f>
        <v>Selecione o metodo em CONTROLE!B1.</v>
      </c>
      <c r="B119" s="440"/>
      <c r="C119" s="440"/>
      <c r="D119" s="440"/>
      <c r="E119" s="440"/>
      <c r="F119" s="440"/>
      <c r="G119" s="440"/>
      <c r="H119" s="440"/>
    </row>
    <row r="120" spans="1:9" x14ac:dyDescent="0.3">
      <c r="A120" s="461" t="s">
        <v>519</v>
      </c>
      <c r="B120" s="461" t="s">
        <v>432</v>
      </c>
      <c r="C120" s="462" t="s">
        <v>303</v>
      </c>
      <c r="D120" s="440"/>
      <c r="E120" s="440"/>
      <c r="F120" s="440"/>
      <c r="G120" s="440"/>
      <c r="H120" s="440"/>
    </row>
    <row r="121" spans="1:9" ht="16" customHeight="1" x14ac:dyDescent="0.3">
      <c r="A121" s="463" t="s">
        <v>521</v>
      </c>
      <c r="B121" s="469" t="str">
        <f>IF(EXECUTADO_APURADO="","",EXECUTADO_APURADO)</f>
        <v/>
      </c>
      <c r="C121" s="466" t="str">
        <f>$C$83</f>
        <v>Selecione o metodo em CONTROLE!B1.</v>
      </c>
      <c r="D121" s="440"/>
      <c r="E121" s="440"/>
      <c r="F121" s="440"/>
      <c r="G121" s="440"/>
      <c r="H121" s="440"/>
    </row>
    <row r="122" spans="1:9" ht="16" customHeight="1" x14ac:dyDescent="0.3">
      <c r="A122" s="463" t="s">
        <v>522</v>
      </c>
      <c r="B122" s="469" t="str">
        <f>IF(AJUSTES_DEVIDOS="","",AJUSTES_DEVIDOS)</f>
        <v/>
      </c>
      <c r="C122" s="466" t="str">
        <f>$C$84</f>
        <v/>
      </c>
      <c r="D122" s="440"/>
      <c r="E122" s="440"/>
      <c r="F122" s="440"/>
      <c r="G122" s="440"/>
      <c r="H122" s="440"/>
    </row>
    <row r="123" spans="1:9" ht="16" customHeight="1" x14ac:dyDescent="0.3">
      <c r="A123" s="463" t="s">
        <v>523</v>
      </c>
      <c r="B123" s="469" t="str">
        <f>IF($B$85="","",$B$85)</f>
        <v/>
      </c>
      <c r="C123" s="466" t="str">
        <f>$C$85</f>
        <v>Saldo que ainda falta executar, ja atualizado (MEMORIA!D35).</v>
      </c>
      <c r="D123" s="440"/>
      <c r="E123" s="440"/>
      <c r="F123" s="440"/>
      <c r="G123" s="440"/>
      <c r="H123" s="440"/>
    </row>
    <row r="124" spans="1:9" ht="16" customHeight="1" x14ac:dyDescent="0.3">
      <c r="A124" s="470" t="s">
        <v>549</v>
      </c>
      <c r="B124" s="471" t="str">
        <f>IF(VTA_FINAL="","",VTA_FINAL)</f>
        <v/>
      </c>
      <c r="C124" s="466" t="str">
        <f>$C$86</f>
        <v>Saida canonica do metodo (MEMORIA_RESULTADOS!B26 = VTA_FINAL).</v>
      </c>
      <c r="D124" s="440"/>
      <c r="E124" s="440"/>
      <c r="F124" s="440"/>
      <c r="G124" s="440"/>
      <c r="H124" s="440"/>
    </row>
    <row r="125" spans="1:9" ht="16" customHeight="1" x14ac:dyDescent="0.3">
      <c r="A125" s="463" t="s">
        <v>550</v>
      </c>
      <c r="B125" s="469" t="str">
        <f>IF(CONFERENCIA_FORMACAO_VTA="","",CONFERENCIA_FORMACAO_VTA)</f>
        <v/>
      </c>
      <c r="C125" s="466" t="str">
        <f>IF(CONFERENCIA_FORMACAO_VTA="","Aguardando base para conferir.",IF(ABS(CONFERENCIA_FORMACAO_VTA)&lt;=MEMORIA_RESULTADOS!$D$4,"DE ACORDO — as parcelas fecham com o VTA Oficial.",$C$87))</f>
        <v>Aguardando base para conferir.</v>
      </c>
      <c r="D125" s="440"/>
      <c r="E125" s="440"/>
      <c r="F125" s="440"/>
      <c r="G125" s="440"/>
      <c r="H125" s="440"/>
      <c r="I125" s="457" t="e">
        <f>IF(AND(CONFERENCIA_FORMACAO_VTA&lt;&gt;"",ABS(CONFERENCIA_FORMACAO_VTA)&lt;=MEMORIA_RESULTADOS!$D$4),1,0)</f>
        <v>#VALUE!</v>
      </c>
    </row>
    <row r="126" spans="1:9" ht="8" customHeight="1" x14ac:dyDescent="0.3"/>
    <row r="127" spans="1:9" ht="15.5" x14ac:dyDescent="0.3">
      <c r="A127" s="460" t="s">
        <v>551</v>
      </c>
      <c r="B127" s="440"/>
      <c r="C127" s="440"/>
      <c r="D127" s="440"/>
      <c r="E127" s="440"/>
      <c r="F127" s="440"/>
      <c r="G127" s="440"/>
      <c r="H127" s="440"/>
    </row>
    <row r="128" spans="1:9" x14ac:dyDescent="0.3">
      <c r="A128" s="461" t="s">
        <v>296</v>
      </c>
      <c r="B128" s="461" t="s">
        <v>552</v>
      </c>
      <c r="C128" s="461" t="s">
        <v>553</v>
      </c>
      <c r="D128" s="461" t="s">
        <v>554</v>
      </c>
    </row>
    <row r="129" spans="1:8" ht="15" customHeight="1" x14ac:dyDescent="0.3">
      <c r="A129" s="463" t="str">
        <f>$A$16</f>
        <v>C0</v>
      </c>
      <c r="B129" s="469" t="str">
        <f>IF($B$16="","",$B$16)</f>
        <v/>
      </c>
      <c r="C129" s="469" t="str">
        <f>IF($C$16="","",$C$16)</f>
        <v/>
      </c>
      <c r="D129" s="469" t="str">
        <f>IF($D$16="","",$D$16)</f>
        <v/>
      </c>
    </row>
    <row r="130" spans="1:8" ht="15" customHeight="1" x14ac:dyDescent="0.3">
      <c r="A130" s="463" t="str">
        <f>$A$17</f>
        <v>C1</v>
      </c>
      <c r="B130" s="469" t="str">
        <f>IF($B$17="","",$B$17)</f>
        <v/>
      </c>
      <c r="C130" s="469" t="str">
        <f>IF($C$17="","",$C$17)</f>
        <v/>
      </c>
      <c r="D130" s="469" t="str">
        <f>IF($D$17="","",$D$17)</f>
        <v/>
      </c>
    </row>
    <row r="131" spans="1:8" ht="15" customHeight="1" x14ac:dyDescent="0.3">
      <c r="A131" s="463" t="str">
        <f>$A$18</f>
        <v>C2</v>
      </c>
      <c r="B131" s="469" t="str">
        <f>IF($B$18="","",$B$18)</f>
        <v/>
      </c>
      <c r="C131" s="469" t="str">
        <f>IF($C$18="","",$C$18)</f>
        <v/>
      </c>
      <c r="D131" s="469" t="str">
        <f>IF($D$18="","",$D$18)</f>
        <v/>
      </c>
    </row>
    <row r="132" spans="1:8" ht="15" customHeight="1" x14ac:dyDescent="0.3">
      <c r="A132" s="463" t="str">
        <f>$A$19</f>
        <v>C3</v>
      </c>
      <c r="B132" s="469" t="str">
        <f>IF($B$19="","",$B$19)</f>
        <v/>
      </c>
      <c r="C132" s="469" t="str">
        <f>IF($C$19="","",$C$19)</f>
        <v/>
      </c>
      <c r="D132" s="469" t="str">
        <f>IF($D$19="","",$D$19)</f>
        <v/>
      </c>
    </row>
    <row r="133" spans="1:8" ht="15" customHeight="1" x14ac:dyDescent="0.3">
      <c r="A133" s="463" t="str">
        <f>$A$20</f>
        <v>C4</v>
      </c>
      <c r="B133" s="469" t="str">
        <f>IF($B$20="","",$B$20)</f>
        <v/>
      </c>
      <c r="C133" s="469" t="str">
        <f>IF($C$20="","",$C$20)</f>
        <v/>
      </c>
      <c r="D133" s="469" t="str">
        <f>IF($D$20="","",$D$20)</f>
        <v/>
      </c>
    </row>
    <row r="134" spans="1:8" ht="16" customHeight="1" x14ac:dyDescent="0.3">
      <c r="A134" s="470" t="s">
        <v>26</v>
      </c>
      <c r="B134" s="471" t="str">
        <f>IF($B$22="","",$B$22)</f>
        <v/>
      </c>
      <c r="C134" s="471" t="str">
        <f>IF($C$22="","",$C$22)</f>
        <v/>
      </c>
      <c r="D134" s="471" t="str">
        <f>IF($D$22="","",$D$22)</f>
        <v/>
      </c>
    </row>
    <row r="135" spans="1:8" ht="8" customHeight="1" x14ac:dyDescent="0.3"/>
    <row r="136" spans="1:8" ht="15.5" x14ac:dyDescent="0.3">
      <c r="A136" s="460" t="s">
        <v>555</v>
      </c>
      <c r="B136" s="440"/>
      <c r="C136" s="440"/>
      <c r="D136" s="440"/>
      <c r="E136" s="440"/>
      <c r="F136" s="440"/>
      <c r="G136" s="440"/>
      <c r="H136" s="440"/>
    </row>
    <row r="137" spans="1:8" x14ac:dyDescent="0.3">
      <c r="A137" s="461" t="s">
        <v>296</v>
      </c>
      <c r="B137" s="461" t="s">
        <v>556</v>
      </c>
      <c r="C137" s="461" t="s">
        <v>557</v>
      </c>
      <c r="D137" s="461" t="s">
        <v>445</v>
      </c>
    </row>
    <row r="138" spans="1:8" ht="15" customHeight="1" x14ac:dyDescent="0.3">
      <c r="A138" s="463" t="str">
        <f>$A$26</f>
        <v>C0</v>
      </c>
      <c r="B138" s="469" t="str">
        <f>IF($B$26="","",$B$26)</f>
        <v/>
      </c>
      <c r="C138" s="472" t="str">
        <f>IF($B$26="","",IF(parametros!$F$2="","",parametros!$F$2))</f>
        <v/>
      </c>
      <c r="D138" s="469" t="str">
        <f>IF($C$26="","",$C$26)</f>
        <v/>
      </c>
    </row>
    <row r="139" spans="1:8" ht="15" customHeight="1" x14ac:dyDescent="0.3">
      <c r="A139" s="463" t="str">
        <f>$A$27</f>
        <v>C1</v>
      </c>
      <c r="B139" s="469" t="str">
        <f>IF($B$27="","",$B$27)</f>
        <v/>
      </c>
      <c r="C139" s="472" t="str">
        <f>IF($B$27="","",IF(parametros!$F$3="","",parametros!$F$3))</f>
        <v/>
      </c>
      <c r="D139" s="469" t="str">
        <f>IF($C$27="","",$C$27)</f>
        <v/>
      </c>
    </row>
    <row r="140" spans="1:8" ht="15" customHeight="1" x14ac:dyDescent="0.3">
      <c r="A140" s="463" t="str">
        <f>$A$28</f>
        <v>C2</v>
      </c>
      <c r="B140" s="469" t="str">
        <f>IF($B$28="","",$B$28)</f>
        <v/>
      </c>
      <c r="C140" s="472" t="str">
        <f>IF($B$28="","",IF(parametros!$F$4="","",parametros!$F$4))</f>
        <v/>
      </c>
      <c r="D140" s="469" t="str">
        <f>IF($C$28="","",$C$28)</f>
        <v/>
      </c>
    </row>
    <row r="141" spans="1:8" ht="15" customHeight="1" x14ac:dyDescent="0.3">
      <c r="A141" s="463" t="str">
        <f>$A$29</f>
        <v>C3</v>
      </c>
      <c r="B141" s="469" t="str">
        <f>IF($B$29="","",$B$29)</f>
        <v/>
      </c>
      <c r="C141" s="472" t="str">
        <f>IF($B$29="","",IF(parametros!$F$5="","",parametros!$F$5))</f>
        <v/>
      </c>
      <c r="D141" s="469" t="str">
        <f>IF($C$29="","",$C$29)</f>
        <v/>
      </c>
    </row>
    <row r="142" spans="1:8" ht="15" customHeight="1" x14ac:dyDescent="0.3">
      <c r="A142" s="463" t="str">
        <f>$A$30</f>
        <v>C4</v>
      </c>
      <c r="B142" s="469" t="str">
        <f>IF($B$30="","",$B$30)</f>
        <v/>
      </c>
      <c r="C142" s="472" t="str">
        <f>IF($B$30="","",IF(parametros!$F$6="","",parametros!$F$6))</f>
        <v/>
      </c>
      <c r="D142" s="469" t="str">
        <f>IF($C$30="","",$C$30)</f>
        <v/>
      </c>
    </row>
    <row r="143" spans="1:8" ht="8" customHeight="1" x14ac:dyDescent="0.3"/>
    <row r="144" spans="1:8" ht="15.5" x14ac:dyDescent="0.3">
      <c r="A144" s="460" t="s">
        <v>558</v>
      </c>
      <c r="B144" s="440"/>
      <c r="C144" s="440"/>
      <c r="D144" s="440"/>
      <c r="E144" s="440"/>
      <c r="F144" s="440"/>
      <c r="G144" s="440"/>
      <c r="H144" s="440"/>
    </row>
    <row r="145" spans="1:8" ht="15" customHeight="1" x14ac:dyDescent="0.3">
      <c r="A145" s="463" t="s">
        <v>559</v>
      </c>
      <c r="B145" s="473" t="str">
        <f ca="1">IF($B$35="","",$B$35)</f>
        <v/>
      </c>
      <c r="C145" s="438"/>
      <c r="D145" s="438"/>
      <c r="E145" s="438"/>
      <c r="F145" s="438"/>
      <c r="G145" s="438"/>
      <c r="H145" s="438"/>
    </row>
    <row r="146" spans="1:8" ht="15" customHeight="1" x14ac:dyDescent="0.3">
      <c r="A146" s="463" t="s">
        <v>560</v>
      </c>
      <c r="B146" s="471" t="str">
        <f ca="1">IF(EXECUCAO_ATUALIZADA_CICLO="","",EXECUCAO_ATUALIZADA_CICLO)</f>
        <v/>
      </c>
      <c r="C146" s="438"/>
      <c r="D146" s="438"/>
      <c r="E146" s="438"/>
      <c r="F146" s="438"/>
      <c r="G146" s="438"/>
      <c r="H146" s="438"/>
    </row>
    <row r="147" spans="1:8" ht="15" customHeight="1" x14ac:dyDescent="0.3">
      <c r="A147" s="463" t="s">
        <v>445</v>
      </c>
      <c r="B147" s="471" t="str">
        <f>IF($B$37="","",$B$37)</f>
        <v/>
      </c>
      <c r="C147" s="438"/>
      <c r="D147" s="438"/>
      <c r="E147" s="438"/>
      <c r="F147" s="438"/>
      <c r="G147" s="438"/>
      <c r="H147" s="438"/>
    </row>
    <row r="148" spans="1:8" ht="15" customHeight="1" x14ac:dyDescent="0.3">
      <c r="A148" s="463" t="s">
        <v>561</v>
      </c>
      <c r="B148" s="471" t="str">
        <f ca="1">IF(SALDO_REMANESCENTE_ATUAL="","",SALDO_REMANESCENTE_ATUAL)</f>
        <v/>
      </c>
      <c r="C148" s="438"/>
      <c r="D148" s="438"/>
      <c r="E148" s="438"/>
      <c r="F148" s="438"/>
      <c r="G148" s="438"/>
      <c r="H148" s="438"/>
    </row>
    <row r="149" spans="1:8" ht="8" customHeight="1" x14ac:dyDescent="0.3"/>
    <row r="150" spans="1:8" ht="15.5" x14ac:dyDescent="0.3">
      <c r="A150" s="460" t="s">
        <v>562</v>
      </c>
      <c r="B150" s="440"/>
      <c r="C150" s="440"/>
      <c r="D150" s="440"/>
      <c r="E150" s="440"/>
      <c r="F150" s="440"/>
      <c r="G150" s="440"/>
      <c r="H150" s="440"/>
    </row>
    <row r="151" spans="1:8" x14ac:dyDescent="0.3">
      <c r="A151" s="461" t="s">
        <v>563</v>
      </c>
      <c r="B151" s="461" t="s">
        <v>432</v>
      </c>
      <c r="C151" s="462" t="s">
        <v>564</v>
      </c>
      <c r="D151" s="440"/>
      <c r="E151" s="440"/>
      <c r="F151" s="440"/>
      <c r="G151" s="440"/>
      <c r="H151" s="440"/>
    </row>
    <row r="152" spans="1:8" ht="15" customHeight="1" x14ac:dyDescent="0.3">
      <c r="A152" s="463" t="s">
        <v>565</v>
      </c>
      <c r="B152" s="469" t="str">
        <f ca="1">IF($B$10="","",$B$10)</f>
        <v/>
      </c>
      <c r="C152" s="462" t="s">
        <v>566</v>
      </c>
      <c r="D152" s="440"/>
      <c r="E152" s="440"/>
      <c r="F152" s="440"/>
      <c r="G152" s="440"/>
      <c r="H152" s="440"/>
    </row>
    <row r="153" spans="1:8" ht="15" customHeight="1" x14ac:dyDescent="0.3">
      <c r="A153" s="463" t="s">
        <v>567</v>
      </c>
      <c r="B153" s="469" t="str">
        <f>IF($B$11="","",$B$11)</f>
        <v/>
      </c>
      <c r="C153" s="462" t="s">
        <v>568</v>
      </c>
      <c r="D153" s="440"/>
      <c r="E153" s="440"/>
      <c r="F153" s="440"/>
      <c r="G153" s="440"/>
      <c r="H153" s="440"/>
    </row>
    <row r="154" spans="1:8" ht="15" customHeight="1" x14ac:dyDescent="0.3">
      <c r="A154" s="463" t="s">
        <v>569</v>
      </c>
      <c r="B154" s="469" t="str">
        <f>IF($B$12="","",$B$12)</f>
        <v/>
      </c>
      <c r="C154" s="462" t="s">
        <v>570</v>
      </c>
      <c r="D154" s="440"/>
      <c r="E154" s="440"/>
      <c r="F154" s="440"/>
      <c r="G154" s="440"/>
      <c r="H154" s="440"/>
    </row>
    <row r="155" spans="1:8" ht="8" customHeight="1" x14ac:dyDescent="0.3"/>
    <row r="156" spans="1:8" ht="15.5" x14ac:dyDescent="0.3">
      <c r="A156" s="460" t="s">
        <v>571</v>
      </c>
      <c r="B156" s="440"/>
      <c r="C156" s="440"/>
      <c r="D156" s="440"/>
      <c r="E156" s="440"/>
      <c r="F156" s="440"/>
      <c r="G156" s="440"/>
      <c r="H156" s="440"/>
    </row>
    <row r="157" spans="1:8" ht="15" customHeight="1" x14ac:dyDescent="0.3">
      <c r="A157" s="470" t="s">
        <v>572</v>
      </c>
      <c r="B157" s="469" t="str">
        <f ca="1">IF($B$13="","",$B$13)</f>
        <v/>
      </c>
      <c r="C157" s="466" t="str">
        <f ca="1">IF($H$13="","",$H$13)</f>
        <v>POSICAO ATUAL NAO INFORMADA</v>
      </c>
      <c r="D157" s="440"/>
      <c r="E157" s="440"/>
      <c r="F157" s="440"/>
      <c r="G157" s="440"/>
      <c r="H157" s="440"/>
    </row>
    <row r="158" spans="1:8" ht="8" customHeight="1" x14ac:dyDescent="0.3"/>
    <row r="159" spans="1:8" ht="15.5" x14ac:dyDescent="0.3">
      <c r="A159" s="460" t="s">
        <v>573</v>
      </c>
      <c r="B159" s="440"/>
      <c r="C159" s="440"/>
      <c r="D159" s="440"/>
      <c r="E159" s="440"/>
      <c r="F159" s="440"/>
      <c r="G159" s="440"/>
      <c r="H159" s="440"/>
    </row>
    <row r="160" spans="1:8" x14ac:dyDescent="0.3">
      <c r="A160" s="461" t="s">
        <v>296</v>
      </c>
      <c r="B160" s="461" t="s">
        <v>508</v>
      </c>
      <c r="C160" s="461" t="s">
        <v>574</v>
      </c>
      <c r="D160" s="461" t="s">
        <v>554</v>
      </c>
      <c r="E160" s="461" t="s">
        <v>575</v>
      </c>
      <c r="F160" s="474" t="str">
        <f>IF(MEMORIA_RESULTADOS!$B$4="Financeiro","","Não aplicável ao método selecionado.")</f>
        <v>Não aplicável ao método selecionado.</v>
      </c>
      <c r="G160" s="440"/>
      <c r="H160" s="440"/>
    </row>
    <row r="161" spans="1:8" ht="15" customHeight="1" x14ac:dyDescent="0.3">
      <c r="A161" s="463" t="str">
        <f>IF(MEMORIA_RESULTADOS!$B$4&lt;&gt;"Financeiro","",$A$73)</f>
        <v/>
      </c>
      <c r="B161" s="469" t="str">
        <f>IF(MEMORIA_RESULTADOS!$B$4&lt;&gt;"Financeiro","",$B$73)</f>
        <v/>
      </c>
      <c r="C161" s="469" t="str">
        <f>IF(MEMORIA_RESULTADOS!$B$4&lt;&gt;"Financeiro","",$C$73)</f>
        <v/>
      </c>
      <c r="D161" s="469" t="str">
        <f>IF(MEMORIA_RESULTADOS!$B$4&lt;&gt;"Financeiro","",$D$73)</f>
        <v/>
      </c>
      <c r="E161" s="463" t="str">
        <f>IF(MEMORIA_RESULTADOS!$B$4&lt;&gt;"Financeiro","",$E$73)</f>
        <v/>
      </c>
    </row>
    <row r="162" spans="1:8" ht="15" customHeight="1" x14ac:dyDescent="0.3">
      <c r="A162" s="463" t="str">
        <f>IF(MEMORIA_RESULTADOS!$B$4&lt;&gt;"Financeiro","",$A$74)</f>
        <v/>
      </c>
      <c r="B162" s="469" t="str">
        <f>IF(MEMORIA_RESULTADOS!$B$4&lt;&gt;"Financeiro","",$B$74)</f>
        <v/>
      </c>
      <c r="C162" s="469" t="str">
        <f>IF(MEMORIA_RESULTADOS!$B$4&lt;&gt;"Financeiro","",$C$74)</f>
        <v/>
      </c>
      <c r="D162" s="469" t="str">
        <f>IF(MEMORIA_RESULTADOS!$B$4&lt;&gt;"Financeiro","",$D$74)</f>
        <v/>
      </c>
      <c r="E162" s="463" t="str">
        <f>IF(MEMORIA_RESULTADOS!$B$4&lt;&gt;"Financeiro","",$E$74)</f>
        <v/>
      </c>
    </row>
    <row r="163" spans="1:8" ht="15" customHeight="1" x14ac:dyDescent="0.3">
      <c r="A163" s="463" t="str">
        <f>IF(MEMORIA_RESULTADOS!$B$4&lt;&gt;"Financeiro","",$A$75)</f>
        <v/>
      </c>
      <c r="B163" s="469" t="str">
        <f>IF(MEMORIA_RESULTADOS!$B$4&lt;&gt;"Financeiro","",$B$75)</f>
        <v/>
      </c>
      <c r="C163" s="469" t="str">
        <f>IF(MEMORIA_RESULTADOS!$B$4&lt;&gt;"Financeiro","",$C$75)</f>
        <v/>
      </c>
      <c r="D163" s="469" t="str">
        <f>IF(MEMORIA_RESULTADOS!$B$4&lt;&gt;"Financeiro","",$D$75)</f>
        <v/>
      </c>
      <c r="E163" s="463" t="str">
        <f>IF(MEMORIA_RESULTADOS!$B$4&lt;&gt;"Financeiro","",$E$75)</f>
        <v/>
      </c>
    </row>
    <row r="164" spans="1:8" ht="15" customHeight="1" x14ac:dyDescent="0.3">
      <c r="A164" s="463" t="str">
        <f>IF(MEMORIA_RESULTADOS!$B$4&lt;&gt;"Financeiro","",$A$76)</f>
        <v/>
      </c>
      <c r="B164" s="469" t="str">
        <f>IF(MEMORIA_RESULTADOS!$B$4&lt;&gt;"Financeiro","",$B$76)</f>
        <v/>
      </c>
      <c r="C164" s="469" t="str">
        <f>IF(MEMORIA_RESULTADOS!$B$4&lt;&gt;"Financeiro","",$C$76)</f>
        <v/>
      </c>
      <c r="D164" s="469" t="str">
        <f>IF(MEMORIA_RESULTADOS!$B$4&lt;&gt;"Financeiro","",$D$76)</f>
        <v/>
      </c>
      <c r="E164" s="463" t="str">
        <f>IF(MEMORIA_RESULTADOS!$B$4&lt;&gt;"Financeiro","",$E$76)</f>
        <v/>
      </c>
    </row>
    <row r="165" spans="1:8" ht="15" customHeight="1" x14ac:dyDescent="0.3">
      <c r="A165" s="463" t="str">
        <f>IF(MEMORIA_RESULTADOS!$B$4&lt;&gt;"Financeiro","",$A$77)</f>
        <v/>
      </c>
      <c r="B165" s="469" t="str">
        <f>IF(MEMORIA_RESULTADOS!$B$4&lt;&gt;"Financeiro","",$B$77)</f>
        <v/>
      </c>
      <c r="C165" s="469" t="str">
        <f>IF(MEMORIA_RESULTADOS!$B$4&lt;&gt;"Financeiro","",$C$77)</f>
        <v/>
      </c>
      <c r="D165" s="469" t="str">
        <f>IF(MEMORIA_RESULTADOS!$B$4&lt;&gt;"Financeiro","",$D$77)</f>
        <v/>
      </c>
      <c r="E165" s="463" t="str">
        <f>IF(MEMORIA_RESULTADOS!$B$4&lt;&gt;"Financeiro","",$E$77)</f>
        <v/>
      </c>
    </row>
    <row r="166" spans="1:8" ht="14" customHeight="1" x14ac:dyDescent="0.3">
      <c r="A166" s="474" t="str">
        <f>IF(MEMORIA_RESULTADOS!$B$4&lt;&gt;"Financeiro","",$A$78)</f>
        <v/>
      </c>
      <c r="B166" s="440"/>
      <c r="C166" s="440"/>
      <c r="D166" s="440"/>
      <c r="E166" s="440"/>
      <c r="F166" s="440"/>
      <c r="G166" s="440"/>
      <c r="H166" s="440"/>
    </row>
  </sheetData>
  <mergeCells count="86">
    <mergeCell ref="F160:H160"/>
    <mergeCell ref="A166:H166"/>
    <mergeCell ref="C153:H153"/>
    <mergeCell ref="C154:H154"/>
    <mergeCell ref="A156:H156"/>
    <mergeCell ref="C157:H157"/>
    <mergeCell ref="A159:H159"/>
    <mergeCell ref="C147:H147"/>
    <mergeCell ref="C148:H148"/>
    <mergeCell ref="A150:H150"/>
    <mergeCell ref="C151:H151"/>
    <mergeCell ref="C152:H152"/>
    <mergeCell ref="A127:H127"/>
    <mergeCell ref="A136:H136"/>
    <mergeCell ref="A144:H144"/>
    <mergeCell ref="C145:H145"/>
    <mergeCell ref="C146:H146"/>
    <mergeCell ref="C121:H121"/>
    <mergeCell ref="C122:H122"/>
    <mergeCell ref="C123:H123"/>
    <mergeCell ref="C124:H124"/>
    <mergeCell ref="C125:H125"/>
    <mergeCell ref="A114:H114"/>
    <mergeCell ref="A117:H117"/>
    <mergeCell ref="A118:H118"/>
    <mergeCell ref="A119:H119"/>
    <mergeCell ref="C120:H120"/>
    <mergeCell ref="G108:H108"/>
    <mergeCell ref="G109:H109"/>
    <mergeCell ref="G110:H110"/>
    <mergeCell ref="G111:H111"/>
    <mergeCell ref="A113:H113"/>
    <mergeCell ref="A101:H101"/>
    <mergeCell ref="A103:H103"/>
    <mergeCell ref="A105:H105"/>
    <mergeCell ref="G106:H106"/>
    <mergeCell ref="G107:H107"/>
    <mergeCell ref="A98:B98"/>
    <mergeCell ref="C98:D98"/>
    <mergeCell ref="E98:F98"/>
    <mergeCell ref="G98:H98"/>
    <mergeCell ref="A100:C100"/>
    <mergeCell ref="E100:H100"/>
    <mergeCell ref="A94:D94"/>
    <mergeCell ref="E94:H94"/>
    <mergeCell ref="A95:D95"/>
    <mergeCell ref="E95:H95"/>
    <mergeCell ref="A97:B97"/>
    <mergeCell ref="C97:D97"/>
    <mergeCell ref="E97:F97"/>
    <mergeCell ref="G97:H97"/>
    <mergeCell ref="A90:H90"/>
    <mergeCell ref="C91:D91"/>
    <mergeCell ref="E91:F91"/>
    <mergeCell ref="G91:H91"/>
    <mergeCell ref="C92:D92"/>
    <mergeCell ref="E92:F92"/>
    <mergeCell ref="G92:H92"/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5" stopIfTrue="1" operator="equal">
      <formula>"ESTIMADO"</formula>
    </cfRule>
    <cfRule type="cellIs" dxfId="26" priority="46" stopIfTrue="1" operator="equal">
      <formula>"VALIDADO"</formula>
    </cfRule>
  </conditionalFormatting>
  <conditionalFormatting sqref="D4:D5 D6:E6">
    <cfRule type="expression" dxfId="25" priority="40" stopIfTrue="1">
      <formula>$H$14="VALIDADO"</formula>
    </cfRule>
  </conditionalFormatting>
  <conditionalFormatting sqref="E4">
    <cfRule type="cellIs" dxfId="24" priority="47" stopIfTrue="1" operator="equal">
      <formula>"REVISE"</formula>
    </cfRule>
    <cfRule type="cellIs" dxfId="23" priority="48" stopIfTrue="1" operator="equal">
      <formula>"ESTIMADO"</formula>
    </cfRule>
    <cfRule type="cellIs" dxfId="22" priority="49" stopIfTrue="1" operator="equal">
      <formula>"VALIDADO"</formula>
    </cfRule>
  </conditionalFormatting>
  <conditionalFormatting sqref="F4:G4 F5:H6">
    <cfRule type="expression" dxfId="21" priority="41" stopIfTrue="1">
      <formula>$H$33="VALIDADO"</formula>
    </cfRule>
    <cfRule type="expression" dxfId="20" priority="42" stopIfTrue="1">
      <formula>$H$33="REVISE"</formula>
    </cfRule>
    <cfRule type="expression" dxfId="19" priority="43" stopIfTrue="1">
      <formula>$H$33="ESTIMADO"</formula>
    </cfRule>
  </conditionalFormatting>
  <conditionalFormatting sqref="G1">
    <cfRule type="cellIs" dxfId="18" priority="31" stopIfTrue="1" operator="equal">
      <formula>"REVISE"</formula>
    </cfRule>
    <cfRule type="cellIs" dxfId="17" priority="32" stopIfTrue="1" operator="equal">
      <formula>"ESTIMADO"</formula>
    </cfRule>
    <cfRule type="cellIs" dxfId="16" priority="33" stopIfTrue="1" operator="equal">
      <formula>"VALIDADO"</formula>
    </cfRule>
  </conditionalFormatting>
  <conditionalFormatting sqref="H4">
    <cfRule type="cellIs" dxfId="15" priority="50" stopIfTrue="1" operator="equal">
      <formula>"REVISE"</formula>
    </cfRule>
    <cfRule type="cellIs" dxfId="14" priority="51" stopIfTrue="1" operator="equal">
      <formula>"ESTIMADO"</formula>
    </cfRule>
    <cfRule type="cellIs" dxfId="13" priority="52" stopIfTrue="1" operator="equal">
      <formula>"VALIDADO"</formula>
    </cfRule>
  </conditionalFormatting>
  <conditionalFormatting sqref="H24">
    <cfRule type="cellIs" dxfId="12" priority="10" stopIfTrue="1" operator="equal">
      <formula>"REVISE"</formula>
    </cfRule>
    <cfRule type="cellIs" dxfId="11" priority="11" stopIfTrue="1" operator="equal">
      <formula>"ESTIMADO"</formula>
    </cfRule>
    <cfRule type="cellIs" dxfId="10" priority="12" stopIfTrue="1" operator="equal">
      <formula>"VALIDADO"</formula>
    </cfRule>
  </conditionalFormatting>
  <conditionalFormatting sqref="H33">
    <cfRule type="cellIs" dxfId="9" priority="13" stopIfTrue="1" operator="equal">
      <formula>"REVISE"</formula>
    </cfRule>
    <cfRule type="cellIs" dxfId="8" priority="14" stopIfTrue="1" operator="equal">
      <formula>"ESTIMADO"</formula>
    </cfRule>
    <cfRule type="cellIs" dxfId="7" priority="15" stopIfTrue="1" operator="equal">
      <formula>"VALIDADO"</formula>
    </cfRule>
  </conditionalFormatting>
  <conditionalFormatting sqref="H43:H50">
    <cfRule type="cellIs" dxfId="6" priority="29" stopIfTrue="1" operator="equal">
      <formula>"REVISE"</formula>
    </cfRule>
    <cfRule type="cellIs" dxfId="5" priority="30" stopIfTrue="1" operator="equal">
      <formula>"VALIDADO"</formula>
    </cfRule>
  </conditionalFormatting>
  <conditionalFormatting sqref="A92">
    <cfRule type="expression" dxfId="4" priority="55" stopIfTrue="1">
      <formula>$A$92="VALIDADO"</formula>
    </cfRule>
    <cfRule type="expression" dxfId="3" priority="56" stopIfTrue="1">
      <formula>$A$92="ESTIMADO"</formula>
    </cfRule>
    <cfRule type="expression" dxfId="2" priority="57" stopIfTrue="1">
      <formula>$A$92="REVISE"</formula>
    </cfRule>
  </conditionalFormatting>
  <conditionalFormatting sqref="A100:H101">
    <cfRule type="expression" dxfId="1" priority="58" stopIfTrue="1">
      <formula>$I$100=1</formula>
    </cfRule>
  </conditionalFormatting>
  <conditionalFormatting sqref="C125">
    <cfRule type="expression" dxfId="0" priority="59" stopIfTrue="1">
      <formula>$I$125=1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3" right="0.3" top="0.4" bottom="0.4" header="0.31496062000000002" footer="0.31496062000000002"/>
  <pageSetup paperSize="9" scale="75" fitToWidth="0" fitToHeight="0" orientation="landscape" r:id="rId1"/>
  <rowBreaks count="1" manualBreakCount="1">
    <brk id="11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2026-08-31T18:13:25Z</dcterms:modified>
</cp:coreProperties>
</file>