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DesktopReal\128.XLS_PC_VTA_ALIGN_1\templates\"/>
    </mc:Choice>
  </mc:AlternateContent>
  <xr:revisionPtr revIDLastSave="0" documentId="13_ncr:1_{4E701D42-1B52-47B6-BFF3-ABA75092D525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PC">MEMORIA_RESULTADOS!$T$38</definedName>
    <definedName name="RETROATIVO_POTENCIAL_VTA">MEMORIA_RESULTADOS!$T$39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" i="5" l="1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W49" i="14"/>
  <c r="B8" i="13"/>
  <c r="I9" i="9"/>
  <c r="C83" i="15" l="1"/>
  <c r="A81" i="15"/>
  <c r="D8" i="15"/>
  <c r="C8" i="15"/>
  <c r="A8" i="15"/>
  <c r="A6" i="15"/>
  <c r="A4" i="15"/>
  <c r="C84" i="15"/>
  <c r="B84" i="15"/>
  <c r="A84" i="15"/>
  <c r="T41" i="14"/>
  <c r="T39" i="14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B83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E16" i="15" s="1"/>
  <c r="B5" i="15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B61" i="15" l="1"/>
  <c r="B58" i="15"/>
  <c r="B59" i="15"/>
  <c r="B56" i="15"/>
  <c r="B57" i="15"/>
  <c r="C15" i="15"/>
  <c r="B55" i="15"/>
  <c r="T8" i="7"/>
  <c r="T9" i="7" s="1"/>
  <c r="B15" i="15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I261" i="14" s="1"/>
  <c r="BC72" i="5" s="1"/>
  <c r="D29" i="15"/>
  <c r="D15" i="3"/>
  <c r="I262" i="14" s="1"/>
  <c r="BG26" i="5" s="1"/>
  <c r="D26" i="15"/>
  <c r="D12" i="3"/>
  <c r="I259" i="14" s="1"/>
  <c r="AU160" i="5" s="1"/>
  <c r="G3" i="15"/>
  <c r="D13" i="3"/>
  <c r="I260" i="14" s="1"/>
  <c r="L260" i="14" s="1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19" i="15"/>
  <c r="B18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M19" i="7" l="1"/>
  <c r="S19" i="7"/>
  <c r="T40" i="14"/>
  <c r="C86" i="15" s="1"/>
  <c r="S8" i="7"/>
  <c r="S9" i="7" s="1"/>
  <c r="R8" i="7"/>
  <c r="R9" i="7" s="1"/>
  <c r="H174" i="11"/>
  <c r="J174" i="11" s="1"/>
  <c r="AX169" i="5"/>
  <c r="AZ169" i="5" s="1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BD187" i="5" s="1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BD145" i="5" s="1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L261" i="14"/>
  <c r="T85" i="5"/>
  <c r="J29" i="5"/>
  <c r="AP26" i="5"/>
  <c r="AR26" i="5" s="1"/>
  <c r="BC93" i="5"/>
  <c r="H139" i="5"/>
  <c r="BC8" i="5"/>
  <c r="AP136" i="5"/>
  <c r="AR136" i="5" s="1"/>
  <c r="BC145" i="5"/>
  <c r="BD64" i="5"/>
  <c r="AC31" i="5"/>
  <c r="AQ136" i="5"/>
  <c r="AP31" i="5"/>
  <c r="AR31" i="5" s="1"/>
  <c r="R83" i="5"/>
  <c r="AZ127" i="5"/>
  <c r="AQ149" i="5"/>
  <c r="L54" i="5"/>
  <c r="T20" i="5"/>
  <c r="F124" i="5"/>
  <c r="T73" i="5"/>
  <c r="BD57" i="5"/>
  <c r="T130" i="5"/>
  <c r="BD113" i="5"/>
  <c r="L125" i="5"/>
  <c r="F77" i="5"/>
  <c r="R39" i="5"/>
  <c r="BD8" i="5"/>
  <c r="BD94" i="5"/>
  <c r="BD157" i="5"/>
  <c r="BD28" i="5"/>
  <c r="BD137" i="5"/>
  <c r="BC29" i="5"/>
  <c r="BC137" i="5"/>
  <c r="BC157" i="5"/>
  <c r="BC28" i="5"/>
  <c r="BC7" i="5"/>
  <c r="BD7" i="5"/>
  <c r="BC100" i="5"/>
  <c r="BC187" i="5"/>
  <c r="BD134" i="5"/>
  <c r="L13" i="5"/>
  <c r="H196" i="5"/>
  <c r="BC26" i="5"/>
  <c r="BD100" i="5"/>
  <c r="BD26" i="5"/>
  <c r="BD67" i="5"/>
  <c r="R29" i="5"/>
  <c r="BC64" i="5"/>
  <c r="BD47" i="5"/>
  <c r="BC81" i="5"/>
  <c r="BC30" i="5"/>
  <c r="BD111" i="5"/>
  <c r="K261" i="14"/>
  <c r="BC113" i="5"/>
  <c r="L59" i="5"/>
  <c r="AT13" i="5"/>
  <c r="AV13" i="5" s="1"/>
  <c r="J50" i="5"/>
  <c r="BB25" i="5"/>
  <c r="BD25" i="5" s="1"/>
  <c r="BC56" i="5"/>
  <c r="H86" i="5"/>
  <c r="L163" i="5"/>
  <c r="BD109" i="5"/>
  <c r="N185" i="11"/>
  <c r="P185" i="11" s="1"/>
  <c r="R109" i="5"/>
  <c r="T184" i="5"/>
  <c r="BC190" i="5"/>
  <c r="AU141" i="5"/>
  <c r="AU183" i="5"/>
  <c r="AV189" i="5"/>
  <c r="AU189" i="5"/>
  <c r="AV82" i="5"/>
  <c r="AV158" i="5"/>
  <c r="AU133" i="5"/>
  <c r="H13" i="5"/>
  <c r="AU82" i="5"/>
  <c r="AU49" i="5"/>
  <c r="K259" i="14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AY55" i="5"/>
  <c r="BD56" i="5"/>
  <c r="AV49" i="5"/>
  <c r="J124" i="5"/>
  <c r="J113" i="5"/>
  <c r="J100" i="5"/>
  <c r="T139" i="5"/>
  <c r="AY123" i="5"/>
  <c r="BC123" i="5"/>
  <c r="AX55" i="5"/>
  <c r="AZ55" i="5" s="1"/>
  <c r="F25" i="5"/>
  <c r="BB81" i="5"/>
  <c r="BD81" i="5" s="1"/>
  <c r="J54" i="5"/>
  <c r="H97" i="5"/>
  <c r="AQ26" i="5"/>
  <c r="N43" i="11"/>
  <c r="P43" i="11" s="1"/>
  <c r="BC32" i="5"/>
  <c r="AY105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AY94" i="5"/>
  <c r="L6" i="5"/>
  <c r="AY127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AY74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Z94" i="5"/>
  <c r="AC183" i="5"/>
  <c r="R150" i="5"/>
  <c r="AZ181" i="5"/>
  <c r="AZ105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AY40" i="5"/>
  <c r="H66" i="11"/>
  <c r="J66" i="11" s="1"/>
  <c r="T59" i="5"/>
  <c r="P74" i="5"/>
  <c r="AY99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AZ74" i="5"/>
  <c r="F164" i="5"/>
  <c r="AV63" i="5"/>
  <c r="BC96" i="5"/>
  <c r="AZ81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AZ123" i="5" s="1"/>
  <c r="BC139" i="5"/>
  <c r="AY181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Y107" i="5"/>
  <c r="AQ106" i="5"/>
  <c r="R137" i="5"/>
  <c r="AY193" i="5"/>
  <c r="AU83" i="5"/>
  <c r="N80" i="5"/>
  <c r="AU37" i="5"/>
  <c r="AV162" i="5"/>
  <c r="L69" i="5"/>
  <c r="AZ107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AZ40" i="5"/>
  <c r="K36" i="11"/>
  <c r="M36" i="11" s="1"/>
  <c r="BD63" i="5"/>
  <c r="J261" i="14"/>
  <c r="N64" i="11"/>
  <c r="P64" i="11" s="1"/>
  <c r="AV132" i="5"/>
  <c r="H78" i="5"/>
  <c r="J197" i="5"/>
  <c r="L96" i="5"/>
  <c r="AU182" i="5"/>
  <c r="AZ99" i="5"/>
  <c r="P90" i="5"/>
  <c r="AY1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Y39" i="5"/>
  <c r="AU122" i="5"/>
  <c r="BD105" i="5"/>
  <c r="BD53" i="5"/>
  <c r="L45" i="5"/>
  <c r="AP14" i="5"/>
  <c r="AR14" i="5" s="1"/>
  <c r="J81" i="5"/>
  <c r="AU191" i="5"/>
  <c r="J41" i="5"/>
  <c r="N82" i="5"/>
  <c r="F192" i="5"/>
  <c r="AY81" i="5"/>
  <c r="AV195" i="5"/>
  <c r="J63" i="5"/>
  <c r="AZ67" i="5"/>
  <c r="J91" i="5"/>
  <c r="J67" i="5"/>
  <c r="AZ10" i="5"/>
  <c r="AU63" i="5"/>
  <c r="J126" i="5"/>
  <c r="AZ22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AZ165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AZ17" i="5"/>
  <c r="BG110" i="5"/>
  <c r="BH161" i="5"/>
  <c r="BH65" i="5"/>
  <c r="AZ193" i="5"/>
  <c r="BH64" i="5"/>
  <c r="BG188" i="5"/>
  <c r="BC87" i="5"/>
  <c r="J120" i="5"/>
  <c r="H16" i="5"/>
  <c r="AY185" i="5"/>
  <c r="L99" i="5"/>
  <c r="BG48" i="5"/>
  <c r="AT143" i="5"/>
  <c r="AV143" i="5" s="1"/>
  <c r="AC189" i="5"/>
  <c r="AZ175" i="5"/>
  <c r="BC22" i="5"/>
  <c r="T21" i="5"/>
  <c r="R97" i="5"/>
  <c r="BC57" i="5"/>
  <c r="J94" i="5"/>
  <c r="AZ41" i="5"/>
  <c r="BC53" i="5"/>
  <c r="BD19" i="5"/>
  <c r="BC182" i="5"/>
  <c r="AZ143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Y143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AY146" i="5"/>
  <c r="AZ72" i="5"/>
  <c r="J260" i="14"/>
  <c r="AY125" i="5"/>
  <c r="P65" i="5"/>
  <c r="AY114" i="5"/>
  <c r="AY113" i="5"/>
  <c r="AZ48" i="5"/>
  <c r="AZ132" i="5"/>
  <c r="AZ186" i="5"/>
  <c r="E61" i="11"/>
  <c r="G61" i="11" s="1"/>
  <c r="AY161" i="5"/>
  <c r="BB42" i="5"/>
  <c r="BD42" i="5" s="1"/>
  <c r="AY64" i="5"/>
  <c r="AY46" i="5"/>
  <c r="K260" i="14"/>
  <c r="M260" i="14" s="1"/>
  <c r="O260" i="14" s="1"/>
  <c r="AY17" i="5"/>
  <c r="AY63" i="5"/>
  <c r="AP51" i="5"/>
  <c r="AR51" i="5" s="1"/>
  <c r="F187" i="5"/>
  <c r="AY110" i="5"/>
  <c r="AY58" i="5"/>
  <c r="AQ51" i="5"/>
  <c r="H126" i="5"/>
  <c r="F181" i="5"/>
  <c r="AZ106" i="5"/>
  <c r="AZ120" i="5"/>
  <c r="E52" i="11"/>
  <c r="G52" i="11" s="1"/>
  <c r="BC27" i="5"/>
  <c r="N109" i="11"/>
  <c r="P109" i="11" s="1"/>
  <c r="AY90" i="5"/>
  <c r="AY169" i="5"/>
  <c r="AQ65" i="5"/>
  <c r="AY175" i="5"/>
  <c r="AZ113" i="5"/>
  <c r="AZ137" i="5"/>
  <c r="AZ110" i="5"/>
  <c r="T83" i="5"/>
  <c r="AZ188" i="5"/>
  <c r="AZ77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D13" i="14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Z100" i="5"/>
  <c r="AY171" i="5"/>
  <c r="AY28" i="5"/>
  <c r="AC37" i="5"/>
  <c r="AZ131" i="5"/>
  <c r="AY50" i="5"/>
  <c r="AY119" i="5"/>
  <c r="AY25" i="5"/>
  <c r="AZ26" i="5"/>
  <c r="AZ63" i="5"/>
  <c r="AY145" i="5"/>
  <c r="D12" i="14"/>
  <c r="E12" i="14" s="1"/>
  <c r="AZ28" i="5"/>
  <c r="AZ90" i="5"/>
  <c r="AZ83" i="5"/>
  <c r="AZ199" i="5"/>
  <c r="AZ144" i="5"/>
  <c r="AZ39" i="5"/>
  <c r="P110" i="5"/>
  <c r="R5" i="5"/>
  <c r="AY77" i="5"/>
  <c r="H175" i="11"/>
  <c r="J175" i="11" s="1"/>
  <c r="BD193" i="5"/>
  <c r="BC99" i="5"/>
  <c r="BD172" i="5"/>
  <c r="BD194" i="5"/>
  <c r="BD151" i="5"/>
  <c r="T109" i="5"/>
  <c r="R10" i="5"/>
  <c r="AC131" i="5"/>
  <c r="AY132" i="5"/>
  <c r="T145" i="5"/>
  <c r="AV105" i="5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D11" i="14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B66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M261" i="14" l="1"/>
  <c r="O261" i="14" s="1"/>
  <c r="L263" i="14"/>
  <c r="M259" i="14"/>
  <c r="O259" i="14" s="1"/>
  <c r="F12" i="14"/>
  <c r="E13" i="14"/>
  <c r="F13" i="14"/>
  <c r="M262" i="14"/>
  <c r="O262" i="14" s="1"/>
  <c r="E11" i="14"/>
  <c r="F11" i="14"/>
  <c r="C16" i="15"/>
  <c r="C19" i="15"/>
  <c r="F14" i="14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38" i="15"/>
  <c r="B64" i="15" s="1"/>
  <c r="A39" i="15"/>
  <c r="E35" i="15" s="1"/>
  <c r="M263" i="14"/>
  <c r="A265" i="14" s="1"/>
  <c r="O258" i="14"/>
  <c r="H41" i="14" l="1"/>
  <c r="D22" i="15"/>
  <c r="H33" i="15"/>
  <c r="B26" i="14"/>
  <c r="B65" i="15" s="1"/>
  <c r="E26" i="14"/>
  <c r="J4" i="14" s="1"/>
  <c r="C38" i="15"/>
  <c r="G5" i="15"/>
  <c r="B60" i="15" l="1"/>
  <c r="B62" i="15"/>
  <c r="E8" i="15"/>
  <c r="H8" i="15"/>
  <c r="J5" i="15" s="1"/>
  <c r="E6" i="15"/>
  <c r="C22" i="15"/>
  <c r="D5" i="15"/>
  <c r="H4" i="15"/>
  <c r="B28" i="14"/>
  <c r="C5" i="15"/>
  <c r="B86" i="15"/>
  <c r="B87" i="15" s="1"/>
  <c r="C87" i="15" s="1"/>
  <c r="B207" i="1"/>
  <c r="G2" i="15" l="1"/>
  <c r="C4" i="15"/>
  <c r="B3" i="15"/>
  <c r="B67" i="15" s="1"/>
  <c r="B7" i="15" l="1"/>
  <c r="A7" i="15"/>
  <c r="G1" i="15"/>
</calcChain>
</file>

<file path=xl/sharedStrings.xml><?xml version="1.0" encoding="utf-8"?>
<sst xmlns="http://schemas.openxmlformats.org/spreadsheetml/2006/main" count="40682" uniqueCount="553">
  <si>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</si>
  <si>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</si>
  <si>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</si>
  <si>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</si>
  <si>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</si>
  <si>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</si>
  <si>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</si>
  <si>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</si>
  <si>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</si>
  <si>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</si>
  <si>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</si>
  <si>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</si>
  <si>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</si>
  <si>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</si>
  <si>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</si>
  <si>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</si>
  <si>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</si>
  <si>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</si>
  <si>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</si>
  <si>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</si>
  <si>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</si>
  <si>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</si>
  <si>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</si>
  <si>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</si>
  <si>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</si>
  <si>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</si>
  <si>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</si>
  <si>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</si>
  <si>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</si>
  <si>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</si>
  <si>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</si>
  <si>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</si>
  <si>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</si>
  <si>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</si>
  <si>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</si>
  <si>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</si>
  <si>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</si>
  <si>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</si>
  <si>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</si>
  <si>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</si>
  <si>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</si>
  <si>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</si>
  <si>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</si>
  <si>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</si>
  <si>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</si>
  <si>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</si>
  <si>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</si>
  <si>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</si>
  <si>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</si>
  <si>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</si>
  <si>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</si>
  <si>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</si>
  <si>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</si>
  <si>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</si>
  <si>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</si>
  <si>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</si>
  <si>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</si>
  <si>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</si>
  <si>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</si>
  <si>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</si>
  <si>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</si>
  <si>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</si>
  <si>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</si>
  <si>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</si>
  <si>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</si>
  <si>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</si>
  <si>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</si>
  <si>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</si>
  <si>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</si>
  <si>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</si>
  <si>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</si>
  <si>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</si>
  <si>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</si>
  <si>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</si>
  <si>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</si>
  <si>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</si>
  <si>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</si>
  <si>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</si>
  <si>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</si>
  <si>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</si>
  <si>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</si>
  <si>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</si>
  <si>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</si>
  <si>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</si>
  <si>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</si>
  <si>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</si>
  <si>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</si>
  <si>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</si>
  <si>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</si>
  <si>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</si>
  <si>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</si>
  <si>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</si>
  <si>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</si>
  <si>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</si>
  <si>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</si>
  <si>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</si>
  <si>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</si>
  <si>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</si>
  <si>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</si>
  <si>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</si>
  <si>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</si>
  <si>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</si>
  <si>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</si>
  <si>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</si>
  <si>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</si>
  <si>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</si>
  <si>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</si>
  <si>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</si>
  <si>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</si>
  <si>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</si>
  <si>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</si>
  <si>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</si>
  <si>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</si>
  <si>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</si>
  <si>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</si>
  <si>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</si>
  <si>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</si>
  <si>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</si>
  <si>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</si>
  <si>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</si>
  <si>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</si>
  <si>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</si>
  <si>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</si>
  <si>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</si>
  <si>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</si>
  <si>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</si>
  <si>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</si>
  <si>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</si>
  <si>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</si>
  <si>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</si>
  <si>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</si>
  <si>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</si>
  <si>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</si>
  <si>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</si>
  <si>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</si>
  <si>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</si>
  <si>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</si>
  <si>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</si>
  <si>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</si>
  <si>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</si>
  <si>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</si>
  <si>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</si>
  <si>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</si>
  <si>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</si>
  <si>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</si>
  <si>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</si>
  <si>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</si>
  <si>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</si>
  <si>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</si>
  <si>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</si>
  <si>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</si>
  <si>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</si>
  <si>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</si>
  <si>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</si>
  <si>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</si>
  <si>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</si>
  <si>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</si>
  <si>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</si>
  <si>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</si>
  <si>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</si>
  <si>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</si>
  <si>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</si>
  <si>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</si>
  <si>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</si>
  <si>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</si>
  <si>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</si>
  <si>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</si>
  <si>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</si>
  <si>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</si>
  <si>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</si>
  <si>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</si>
  <si>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</si>
  <si>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</si>
  <si>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</si>
  <si>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</si>
  <si>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</si>
  <si>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</si>
  <si>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</si>
  <si>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</si>
  <si>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</si>
  <si>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</si>
  <si>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</si>
  <si>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</si>
  <si>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</si>
  <si>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</si>
  <si>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</si>
  <si>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</si>
  <si>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</si>
  <si>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</si>
  <si>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</si>
  <si>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</si>
  <si>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</si>
  <si>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</si>
  <si>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</si>
  <si>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</si>
  <si>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</si>
  <si>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</si>
  <si>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</si>
  <si>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</si>
  <si>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</si>
  <si>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</si>
  <si>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</si>
  <si>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</si>
  <si>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</si>
  <si>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</si>
  <si>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</si>
  <si>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</si>
  <si>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</si>
  <si>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</si>
  <si>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</si>
  <si>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</si>
  <si>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</si>
  <si>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</si>
  <si>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</si>
  <si>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</si>
  <si>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</si>
  <si>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</si>
  <si>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</si>
  <si>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</si>
  <si>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</si>
  <si>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</si>
  <si>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</si>
  <si>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</si>
  <si>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</si>
  <si>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</si>
  <si>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</si>
  <si>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</si>
  <si>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</si>
  <si>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</si>
  <si>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</si>
  <si>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</si>
  <si>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</si>
  <si>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</si>
  <si>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</si>
  <si>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</si>
  <si>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</si>
  <si>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</si>
  <si>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</si>
  <si>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</si>
  <si>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</si>
  <si>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</si>
  <si>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</si>
  <si>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</si>
  <si>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</si>
  <si>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</si>
  <si>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</si>
  <si>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</si>
  <si>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</si>
  <si>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</si>
  <si>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</si>
  <si>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</si>
  <si>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</si>
  <si>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</si>
  <si>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</si>
  <si>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</si>
  <si>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</si>
  <si>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</si>
  <si>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</si>
  <si>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</si>
  <si>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</si>
  <si>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</si>
  <si>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</si>
  <si>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</si>
  <si>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</si>
  <si>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</si>
  <si>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</si>
  <si>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</si>
  <si>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</si>
  <si>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</si>
  <si>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</si>
  <si>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</si>
  <si>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</si>
  <si>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</si>
  <si>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</si>
  <si>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</si>
  <si>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</si>
  <si>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</si>
  <si>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</si>
  <si>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</si>
  <si>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</si>
  <si>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</si>
  <si>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</si>
  <si>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</si>
  <si>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</si>
  <si>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</si>
  <si>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</si>
  <si>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</si>
  <si>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</si>
  <si>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</si>
  <si>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</si>
  <si>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</si>
  <si>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</si>
  <si>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</si>
  <si>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</si>
  <si>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</si>
  <si>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</si>
  <si>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</si>
  <si>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</si>
  <si>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</si>
  <si>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</si>
  <si>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</si>
  <si>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</si>
  <si>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</si>
  <si>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</si>
  <si>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</si>
  <si>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</si>
  <si>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</si>
  <si>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</si>
  <si>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</si>
  <si>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</si>
  <si>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</si>
  <si>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</si>
  <si>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</si>
  <si>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</si>
  <si>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</si>
  <si>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</si>
  <si>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</si>
  <si>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</si>
  <si>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</si>
  <si>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</si>
  <si>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</si>
  <si>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</si>
  <si>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</si>
  <si>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</si>
  <si>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</si>
  <si>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</si>
  <si>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</si>
  <si>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</si>
  <si>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</si>
  <si>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</si>
  <si>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</si>
  <si>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</si>
  <si>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</si>
  <si>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</si>
  <si>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</si>
  <si>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</si>
  <si>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</si>
  <si>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</si>
  <si>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</si>
  <si>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</si>
  <si>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</si>
  <si>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</si>
  <si>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</si>
  <si>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</si>
  <si>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</si>
  <si>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</si>
  <si>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</si>
  <si>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</si>
  <si>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</si>
  <si>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</si>
  <si>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</si>
  <si>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</si>
  <si>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</si>
  <si>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</si>
  <si>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</si>
  <si>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</si>
  <si>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</si>
  <si>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</si>
  <si>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</si>
  <si>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</si>
  <si>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</si>
  <si>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</si>
  <si>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</si>
  <si>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</si>
  <si>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</si>
  <si>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</si>
  <si>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</si>
  <si>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</si>
  <si>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</si>
  <si>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</si>
  <si>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</si>
  <si>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</si>
  <si>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</si>
  <si>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</si>
  <si>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</si>
  <si>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</si>
  <si>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</si>
  <si>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</si>
  <si>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</si>
  <si>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</si>
  <si>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</si>
  <si>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</si>
  <si>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</si>
  <si>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</si>
  <si>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</si>
  <si>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</si>
  <si>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</si>
  <si>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</si>
  <si>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</si>
  <si>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</si>
  <si>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</si>
  <si>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</si>
  <si>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</si>
  <si>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</si>
  <si>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</si>
  <si>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</si>
  <si>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</si>
  <si>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</si>
  <si>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</si>
  <si>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</si>
  <si>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</si>
  <si>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</si>
  <si>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</si>
  <si>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</si>
  <si>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</si>
  <si>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</si>
  <si>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</si>
  <si>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</si>
  <si>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</si>
  <si>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</si>
  <si>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</si>
  <si>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</si>
  <si>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</si>
  <si>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</si>
  <si>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</si>
  <si>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</si>
  <si>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</si>
  <si>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</si>
  <si>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</si>
  <si>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</si>
  <si>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</si>
  <si>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</si>
  <si>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</si>
  <si>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</si>
  <si>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</si>
  <si>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</si>
  <si>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</si>
  <si>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</si>
  <si>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</si>
  <si>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</si>
  <si>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</si>
  <si>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</si>
  <si>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</si>
  <si>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</si>
  <si>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</si>
  <si>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</si>
  <si>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</si>
  <si>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</si>
  <si>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</si>
  <si>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</si>
  <si>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</si>
  <si>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</si>
  <si>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</si>
  <si>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</si>
  <si>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</si>
  <si>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</si>
  <si>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</si>
  <si>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</si>
  <si>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</si>
  <si>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Síntese executiva e memória auditável da apuração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</si>
  <si>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</si>
  <si>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</si>
  <si>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</si>
  <si>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</si>
  <si>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</si>
  <si>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</si>
  <si>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</si>
  <si>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</si>
  <si>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</si>
  <si>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</si>
  <si>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</si>
  <si>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</si>
  <si>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</si>
  <si>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</si>
  <si>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</si>
  <si>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</si>
  <si>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</si>
  <si>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</si>
  <si>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</si>
  <si>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Executado apurado</t>
  </si>
  <si>
    <t>(+) Remanescente atualizado</t>
  </si>
  <si>
    <t>(=) VTA Oficial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</si>
  <si>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</si>
  <si>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</si>
  <si>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Saldo que ainda falta executar, já atualizado.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</si>
  <si>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</si>
  <si>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</si>
  <si>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</si>
  <si>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</si>
  <si>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</si>
  <si>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</si>
  <si>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</si>
  <si>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</si>
  <si>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</si>
  <si>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</si>
  <si>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</si>
  <si>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</si>
  <si>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</si>
  <si>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</si>
  <si>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</si>
  <si>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</si>
  <si>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</si>
  <si>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</si>
  <si>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</si>
  <si>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</si>
  <si>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2. EXECUÇÃO E RETROATIVO POR CICLO</t>
  </si>
  <si>
    <t>Saldo sem reajuste</t>
  </si>
  <si>
    <t>Saldo atualizado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</si>
  <si>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</si>
  <si>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</si>
  <si>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</si>
  <si>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</si>
  <si>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</si>
  <si>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</si>
  <si>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</si>
  <si>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</si>
  <si>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</si>
  <si>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</si>
  <si>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</si>
  <si>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</si>
  <si>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</si>
  <si>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</si>
  <si>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</si>
  <si>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</si>
  <si>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</si>
  <si>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</si>
  <si>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O VTA reúne a execução já realizada, os ajustes contratuais aplicáveis e o saldo que ainda falta executar, todos nos valores correspondentes.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</si>
  <si>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</si>
  <si>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</si>
  <si>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</si>
  <si>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</si>
  <si>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</si>
  <si>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</si>
  <si>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</si>
  <si>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</si>
  <si>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</si>
  <si>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</si>
  <si>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</si>
  <si>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</si>
  <si>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</si>
  <si>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</si>
  <si>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</si>
  <si>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</si>
  <si>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</si>
  <si>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3. REMANESCENTE TOTAL POR CICLO</t>
  </si>
  <si>
    <t>6. TOTAIS E INDICADORES DE CONFERÊNCIA</t>
  </si>
  <si>
    <t>Retroativo potencial incorporado ao VTA (PCs ate o corte, ciclos anteriores ao vigente)</t>
  </si>
  <si>
    <t>VTA-PC antes da parcela potencial</t>
  </si>
  <si>
    <t>Retroativo potencial APURADO (pode ser negativo; nao reduz o VTA)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</si>
  <si>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</si>
  <si>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</si>
  <si>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</si>
  <si>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</si>
  <si>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</si>
  <si>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Parcela dos PCs ainda em análise pela área gestora que o VTA incorpora por critério prudencial. Não é retroativo reconhecido nem valor a pagar.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</si>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</sst>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</numFmts>
  <fonts count="82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</fills>
  <borders count="7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D9D9D9"/>
      </right>
      <top style="thin">
        <color rgb="FFBFBFBF"/>
      </top>
      <bottom/>
      <diagonal/>
    </border>
  </borders>
  <cellStyleXfs count="1">
    <xf numFmtId="0" fontId="0" fillId="0" borderId="38"/>
  </cellStyleXfs>
  <cellXfs count="484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49" borderId="38" xfId="0" applyFont="1" applyFill="1" applyAlignment="1">
      <alignment vertical="center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16" fillId="63" borderId="3" xfId="0" applyFont="1" applyFill="1" applyBorder="1" applyAlignment="1">
      <alignment horizontal="center"/>
    </xf>
    <xf numFmtId="178" fontId="16" fillId="63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10" fillId="63" borderId="3" xfId="0" applyFont="1" applyFill="1" applyBorder="1" applyAlignment="1">
      <alignment horizontal="center" vertical="center" wrapText="1"/>
    </xf>
    <xf numFmtId="3" fontId="10" fillId="63" borderId="3" xfId="0" applyNumberFormat="1" applyFont="1" applyFill="1" applyBorder="1" applyAlignment="1">
      <alignment horizontal="center" vertical="center" wrapText="1"/>
    </xf>
    <xf numFmtId="178" fontId="10" fillId="63" borderId="3" xfId="0" applyNumberFormat="1" applyFont="1" applyFill="1" applyBorder="1" applyAlignment="1">
      <alignment horizontal="right" vertical="center" wrapText="1"/>
    </xf>
    <xf numFmtId="3" fontId="16" fillId="63" borderId="3" xfId="0" applyNumberFormat="1" applyFont="1" applyFill="1" applyBorder="1" applyAlignment="1">
      <alignment horizontal="center"/>
    </xf>
    <xf numFmtId="3" fontId="16" fillId="63" borderId="3" xfId="0" applyNumberFormat="1" applyFont="1" applyFill="1" applyBorder="1"/>
    <xf numFmtId="0" fontId="73" fillId="0" borderId="38" xfId="0" applyFont="1" applyAlignment="1">
      <alignment horizontal="left" vertical="center"/>
    </xf>
    <xf numFmtId="0" fontId="75" fillId="0" borderId="38" xfId="0" applyFont="1"/>
    <xf numFmtId="0" fontId="16" fillId="63" borderId="3" xfId="0" applyFont="1" applyFill="1" applyBorder="1" applyAlignment="1">
      <alignment horizontal="center" vertical="center" wrapText="1"/>
    </xf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7" xfId="0" applyFont="1" applyFill="1" applyBorder="1" applyAlignment="1">
      <alignment horizontal="left" vertical="center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4" borderId="11" xfId="0" applyFont="1" applyFill="1" applyBorder="1" applyAlignment="1">
      <alignment vertical="center" wrapText="1"/>
    </xf>
    <xf numFmtId="0" fontId="36" fillId="49" borderId="38" xfId="0" applyFont="1" applyFill="1" applyAlignment="1">
      <alignment horizontal="left" vertical="center" inden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50" fillId="51" borderId="3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9" fillId="63" borderId="3" xfId="0" applyFont="1" applyFill="1" applyBorder="1" applyAlignment="1">
      <alignment horizontal="left" vertical="center" wrapText="1"/>
    </xf>
    <xf numFmtId="178" fontId="81" fillId="63" borderId="3" xfId="0" applyNumberFormat="1" applyFont="1" applyFill="1" applyBorder="1" applyAlignment="1">
      <alignment horizontal="right" vertical="center" wrapText="1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NumberFormat="1" applyFont="1" applyFill="1" applyBorder="1" applyAlignment="1">
      <alignment horizontal="right"/>
    </xf>
    <xf numFmtId="0" fontId="79" fillId="52" borderId="5" xfId="0" applyFont="1" applyFill="1" applyBorder="1" applyAlignment="1">
      <alignment horizontal="center" vertical="center" wrapText="1"/>
    </xf>
    <xf numFmtId="0" fontId="50" fillId="51" borderId="5" xfId="0" applyFont="1" applyFill="1" applyBorder="1" applyAlignment="1">
      <alignment horizontal="left" wrapText="1"/>
    </xf>
  </cellXfs>
  <cellStyles count="1">
    <cellStyle name="Normal" xfId="0" builtinId="0"/>
  </cellStyles>
  <dxfs count="72">
    <dxf>
      <font>
        <color rgb="FF7F6000"/>
      </font>
      <fill>
        <patternFill>
          <bgColor rgb="FFFFF4CC"/>
        </patternFill>
      </fill>
    </dxf>
    <dxf>
      <font>
        <color rgb="FF1F3864"/>
      </font>
      <fill>
        <patternFill>
          <bgColor rgb="FFFAFAFA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8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3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46270.474071759258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30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1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1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2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2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77" t="s">
        <v>49</v>
      </c>
      <c r="B9" s="378"/>
      <c r="C9" s="378"/>
      <c r="D9" s="378"/>
      <c r="E9" s="378"/>
      <c r="F9" s="379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7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4"/>
      <c r="B74" s="305" t="s">
        <v>26</v>
      </c>
      <c r="C74" s="306">
        <f>SUM(C2:C73)</f>
        <v>0</v>
      </c>
      <c r="D74" s="305"/>
      <c r="E74" s="306">
        <f>SUM(E2:E73)</f>
        <v>0</v>
      </c>
      <c r="F74" s="306">
        <f>SUM(F2:F73)</f>
        <v>0</v>
      </c>
      <c r="G74" s="307"/>
    </row>
  </sheetData>
  <conditionalFormatting sqref="A2:G73">
    <cfRule type="expression" dxfId="70" priority="1" stopIfTrue="1">
      <formula>AND($C2&lt;&gt;"",$G2="")</formula>
    </cfRule>
    <cfRule type="expression" dxfId="6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8" priority="2">
      <formula>$U2="TOTAL"</formula>
    </cfRule>
  </conditionalFormatting>
  <conditionalFormatting sqref="E2:E201">
    <cfRule type="expression" dxfId="67" priority="3" stopIfTrue="1">
      <formula>AND($A2&lt;&gt;"",ISNUMBER($BI2),$BI2&gt;1)</formula>
    </cfRule>
    <cfRule type="expression" dxfId="66" priority="3">
      <formula>AND($A2&lt;&gt;"",ISNUMBER(E2),E2&gt;0)</formula>
    </cfRule>
    <cfRule type="expression" dxfId="65" priority="4">
      <formula>AND($A2&lt;&gt;"",E2=0)</formula>
    </cfRule>
    <cfRule type="expression" dxfId="64" priority="5">
      <formula>AND($A2&lt;&gt;"",E2="",OR(NOT(ISNUMBER($BI2)),$BI2&lt;=1))</formula>
    </cfRule>
  </conditionalFormatting>
  <conditionalFormatting sqref="G2:G201">
    <cfRule type="expression" dxfId="63" priority="6" stopIfTrue="1">
      <formula>AND($A2&lt;&gt;"",ISNUMBER($BI2),$BI2&gt;2)</formula>
    </cfRule>
    <cfRule type="expression" dxfId="62" priority="7">
      <formula>AND($A2&lt;&gt;"",ISNUMBER(G2),G2&gt;0)</formula>
    </cfRule>
    <cfRule type="expression" dxfId="61" priority="8">
      <formula>AND($A2&lt;&gt;"",G2=0)</formula>
    </cfRule>
    <cfRule type="expression" dxfId="60" priority="9">
      <formula>AND($A2&lt;&gt;"",G2="",OR(NOT(ISNUMBER($BI2)),$BI2&lt;=2))</formula>
    </cfRule>
  </conditionalFormatting>
  <conditionalFormatting sqref="I2:I201">
    <cfRule type="expression" dxfId="59" priority="10" stopIfTrue="1">
      <formula>AND($A2&lt;&gt;"",ISNUMBER($BI2),$BI2&gt;3)</formula>
    </cfRule>
    <cfRule type="expression" dxfId="58" priority="11">
      <formula>AND($A2&lt;&gt;"",ISNUMBER(I2),I2&gt;0)</formula>
    </cfRule>
    <cfRule type="expression" dxfId="57" priority="12">
      <formula>AND($A2&lt;&gt;"",I2=0)</formula>
    </cfRule>
    <cfRule type="expression" dxfId="56" priority="13">
      <formula>AND($A2&lt;&gt;"",I2="",OR(NOT(ISNUMBER($BI2)),$BI2&lt;=3))</formula>
    </cfRule>
  </conditionalFormatting>
  <conditionalFormatting sqref="K2:K201">
    <cfRule type="expression" dxfId="55" priority="14" stopIfTrue="1">
      <formula>AND($A2&lt;&gt;"",ISNUMBER($BI2),$BI2&gt;4)</formula>
    </cfRule>
    <cfRule type="expression" dxfId="54" priority="15">
      <formula>AND($A2&lt;&gt;"",ISNUMBER(K2),K2&gt;0)</formula>
    </cfRule>
    <cfRule type="expression" dxfId="53" priority="16">
      <formula>AND($A2&lt;&gt;"",K2=0)</formula>
    </cfRule>
    <cfRule type="expression" dxfId="5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465</v>
      </c>
      <c r="W1" s="13"/>
    </row>
    <row r="2" spans="1:2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80" t="s">
        <v>475</v>
      </c>
      <c r="N1" s="381"/>
      <c r="O1" s="381"/>
      <c r="P1" s="381"/>
      <c r="Q1" s="381"/>
      <c r="R1" s="381"/>
      <c r="S1" s="381"/>
      <c r="T1" s="382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1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50" t="s">
        <v>32</v>
      </c>
      <c r="N2" s="350" t="s">
        <v>476</v>
      </c>
      <c r="O2" s="350" t="s">
        <v>477</v>
      </c>
      <c r="P2" s="350" t="s">
        <v>478</v>
      </c>
      <c r="Q2" s="350" t="s">
        <v>479</v>
      </c>
      <c r="R2" s="350" t="s">
        <v>539</v>
      </c>
      <c r="S2" s="376" t="s">
        <v>480</v>
      </c>
      <c r="T2" s="350" t="s">
        <v>481</v>
      </c>
      <c r="U2" s="352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1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4" t="s">
        <v>21</v>
      </c>
      <c r="N3" s="355">
        <f>COUNTIF($C$2:$C$5001,M3)</f>
        <v>0</v>
      </c>
      <c r="O3" s="356">
        <f>SUMIF($C$2:$C$5001,M3,$D$2:$D$5001)</f>
        <v>0</v>
      </c>
      <c r="P3" s="356">
        <f>SUMIF($C$2:$C$5001,M3,$F$2:$F$5001)</f>
        <v>0</v>
      </c>
      <c r="Q3" s="356">
        <f>SUMIF($C$2:$C$5001,M3,$H$2:$H$5001)</f>
        <v>0</v>
      </c>
      <c r="R3" s="356">
        <f>SUMIF($C$2:$C$5001,M3,$I$2:$I$5001)</f>
        <v>0</v>
      </c>
      <c r="S3" s="356">
        <f>SUMIF($C$2:$C$5001,M3,$J$2:$J$5001)</f>
        <v>0</v>
      </c>
      <c r="T3" s="355">
        <f>COUNTIFS($C$2:$C$5001,M3,$K$2:$K$5001,"&lt;&gt;OK",$K$2:$K$5001,"&lt;&gt;")</f>
        <v>0</v>
      </c>
      <c r="U3" s="353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1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4" t="s">
        <v>22</v>
      </c>
      <c r="N4" s="355">
        <f>COUNTIF($C$2:$C$5001,M4)</f>
        <v>0</v>
      </c>
      <c r="O4" s="356">
        <f>SUMIF($C$2:$C$5001,M4,$D$2:$D$5001)</f>
        <v>0</v>
      </c>
      <c r="P4" s="356">
        <f>SUMIF($C$2:$C$5001,M4,$F$2:$F$5001)</f>
        <v>0</v>
      </c>
      <c r="Q4" s="356">
        <f>SUMIF($C$2:$C$5001,M4,$H$2:$H$5001)</f>
        <v>0</v>
      </c>
      <c r="R4" s="356">
        <f>SUMIF($C$2:$C$5001,M4,$I$2:$I$5001)</f>
        <v>0</v>
      </c>
      <c r="S4" s="356">
        <f>SUMIF($C$2:$C$5001,M4,$J$2:$J$5001)</f>
        <v>0</v>
      </c>
      <c r="T4" s="355">
        <f>COUNTIFS($C$2:$C$5001,M4,$K$2:$K$5001,"&lt;&gt;OK",$K$2:$K$5001,"&lt;&gt;")</f>
        <v>0</v>
      </c>
      <c r="U4" s="353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1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4" t="s">
        <v>23</v>
      </c>
      <c r="N5" s="355">
        <f>COUNTIF($C$2:$C$5001,M5)</f>
        <v>0</v>
      </c>
      <c r="O5" s="356">
        <f>SUMIF($C$2:$C$5001,M5,$D$2:$D$5001)</f>
        <v>0</v>
      </c>
      <c r="P5" s="356">
        <f>SUMIF($C$2:$C$5001,M5,$F$2:$F$5001)</f>
        <v>0</v>
      </c>
      <c r="Q5" s="356">
        <f>SUMIF($C$2:$C$5001,M5,$H$2:$H$5001)</f>
        <v>0</v>
      </c>
      <c r="R5" s="356">
        <f>SUMIF($C$2:$C$5001,M5,$I$2:$I$5001)</f>
        <v>0</v>
      </c>
      <c r="S5" s="356">
        <f>SUMIF($C$2:$C$5001,M5,$J$2:$J$5001)</f>
        <v>0</v>
      </c>
      <c r="T5" s="355">
        <f>COUNTIFS($C$2:$C$5001,M5,$K$2:$K$5001,"&lt;&gt;OK",$K$2:$K$5001,"&lt;&gt;")</f>
        <v>0</v>
      </c>
      <c r="U5" s="353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1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4" t="s">
        <v>24</v>
      </c>
      <c r="N6" s="355">
        <f>COUNTIF($C$2:$C$5001,M6)</f>
        <v>0</v>
      </c>
      <c r="O6" s="356">
        <f>SUMIF($C$2:$C$5001,M6,$D$2:$D$5001)</f>
        <v>0</v>
      </c>
      <c r="P6" s="356">
        <f>SUMIF($C$2:$C$5001,M6,$F$2:$F$5001)</f>
        <v>0</v>
      </c>
      <c r="Q6" s="356">
        <f>SUMIF($C$2:$C$5001,M6,$H$2:$H$5001)</f>
        <v>0</v>
      </c>
      <c r="R6" s="356">
        <f>SUMIF($C$2:$C$5001,M6,$I$2:$I$5001)</f>
        <v>0</v>
      </c>
      <c r="S6" s="356">
        <f>SUMIF($C$2:$C$5001,M6,$J$2:$J$5001)</f>
        <v>0</v>
      </c>
      <c r="T6" s="355">
        <f>COUNTIFS($C$2:$C$5001,M6,$K$2:$K$5001,"&lt;&gt;OK",$K$2:$K$5001,"&lt;&gt;")</f>
        <v>0</v>
      </c>
      <c r="U6" s="353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1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4" t="s">
        <v>25</v>
      </c>
      <c r="N7" s="355">
        <f>COUNTIF($C$2:$C$5001,M7)</f>
        <v>0</v>
      </c>
      <c r="O7" s="356">
        <f>SUMIF($C$2:$C$5001,M7,$D$2:$D$5001)</f>
        <v>0</v>
      </c>
      <c r="P7" s="356">
        <f>SUMIF($C$2:$C$5001,M7,$F$2:$F$5001)</f>
        <v>0</v>
      </c>
      <c r="Q7" s="356">
        <f>SUMIF($C$2:$C$5001,M7,$H$2:$H$5001)</f>
        <v>0</v>
      </c>
      <c r="R7" s="356">
        <f>SUMIF($C$2:$C$5001,M7,$I$2:$I$5001)</f>
        <v>0</v>
      </c>
      <c r="S7" s="356">
        <f>SUMIF($C$2:$C$5001,M7,$J$2:$J$5001)</f>
        <v>0</v>
      </c>
      <c r="T7" s="355">
        <f>COUNTIFS($C$2:$C$5001,M7,$K$2:$K$5001,"&lt;&gt;OK",$K$2:$K$5001,"&lt;&gt;")</f>
        <v>0</v>
      </c>
      <c r="U7" s="353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x14ac:dyDescent="0.35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1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67" t="s">
        <v>530</v>
      </c>
      <c r="N8" s="368">
        <f>COUNTIF($A$2:$A$5001,"&lt;&gt;")-SUM(N3:N7)</f>
        <v>0</v>
      </c>
      <c r="O8" s="369">
        <f>SUM($D$2:$D$5001)-SUM(O3:O7)</f>
        <v>0</v>
      </c>
      <c r="P8" s="369">
        <f>SUM($F$2:$F$5001)-SUM(P3:P7)</f>
        <v>0</v>
      </c>
      <c r="Q8" s="369">
        <f>SUM($H$2:$H$5001)-SUM(Q3:Q7)</f>
        <v>0</v>
      </c>
      <c r="R8" s="369">
        <f>SUM($I$2:$I$5001)-SUM(R3:R7)</f>
        <v>0</v>
      </c>
      <c r="S8" s="369">
        <f>SUM($J$2:$J$5001)-SUM(S3:S7)</f>
        <v>0</v>
      </c>
      <c r="T8" s="368">
        <f>COUNTIFS($A$2:$A$5001,"&lt;&gt;",$K$2:$K$5001,"&lt;&gt;OK",$K$2:$K$5001,"&lt;&gt;")-SUM(T3:T7)</f>
        <v>0</v>
      </c>
      <c r="U8" s="353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1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59" t="s">
        <v>26</v>
      </c>
      <c r="N9" s="370">
        <f t="shared" ref="N9:T9" si="5">SUM(N3:N8)</f>
        <v>0</v>
      </c>
      <c r="O9" s="360">
        <f t="shared" si="5"/>
        <v>0</v>
      </c>
      <c r="P9" s="360">
        <f t="shared" si="5"/>
        <v>0</v>
      </c>
      <c r="Q9" s="360">
        <f t="shared" si="5"/>
        <v>0</v>
      </c>
      <c r="R9" s="360">
        <f t="shared" si="5"/>
        <v>0</v>
      </c>
      <c r="S9" s="360">
        <f t="shared" si="5"/>
        <v>0</v>
      </c>
      <c r="T9" s="371">
        <f t="shared" si="5"/>
        <v>0</v>
      </c>
      <c r="U9" s="353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383" t="s">
        <v>482</v>
      </c>
      <c r="N10" s="384"/>
      <c r="O10" s="384"/>
      <c r="P10" s="384"/>
      <c r="Q10" s="384"/>
      <c r="R10" s="384"/>
      <c r="S10" s="384"/>
      <c r="T10" s="385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1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50" t="s">
        <v>291</v>
      </c>
      <c r="N11" s="350" t="s">
        <v>483</v>
      </c>
      <c r="O11" s="350" t="s">
        <v>528</v>
      </c>
      <c r="P11" s="350" t="s">
        <v>529</v>
      </c>
      <c r="Q11" s="350" t="s">
        <v>484</v>
      </c>
      <c r="R11" s="350" t="s">
        <v>540</v>
      </c>
      <c r="S11" s="376" t="s">
        <v>485</v>
      </c>
      <c r="T11" s="350" t="s">
        <v>486</v>
      </c>
      <c r="U11" s="353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1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7" t="s">
        <v>21</v>
      </c>
      <c r="N12" s="357">
        <f>IF(MEMORIA_RESULTADOS!$T$31="",COUNTIFS($C$2:$C$5001,$M12,$G$2:$G$5001,"Sim"),COUNTIFS($C$2:$C$5001,$M12,$G$2:$G$5001,"Sim",$B$2:$B$5001,"&lt;="&amp;MEMORIA_RESULTADOS!$T$31))</f>
        <v>0</v>
      </c>
      <c r="O12" s="358">
        <f>IF(MEMORIA_RESULTADOS!$T$31="",SUMIFS($D$2:$D$5001,$C$2:$C$5001,$M12,$G$2:$G$5001,"Sim"),SUMIFS($D$2:$D$5001,$C$2:$C$5001,$M12,$G$2:$G$5001,"Sim",$B$2:$B$5001,"&lt;="&amp;MEMORIA_RESULTADOS!$T$31))</f>
        <v>0</v>
      </c>
      <c r="P12" s="358">
        <f>IF(MEMORIA_RESULTADOS!$T$31="",SUMIFS($U$2:$U$5001,$C$2:$C$5001,$M12,$G$2:$G$5001,"Sim"),SUMIFS($U$2:$U$5001,$C$2:$C$5001,$M12,$G$2:$G$5001,"Sim",$B$2:$B$5001,"&lt;="&amp;MEMORIA_RESULTADOS!$T$31))</f>
        <v>0</v>
      </c>
      <c r="Q12" s="358">
        <f>IF(MEMORIA_RESULTADOS!$T$31="",SUMIFS($H$2:$H$5001,$C$2:$C$5001,$M12,$G$2:$G$5001,"Sim"),SUMIFS($H$2:$H$5001,$C$2:$C$5001,$M12,$G$2:$G$5001,"Sim",$B$2:$B$5001,"&lt;="&amp;MEMORIA_RESULTADOS!$T$31))</f>
        <v>0</v>
      </c>
      <c r="R12" s="358">
        <f>IF(MEMORIA_RESULTADOS!$T$31="",SUMIFS($I$2:$I$5001,$C$2:$C$5001,$M12),SUMIFS($I$2:$I$5001,$C$2:$C$5001,$M12,$B$2:$B$5001,"&lt;="&amp;MEMORIA_RESULTADOS!$T$31))</f>
        <v>0</v>
      </c>
      <c r="S12" s="358">
        <f>IF(MEMORIA_RESULTADOS!$T$31="",SUMIFS($J$2:$J$5001,$C$2:$C$5001,$M12),SUMIFS($J$2:$J$5001,$C$2:$C$5001,$M12,$B$2:$B$5001,"&lt;="&amp;MEMORIA_RESULTADOS!$T$31))</f>
        <v>0</v>
      </c>
      <c r="T12" s="358">
        <f>IF(MEMORIA_RESULTADOS!$T$31="",0,SUMIFS($D$2:$D$5001,$C$2:$C$5001,$M12,$B$2:$B$5001,"&gt;"&amp;MEMORIA_RESULTADOS!$T$31))</f>
        <v>0</v>
      </c>
      <c r="U12" s="353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1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7" t="s">
        <v>22</v>
      </c>
      <c r="N13" s="357">
        <f>IF(MEMORIA_RESULTADOS!$T$31="",COUNTIFS($C$2:$C$5001,$M13,$G$2:$G$5001,"Sim"),COUNTIFS($C$2:$C$5001,$M13,$G$2:$G$5001,"Sim",$B$2:$B$5001,"&lt;="&amp;MEMORIA_RESULTADOS!$T$31))</f>
        <v>0</v>
      </c>
      <c r="O13" s="358">
        <f>IF(MEMORIA_RESULTADOS!$T$31="",SUMIFS($D$2:$D$5001,$C$2:$C$5001,$M13,$G$2:$G$5001,"Sim"),SUMIFS($D$2:$D$5001,$C$2:$C$5001,$M13,$G$2:$G$5001,"Sim",$B$2:$B$5001,"&lt;="&amp;MEMORIA_RESULTADOS!$T$31))</f>
        <v>0</v>
      </c>
      <c r="P13" s="358">
        <f>IF(MEMORIA_RESULTADOS!$T$31="",SUMIFS($U$2:$U$5001,$C$2:$C$5001,$M13,$G$2:$G$5001,"Sim"),SUMIFS($U$2:$U$5001,$C$2:$C$5001,$M13,$G$2:$G$5001,"Sim",$B$2:$B$5001,"&lt;="&amp;MEMORIA_RESULTADOS!$T$31))</f>
        <v>0</v>
      </c>
      <c r="Q13" s="358">
        <f>IF(MEMORIA_RESULTADOS!$T$31="",SUMIFS($H$2:$H$5001,$C$2:$C$5001,$M13,$G$2:$G$5001,"Sim"),SUMIFS($H$2:$H$5001,$C$2:$C$5001,$M13,$G$2:$G$5001,"Sim",$B$2:$B$5001,"&lt;="&amp;MEMORIA_RESULTADOS!$T$31))</f>
        <v>0</v>
      </c>
      <c r="R13" s="358">
        <f>IF(MEMORIA_RESULTADOS!$T$31="",SUMIFS($I$2:$I$5001,$C$2:$C$5001,$M13),SUMIFS($I$2:$I$5001,$C$2:$C$5001,$M13,$B$2:$B$5001,"&lt;="&amp;MEMORIA_RESULTADOS!$T$31))</f>
        <v>0</v>
      </c>
      <c r="S13" s="358">
        <f>IF(MEMORIA_RESULTADOS!$T$31="",SUMIFS($J$2:$J$5001,$C$2:$C$5001,$M13),SUMIFS($J$2:$J$5001,$C$2:$C$5001,$M13,$B$2:$B$5001,"&lt;="&amp;MEMORIA_RESULTADOS!$T$31))</f>
        <v>0</v>
      </c>
      <c r="T13" s="358">
        <f>IF(MEMORIA_RESULTADOS!$T$31="",0,SUMIFS($D$2:$D$5001,$C$2:$C$5001,$M13,$B$2:$B$5001,"&gt;"&amp;MEMORIA_RESULTADOS!$T$31))</f>
        <v>0</v>
      </c>
      <c r="U13" s="353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1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7" t="s">
        <v>23</v>
      </c>
      <c r="N14" s="357">
        <f>IF(MEMORIA_RESULTADOS!$T$31="",COUNTIFS($C$2:$C$5001,$M14,$G$2:$G$5001,"Sim"),COUNTIFS($C$2:$C$5001,$M14,$G$2:$G$5001,"Sim",$B$2:$B$5001,"&lt;="&amp;MEMORIA_RESULTADOS!$T$31))</f>
        <v>0</v>
      </c>
      <c r="O14" s="358">
        <f>IF(MEMORIA_RESULTADOS!$T$31="",SUMIFS($D$2:$D$5001,$C$2:$C$5001,$M14,$G$2:$G$5001,"Sim"),SUMIFS($D$2:$D$5001,$C$2:$C$5001,$M14,$G$2:$G$5001,"Sim",$B$2:$B$5001,"&lt;="&amp;MEMORIA_RESULTADOS!$T$31))</f>
        <v>0</v>
      </c>
      <c r="P14" s="358">
        <f>IF(MEMORIA_RESULTADOS!$T$31="",SUMIFS($U$2:$U$5001,$C$2:$C$5001,$M14,$G$2:$G$5001,"Sim"),SUMIFS($U$2:$U$5001,$C$2:$C$5001,$M14,$G$2:$G$5001,"Sim",$B$2:$B$5001,"&lt;="&amp;MEMORIA_RESULTADOS!$T$31))</f>
        <v>0</v>
      </c>
      <c r="Q14" s="358">
        <f>IF(MEMORIA_RESULTADOS!$T$31="",SUMIFS($H$2:$H$5001,$C$2:$C$5001,$M14,$G$2:$G$5001,"Sim"),SUMIFS($H$2:$H$5001,$C$2:$C$5001,$M14,$G$2:$G$5001,"Sim",$B$2:$B$5001,"&lt;="&amp;MEMORIA_RESULTADOS!$T$31))</f>
        <v>0</v>
      </c>
      <c r="R14" s="358">
        <f>IF(MEMORIA_RESULTADOS!$T$31="",SUMIFS($I$2:$I$5001,$C$2:$C$5001,$M14),SUMIFS($I$2:$I$5001,$C$2:$C$5001,$M14,$B$2:$B$5001,"&lt;="&amp;MEMORIA_RESULTADOS!$T$31))</f>
        <v>0</v>
      </c>
      <c r="S14" s="358">
        <f>IF(MEMORIA_RESULTADOS!$T$31="",SUMIFS($J$2:$J$5001,$C$2:$C$5001,$M14),SUMIFS($J$2:$J$5001,$C$2:$C$5001,$M14,$B$2:$B$5001,"&lt;="&amp;MEMORIA_RESULTADOS!$T$31))</f>
        <v>0</v>
      </c>
      <c r="T14" s="358">
        <f>IF(MEMORIA_RESULTADOS!$T$31="",0,SUMIFS($D$2:$D$5001,$C$2:$C$5001,$M14,$B$2:$B$5001,"&gt;"&amp;MEMORIA_RESULTADOS!$T$31))</f>
        <v>0</v>
      </c>
      <c r="U14" s="353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1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7" t="s">
        <v>24</v>
      </c>
      <c r="N15" s="357">
        <f>IF(MEMORIA_RESULTADOS!$T$31="",COUNTIFS($C$2:$C$5001,$M15,$G$2:$G$5001,"Sim"),COUNTIFS($C$2:$C$5001,$M15,$G$2:$G$5001,"Sim",$B$2:$B$5001,"&lt;="&amp;MEMORIA_RESULTADOS!$T$31))</f>
        <v>0</v>
      </c>
      <c r="O15" s="358">
        <f>IF(MEMORIA_RESULTADOS!$T$31="",SUMIFS($D$2:$D$5001,$C$2:$C$5001,$M15,$G$2:$G$5001,"Sim"),SUMIFS($D$2:$D$5001,$C$2:$C$5001,$M15,$G$2:$G$5001,"Sim",$B$2:$B$5001,"&lt;="&amp;MEMORIA_RESULTADOS!$T$31))</f>
        <v>0</v>
      </c>
      <c r="P15" s="358">
        <f>IF(MEMORIA_RESULTADOS!$T$31="",SUMIFS($U$2:$U$5001,$C$2:$C$5001,$M15,$G$2:$G$5001,"Sim"),SUMIFS($U$2:$U$5001,$C$2:$C$5001,$M15,$G$2:$G$5001,"Sim",$B$2:$B$5001,"&lt;="&amp;MEMORIA_RESULTADOS!$T$31))</f>
        <v>0</v>
      </c>
      <c r="Q15" s="358">
        <f>IF(MEMORIA_RESULTADOS!$T$31="",SUMIFS($H$2:$H$5001,$C$2:$C$5001,$M15,$G$2:$G$5001,"Sim"),SUMIFS($H$2:$H$5001,$C$2:$C$5001,$M15,$G$2:$G$5001,"Sim",$B$2:$B$5001,"&lt;="&amp;MEMORIA_RESULTADOS!$T$31))</f>
        <v>0</v>
      </c>
      <c r="R15" s="358">
        <f>IF(MEMORIA_RESULTADOS!$T$31="",SUMIFS($I$2:$I$5001,$C$2:$C$5001,$M15),SUMIFS($I$2:$I$5001,$C$2:$C$5001,$M15,$B$2:$B$5001,"&lt;="&amp;MEMORIA_RESULTADOS!$T$31))</f>
        <v>0</v>
      </c>
      <c r="S15" s="358">
        <f>IF(MEMORIA_RESULTADOS!$T$31="",SUMIFS($J$2:$J$5001,$C$2:$C$5001,$M15),SUMIFS($J$2:$J$5001,$C$2:$C$5001,$M15,$B$2:$B$5001,"&lt;="&amp;MEMORIA_RESULTADOS!$T$31))</f>
        <v>0</v>
      </c>
      <c r="T15" s="358">
        <f>IF(MEMORIA_RESULTADOS!$T$31="",0,SUMIFS($D$2:$D$5001,$C$2:$C$5001,$M15,$B$2:$B$5001,"&gt;"&amp;MEMORIA_RESULTADOS!$T$31))</f>
        <v>0</v>
      </c>
      <c r="U15" s="353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1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7" t="s">
        <v>25</v>
      </c>
      <c r="N16" s="357">
        <f>IF(MEMORIA_RESULTADOS!$T$31="",COUNTIFS($C$2:$C$5001,$M16,$G$2:$G$5001,"Sim"),COUNTIFS($C$2:$C$5001,$M16,$G$2:$G$5001,"Sim",$B$2:$B$5001,"&lt;="&amp;MEMORIA_RESULTADOS!$T$31))</f>
        <v>0</v>
      </c>
      <c r="O16" s="358">
        <f>IF(MEMORIA_RESULTADOS!$T$31="",SUMIFS($D$2:$D$5001,$C$2:$C$5001,$M16,$G$2:$G$5001,"Sim"),SUMIFS($D$2:$D$5001,$C$2:$C$5001,$M16,$G$2:$G$5001,"Sim",$B$2:$B$5001,"&lt;="&amp;MEMORIA_RESULTADOS!$T$31))</f>
        <v>0</v>
      </c>
      <c r="P16" s="358">
        <f>IF(MEMORIA_RESULTADOS!$T$31="",SUMIFS($U$2:$U$5001,$C$2:$C$5001,$M16,$G$2:$G$5001,"Sim"),SUMIFS($U$2:$U$5001,$C$2:$C$5001,$M16,$G$2:$G$5001,"Sim",$B$2:$B$5001,"&lt;="&amp;MEMORIA_RESULTADOS!$T$31))</f>
        <v>0</v>
      </c>
      <c r="Q16" s="358">
        <f>IF(MEMORIA_RESULTADOS!$T$31="",SUMIFS($H$2:$H$5001,$C$2:$C$5001,$M16,$G$2:$G$5001,"Sim"),SUMIFS($H$2:$H$5001,$C$2:$C$5001,$M16,$G$2:$G$5001,"Sim",$B$2:$B$5001,"&lt;="&amp;MEMORIA_RESULTADOS!$T$31))</f>
        <v>0</v>
      </c>
      <c r="R16" s="358">
        <f>IF(MEMORIA_RESULTADOS!$T$31="",SUMIFS($I$2:$I$5001,$C$2:$C$5001,$M16),SUMIFS($I$2:$I$5001,$C$2:$C$5001,$M16,$B$2:$B$5001,"&lt;="&amp;MEMORIA_RESULTADOS!$T$31))</f>
        <v>0</v>
      </c>
      <c r="S16" s="358">
        <f>IF(MEMORIA_RESULTADOS!$T$31="",SUMIFS($J$2:$J$5001,$C$2:$C$5001,$M16),SUMIFS($J$2:$J$5001,$C$2:$C$5001,$M16,$B$2:$B$5001,"&lt;="&amp;MEMORIA_RESULTADOS!$T$31))</f>
        <v>0</v>
      </c>
      <c r="T16" s="358">
        <f>IF(MEMORIA_RESULTADOS!$T$31="",0,SUMIFS($D$2:$D$5001,$C$2:$C$5001,$M16,$B$2:$B$5001,"&gt;"&amp;MEMORIA_RESULTADOS!$T$31))</f>
        <v>0</v>
      </c>
      <c r="U16" s="353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x14ac:dyDescent="0.35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1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74" t="s">
        <v>530</v>
      </c>
      <c r="N17" s="359">
        <f>IF(MEMORIA_RESULTADOS!$T$31="",COUNTIF($G$2:$G$5001,"Sim")-SUM(N12:N16),COUNTIFS($G$2:$G$5001,"Sim",$B$2:$B$5001,"&lt;="&amp;MEMORIA_RESULTADOS!$T$31)-SUM(N12:N16))</f>
        <v>0</v>
      </c>
      <c r="O17" s="360">
        <f>IF(MEMORIA_RESULTADOS!$T$31="",SUMIFS($D$2:$D$5001,$G$2:$G$5001,"Sim")-SUM(O12:O16),SUMIFS($D$2:$D$5001,$G$2:$G$5001,"Sim",$B$2:$B$5001,"&lt;="&amp;MEMORIA_RESULTADOS!$T$31)-SUM(O12:O16))</f>
        <v>0</v>
      </c>
      <c r="P17" s="360">
        <f>IF(MEMORIA_RESULTADOS!$T$31="",SUMIFS($U$2:$U$5001,$G$2:$G$5001,"Sim")-SUM(P12:P16),SUMIFS($U$2:$U$5001,$G$2:$G$5001,"Sim",$B$2:$B$5001,"&lt;="&amp;MEMORIA_RESULTADOS!$T$31)-SUM(P12:P16))</f>
        <v>0</v>
      </c>
      <c r="Q17" s="360">
        <f>IF(MEMORIA_RESULTADOS!$T$31="",SUMIFS($H$2:$H$5001,$G$2:$G$5001,"Sim")-SUM(Q12:Q16),SUMIFS($H$2:$H$5001,$G$2:$G$5001,"Sim",$B$2:$B$5001,"&lt;="&amp;MEMORIA_RESULTADOS!$T$31)-SUM(Q12:Q16))</f>
        <v>0</v>
      </c>
      <c r="R17" s="360">
        <f>IF(MEMORIA_RESULTADOS!$T$31="",SUM($I$2:$I$5001)-SUM(R12:R16),SUMIFS($I$2:$I$5001,$B$2:$B$5001,"&lt;="&amp;MEMORIA_RESULTADOS!$T$31)-SUM(R12:R16))</f>
        <v>0</v>
      </c>
      <c r="S17" s="360">
        <f>IF(MEMORIA_RESULTADOS!$T$31="",SUM($J$2:$J$5001)-SUM(S12:S16),SUMIFS($J$2:$J$5001,$B$2:$B$5001,"&lt;="&amp;MEMORIA_RESULTADOS!$T$31)-SUM(S12:S16))</f>
        <v>0</v>
      </c>
      <c r="T17" s="360">
        <f>IF(MEMORIA_RESULTADOS!$T$31="",0,SUMIFS($D$2:$D$5001,$B$2:$B$5001,"&gt;"&amp;MEMORIA_RESULTADOS!$T$31)-SUM(T12:T16))</f>
        <v>0</v>
      </c>
      <c r="U17" s="353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x14ac:dyDescent="0.35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1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470" t="s">
        <v>26</v>
      </c>
      <c r="N18" s="470">
        <f t="shared" ref="N18:T18" si="6">SUM(N12:N17)</f>
        <v>0</v>
      </c>
      <c r="O18" s="471">
        <f t="shared" si="6"/>
        <v>0</v>
      </c>
      <c r="P18" s="471">
        <f t="shared" si="6"/>
        <v>0</v>
      </c>
      <c r="Q18" s="471">
        <f t="shared" si="6"/>
        <v>0</v>
      </c>
      <c r="R18" s="471">
        <f t="shared" si="6"/>
        <v>0</v>
      </c>
      <c r="S18" s="471">
        <f t="shared" si="6"/>
        <v>0</v>
      </c>
      <c r="T18" s="471">
        <f t="shared" si="6"/>
        <v>0</v>
      </c>
      <c r="U18" s="353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1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75" t="str">
        <f>"RETROATIVO CONSIDERADO NO VTA = RECONHECIDO R$ "&amp;TEXT(N($Q$18),"#.##0,00")&amp;"  +  POTENCIAL INCORPORADO R$ "&amp;TEXT(N(MEMORIA_RESULTADOS!$T$39),"#.##0,00")&amp;"   (só o potencial dos ciclos já encerrados entra no VTA)"</f>
        <v>RETROATIVO CONSIDERADO NO VTA = RECONHECIDO R$ 0,00  +  POTENCIAL INCORPORADO R$ 0,00   (só o potencial dos ciclos já encerrados entra no VTA)</v>
      </c>
      <c r="N19" s="475"/>
      <c r="O19" s="475"/>
      <c r="P19" s="475"/>
      <c r="Q19" s="475"/>
      <c r="R19" s="475"/>
      <c r="S19" s="476">
        <f>ROUND(N($Q$18)+N(MEMORIA_RESULTADOS!$T$39),2)</f>
        <v>0</v>
      </c>
      <c r="T19" s="476"/>
      <c r="U19" s="353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472" t="s">
        <v>487</v>
      </c>
      <c r="N20" s="473"/>
      <c r="O20" s="473"/>
      <c r="P20" s="473"/>
      <c r="Q20" s="473"/>
      <c r="R20" s="473"/>
      <c r="S20" s="473"/>
      <c r="T20" s="474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386" t="s">
        <v>488</v>
      </c>
      <c r="N21" s="387"/>
      <c r="O21" s="387"/>
      <c r="P21" s="387"/>
      <c r="Q21" s="387"/>
      <c r="R21" s="387"/>
      <c r="S21" s="387"/>
      <c r="T21" s="388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386" t="s">
        <v>531</v>
      </c>
      <c r="N22" s="387"/>
      <c r="O22" s="387"/>
      <c r="P22" s="387"/>
      <c r="Q22" s="387"/>
      <c r="R22" s="387"/>
      <c r="S22" s="387"/>
      <c r="T22" s="388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386" t="s">
        <v>489</v>
      </c>
      <c r="N23" s="387"/>
      <c r="O23" s="387"/>
      <c r="P23" s="387"/>
      <c r="Q23" s="387"/>
      <c r="R23" s="387"/>
      <c r="S23" s="387"/>
      <c r="T23" s="388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386" t="s">
        <v>490</v>
      </c>
      <c r="N24" s="387"/>
      <c r="O24" s="387"/>
      <c r="P24" s="387"/>
      <c r="Q24" s="387"/>
      <c r="R24" s="387"/>
      <c r="S24" s="387"/>
      <c r="T24" s="388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386" t="s">
        <v>491</v>
      </c>
      <c r="N25" s="387"/>
      <c r="O25" s="387"/>
      <c r="P25" s="387"/>
      <c r="Q25" s="387"/>
      <c r="R25" s="387"/>
      <c r="S25" s="387"/>
      <c r="T25" s="388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386" t="s">
        <v>492</v>
      </c>
      <c r="N26" s="387"/>
      <c r="O26" s="387"/>
      <c r="P26" s="387"/>
      <c r="Q26" s="387"/>
      <c r="R26" s="387"/>
      <c r="S26" s="387"/>
      <c r="T26" s="388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386" t="s">
        <v>532</v>
      </c>
      <c r="N27" s="387"/>
      <c r="O27" s="387"/>
      <c r="P27" s="387"/>
      <c r="Q27" s="387"/>
      <c r="R27" s="387"/>
      <c r="S27" s="387"/>
      <c r="T27" s="388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386" t="s">
        <v>533</v>
      </c>
      <c r="N28" s="387"/>
      <c r="O28" s="387"/>
      <c r="P28" s="387"/>
      <c r="Q28" s="387"/>
      <c r="R28" s="387"/>
      <c r="S28" s="387"/>
      <c r="T28" s="388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386" t="s">
        <v>493</v>
      </c>
      <c r="N29" s="387"/>
      <c r="O29" s="387"/>
      <c r="P29" s="387"/>
      <c r="Q29" s="387"/>
      <c r="R29" s="387"/>
      <c r="S29" s="387"/>
      <c r="T29" s="388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27:T27"/>
    <mergeCell ref="M28:T28"/>
    <mergeCell ref="M29:T29"/>
    <mergeCell ref="M23:T23"/>
    <mergeCell ref="M24:T24"/>
    <mergeCell ref="M25:T25"/>
    <mergeCell ref="M26:T26"/>
    <mergeCell ref="M1:T1"/>
    <mergeCell ref="M10:T10"/>
    <mergeCell ref="M20:T20"/>
    <mergeCell ref="M21:T21"/>
    <mergeCell ref="M22:T22"/>
    <mergeCell ref="M19:R19"/>
    <mergeCell ref="S19:T19"/>
  </mergeCells>
  <conditionalFormatting sqref="A2:L5001">
    <cfRule type="expression" dxfId="51" priority="1" stopIfTrue="1">
      <formula>AND(OR($A2&lt;&gt;"",$B2&lt;&gt;"",$D2&lt;&gt;"",$G2&lt;&gt;""),$L2="")</formula>
    </cfRule>
    <cfRule type="expression" dxfId="50" priority="2">
      <formula>$L2="Nao"</formula>
    </cfRule>
  </conditionalFormatting>
  <conditionalFormatting sqref="S3:S9">
    <cfRule type="expression" dxfId="49" priority="3" stopIfTrue="1">
      <formula>N($S3)&lt;&gt;0</formula>
    </cfRule>
  </conditionalFormatting>
  <conditionalFormatting sqref="S12:S18">
    <cfRule type="expression" dxfId="48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473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7" priority="7">
      <formula>OR(LEFT(UPPER($D2),6)="SUPRES",LEFT(UPPER($D2),4)="DECR")</formula>
    </cfRule>
    <cfRule type="expression" dxfId="46" priority="7">
      <formula>OR(LEFT(UPPER($D2),6)="SUPRES",LEFT(UPPER($D2),4)="DECR")</formula>
    </cfRule>
  </conditionalFormatting>
  <conditionalFormatting sqref="C2:C200">
    <cfRule type="expression" dxfId="45" priority="15">
      <formula>UPPER($C2)="C0"</formula>
    </cfRule>
    <cfRule type="expression" dxfId="44" priority="15">
      <formula>UPPER($C2)="C1"</formula>
    </cfRule>
    <cfRule type="expression" dxfId="43" priority="15">
      <formula>UPPER($C2)="C2"</formula>
    </cfRule>
    <cfRule type="expression" dxfId="42" priority="15">
      <formula>UPPER($C2)="C3"</formula>
    </cfRule>
    <cfRule type="expression" dxfId="41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40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91" t="s">
        <v>198</v>
      </c>
      <c r="B1" s="391" t="s">
        <v>199</v>
      </c>
      <c r="C1" s="392"/>
      <c r="D1" s="392"/>
      <c r="E1" s="392"/>
      <c r="F1" s="392"/>
      <c r="G1" s="392"/>
      <c r="H1" s="392"/>
      <c r="I1" s="392"/>
      <c r="J1" s="392"/>
      <c r="K1" s="392"/>
      <c r="L1" s="392"/>
      <c r="M1" s="392"/>
      <c r="N1" s="392"/>
      <c r="O1" s="392"/>
      <c r="P1" s="393"/>
      <c r="Q1" s="389" t="s">
        <v>200</v>
      </c>
      <c r="R1" s="390"/>
      <c r="S1" s="390"/>
      <c r="T1" s="390"/>
      <c r="U1" s="390"/>
      <c r="V1" s="390"/>
      <c r="W1" s="390"/>
      <c r="X1" s="390"/>
      <c r="Y1" s="390"/>
      <c r="Z1" s="394" t="s">
        <v>201</v>
      </c>
      <c r="AA1" s="390"/>
      <c r="AB1" s="390"/>
      <c r="AC1" s="390"/>
      <c r="AE1" s="395" t="s">
        <v>202</v>
      </c>
    </row>
    <row r="2" spans="1:31" ht="43.5" customHeight="1" x14ac:dyDescent="0.35">
      <c r="A2" s="396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390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9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8">
        <f ca="1">IF(CONTROLE!$B$14="","",CONTROLE!$B$14)</f>
        <v>46270.474071759258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5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9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5" t="s">
        <v>257</v>
      </c>
    </row>
    <row r="15" spans="1:3" x14ac:dyDescent="0.35">
      <c r="A15" s="6" t="s">
        <v>258</v>
      </c>
      <c r="B15" s="309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5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1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97" t="s">
        <v>268</v>
      </c>
      <c r="B25" s="398"/>
      <c r="C25" s="399"/>
    </row>
    <row r="26" spans="1:3" x14ac:dyDescent="0.35">
      <c r="A26" s="311" t="s">
        <v>269</v>
      </c>
      <c r="B26" s="404" t="s">
        <v>270</v>
      </c>
      <c r="C26" s="405"/>
    </row>
    <row r="27" spans="1:3" x14ac:dyDescent="0.35">
      <c r="A27" s="312" t="s">
        <v>271</v>
      </c>
      <c r="B27" s="406" t="s">
        <v>272</v>
      </c>
      <c r="C27" s="403"/>
    </row>
    <row r="28" spans="1:3" x14ac:dyDescent="0.35">
      <c r="A28" s="313" t="s">
        <v>273</v>
      </c>
      <c r="B28" s="402" t="s">
        <v>274</v>
      </c>
      <c r="C28" s="403"/>
    </row>
    <row r="29" spans="1:3" x14ac:dyDescent="0.35">
      <c r="A29" s="314" t="s">
        <v>275</v>
      </c>
      <c r="B29" s="400" t="s">
        <v>276</v>
      </c>
      <c r="C29" s="401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07" t="s">
        <v>277</v>
      </c>
      <c r="B1" s="390"/>
      <c r="C1" s="390"/>
      <c r="D1" s="390"/>
      <c r="E1" s="390"/>
      <c r="F1" s="390"/>
      <c r="G1" s="390"/>
      <c r="H1" s="390"/>
      <c r="I1" s="390"/>
      <c r="J1" s="390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14" t="s">
        <v>281</v>
      </c>
      <c r="B2" s="390"/>
      <c r="C2" s="390"/>
      <c r="D2" s="390"/>
      <c r="E2" s="390"/>
      <c r="F2" s="390"/>
      <c r="G2" s="390"/>
      <c r="H2" s="390"/>
      <c r="I2" s="390"/>
      <c r="J2" s="390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15" t="str">
        <f>IF(AND(RESULTADOS!$G$43="Sim",RESULTADOS!$D$43&lt;&gt;""),RESULTADOS!$D$43,"")</f>
        <v/>
      </c>
      <c r="E5" s="416"/>
      <c r="F5" s="416"/>
      <c r="G5" s="416"/>
      <c r="H5" s="416"/>
      <c r="I5" s="416"/>
      <c r="J5" s="417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12" t="s">
        <v>289</v>
      </c>
      <c r="B6" s="390"/>
      <c r="C6" s="390"/>
      <c r="D6" s="390"/>
      <c r="E6" s="390"/>
      <c r="F6" s="390"/>
      <c r="G6" s="390"/>
      <c r="H6" s="390"/>
      <c r="I6" s="390"/>
      <c r="J6" s="390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11" t="s">
        <v>290</v>
      </c>
      <c r="B8" s="390"/>
      <c r="C8" s="390"/>
      <c r="D8" s="390"/>
      <c r="E8" s="390"/>
      <c r="F8" s="390"/>
      <c r="G8" s="390"/>
      <c r="H8" s="390"/>
      <c r="I8" s="390"/>
      <c r="J8" s="390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IF(COUNTIFS(itens_Consumidos!$E$2:$E$200,"&gt;0")=0,"",0)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13" t="s">
        <v>300</v>
      </c>
      <c r="B17" s="390"/>
      <c r="C17" s="390"/>
      <c r="D17" s="390"/>
      <c r="E17" s="390"/>
      <c r="F17" s="390"/>
      <c r="G17" s="390"/>
      <c r="H17" s="390"/>
      <c r="I17" s="390"/>
      <c r="J17" s="390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11" t="s">
        <v>301</v>
      </c>
      <c r="B19" s="390"/>
      <c r="C19" s="390"/>
      <c r="D19" s="390"/>
      <c r="E19" s="390"/>
      <c r="F19" s="390"/>
      <c r="G19" s="390"/>
      <c r="H19" s="390"/>
      <c r="I19" s="390"/>
      <c r="J19" s="390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463</v>
      </c>
      <c r="D20" s="58" t="str">
        <f>IF(COUNTIF(financeiro!$C$2:$C$73,"&lt;&gt;")=0,"",ROUND(SUM(financeiro!$C$2:$C$73),2))</f>
        <v/>
      </c>
      <c r="E20" s="58" t="s">
        <v>466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15" t="str">
        <f>IF(AND(RESULTADOS!$G$44="Sim",RESULTADOS!$D$44&lt;&gt;""),RESULTADOS!$D$44,"")</f>
        <v/>
      </c>
      <c r="E24" s="416"/>
      <c r="F24" s="416"/>
      <c r="G24" s="416"/>
      <c r="H24" s="416"/>
      <c r="I24" s="416"/>
      <c r="J24" s="417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15" t="str">
        <f>IF(AND(RESULTADOS!$G$45="Sim",RESULTADOS!$D$45&lt;&gt;""),RESULTADOS!$D$45,"")</f>
        <v/>
      </c>
      <c r="E25" s="416"/>
      <c r="F25" s="416"/>
      <c r="G25" s="416"/>
      <c r="H25" s="416"/>
      <c r="I25" s="416"/>
      <c r="J25" s="417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20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16"/>
      <c r="G26" s="416"/>
      <c r="H26" s="416"/>
      <c r="I26" s="416"/>
      <c r="J26" s="417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14" t="s">
        <v>319</v>
      </c>
      <c r="B27" s="390"/>
      <c r="C27" s="390"/>
      <c r="D27" s="390"/>
      <c r="E27" s="390"/>
      <c r="F27" s="390"/>
      <c r="G27" s="390"/>
      <c r="H27" s="390"/>
      <c r="I27" s="390"/>
      <c r="J27" s="390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11" t="s">
        <v>326</v>
      </c>
      <c r="B30" s="390"/>
      <c r="C30" s="390"/>
      <c r="D30" s="390"/>
      <c r="E30" s="390"/>
      <c r="F30" s="390"/>
      <c r="G30" s="390"/>
      <c r="H30" s="390"/>
      <c r="I30" s="390"/>
      <c r="J30" s="390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08"/>
      <c r="C36" s="409"/>
      <c r="D36" s="409"/>
      <c r="E36" s="410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472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536</v>
      </c>
      <c r="T39" s="375">
        <f>MAX($T$41,0)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11" t="s">
        <v>346</v>
      </c>
      <c r="B40" s="390"/>
      <c r="C40" s="390"/>
      <c r="D40" s="390"/>
      <c r="E40" s="390"/>
      <c r="F40" s="390"/>
      <c r="G40" s="390"/>
      <c r="H40" s="390"/>
      <c r="I40" s="390"/>
      <c r="J40" s="390"/>
      <c r="K40" s="57"/>
      <c r="L40" s="57"/>
      <c r="M40" s="57"/>
      <c r="N40" s="57"/>
      <c r="O40" s="57"/>
      <c r="P40" s="57"/>
      <c r="Q40" s="57"/>
      <c r="S40" t="s">
        <v>537</v>
      </c>
      <c r="T40" s="375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538</v>
      </c>
      <c r="T41" s="375">
        <f>IF($T$20="",0,ROUND(SUMPRODUCT((ROW(itens_PC!$S$12:$S$16)-12&gt;=1)*(ROW(itens_PC!$S$12:$S$16)-12&lt;$T$20)*(itens_PC!$S$12:$S$16)),2))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12"/>
      <c r="B48" s="390"/>
      <c r="C48" s="390"/>
      <c r="D48" s="390"/>
      <c r="E48" s="390"/>
      <c r="F48" s="390"/>
      <c r="G48" s="390"/>
      <c r="H48" s="390"/>
      <c r="I48" s="390"/>
      <c r="J48" s="390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12"/>
      <c r="B49" s="390"/>
      <c r="C49" s="390"/>
      <c r="D49" s="390"/>
      <c r="E49" s="390"/>
      <c r="F49" s="390"/>
      <c r="G49" s="390"/>
      <c r="H49" s="390"/>
      <c r="I49" s="390"/>
      <c r="J49" s="390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18" t="s">
        <v>374</v>
      </c>
      <c r="B52" s="419"/>
      <c r="C52" s="419"/>
      <c r="D52" s="419"/>
      <c r="E52" s="419"/>
      <c r="F52" s="419"/>
      <c r="G52" s="419"/>
      <c r="H52" s="419"/>
      <c r="I52" s="57"/>
      <c r="J52" s="418" t="s">
        <v>375</v>
      </c>
      <c r="K52" s="419"/>
      <c r="L52" s="419"/>
      <c r="M52" s="419"/>
      <c r="N52" s="419"/>
      <c r="O52" s="419"/>
      <c r="P52" s="419"/>
      <c r="Q52" s="419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455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456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457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458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459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460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461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462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8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7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6" priority="4">
      <formula>OR(ISNUMBER(SEARCH("MANUAL",F36)),ISNUMBER(SEARCH("DIVERGENTE",F36)),ISNUMBER(SEARCH("INCOMPLETO",F36)))</formula>
    </cfRule>
  </conditionalFormatting>
  <conditionalFormatting sqref="J4">
    <cfRule type="expression" dxfId="35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4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50" t="s">
        <v>277</v>
      </c>
      <c r="B1" s="450"/>
      <c r="C1" s="450"/>
      <c r="D1" s="450"/>
      <c r="E1" s="450"/>
      <c r="F1" s="450"/>
      <c r="G1" s="451" t="str">
        <f ca="1">$B$3</f>
        <v>REVISE</v>
      </c>
      <c r="H1" s="452"/>
    </row>
    <row r="2" spans="1:10" ht="90.5" customHeight="1" x14ac:dyDescent="0.3">
      <c r="A2" s="453" t="s">
        <v>449</v>
      </c>
      <c r="B2" s="453"/>
      <c r="C2" s="453"/>
      <c r="D2" s="453"/>
      <c r="E2" s="453"/>
      <c r="F2" s="453"/>
      <c r="G2" s="454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54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7"/>
      <c r="E3" s="248" t="str">
        <f>$F$5</f>
        <v/>
      </c>
      <c r="F3" s="287"/>
      <c r="G3" s="457" t="str">
        <f>$D$6</f>
        <v/>
      </c>
      <c r="H3" s="458"/>
      <c r="J3" s="244" t="s">
        <v>47</v>
      </c>
    </row>
    <row r="4" spans="1:10" ht="18" customHeight="1" x14ac:dyDescent="0.3">
      <c r="A4" s="288" t="str">
        <f>IF(MEMORIA_RESULTADOS!$B$4="PCs","VTA OFICIAL — inclui retroativo reconhecido + retroativo potencial","VTA OFICIAL")</f>
        <v>VTA OFICIAL</v>
      </c>
      <c r="B4" s="289"/>
      <c r="C4" s="317" t="str">
        <f>$H$8</f>
        <v>REVISE</v>
      </c>
      <c r="D4" s="318" t="s">
        <v>541</v>
      </c>
      <c r="E4" s="319" t="str">
        <f>$H$14</f>
        <v>REVISE</v>
      </c>
      <c r="F4" s="318" t="s">
        <v>454</v>
      </c>
      <c r="G4" s="290"/>
      <c r="H4" s="320" t="str">
        <f ca="1">$H$33</f>
        <v>REVISE</v>
      </c>
    </row>
    <row r="5" spans="1:10" ht="34" customHeight="1" x14ac:dyDescent="0.3">
      <c r="A5" s="291"/>
      <c r="B5" s="249" t="str">
        <f>MEMORIA_RESULTADOS!$B$4</f>
        <v>SELECIONE O METODO EM CONTROLE!B1</v>
      </c>
      <c r="C5" s="329" t="str">
        <f>IF(VTA_FINAL="","",VTA_FINAL)</f>
        <v/>
      </c>
      <c r="D5" s="459" t="str">
        <f>$D$22</f>
        <v/>
      </c>
      <c r="E5" s="460"/>
      <c r="F5" s="250" t="str">
        <f>IF(CONTROLE!$B$3="","",CONTROLE!$B$3)</f>
        <v/>
      </c>
      <c r="G5" s="296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2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1"/>
      <c r="D6" s="250" t="str">
        <f>IF($H$5="","",$H$5-1)</f>
        <v/>
      </c>
      <c r="E6" s="322" t="str">
        <f>IF($D$22&lt;&gt;"",IF($J$11="","Ciclos apurados","Ciclos apurados — "&amp;$J$11),IF($J$6=0,"SELECIONE O MÉTODO NA ABA CONTROLE","INFORME A BASE DO MÉTODO"))</f>
        <v>SELECIONE O MÉTODO NA ABA CONTROLE</v>
      </c>
      <c r="F6" s="323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3"/>
      <c r="H6" s="294"/>
      <c r="J6" s="252">
        <f>IF(OR($B$5="Financeiro",$B$5="PCs",$B$5="Itens"),1,0)</f>
        <v>0</v>
      </c>
    </row>
    <row r="7" spans="1:10" ht="20" customHeight="1" x14ac:dyDescent="0.3">
      <c r="A7" s="295" t="str">
        <f ca="1">IF($J$5=0,"APURAÇÃO CONCLUÍDA","PENDÊNCIAS PARA CONCLUSÃO:")</f>
        <v>PENDÊNCIAS PARA CONCLUSÃO:</v>
      </c>
      <c r="B7" s="455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56"/>
      <c r="D7" s="456"/>
      <c r="E7" s="456"/>
      <c r="F7" s="456"/>
      <c r="G7" s="456"/>
      <c r="H7" s="456"/>
    </row>
    <row r="8" spans="1:10" ht="15" customHeight="1" x14ac:dyDescent="0.3">
      <c r="A8" s="477" t="str">
        <f>IF(MEMORIA_RESULTADOS!$B$4&lt;&gt;"PCs","","RETROATIVO POTENCIAL — POTENCIAL (incorporado ao VTA)")</f>
        <v/>
      </c>
      <c r="B8" s="477"/>
      <c r="C8" s="478" t="str">
        <f>IF(MEMORIA_RESULTADOS!$B$4&lt;&gt;"PCs","",IFERROR(RETROATIVO_POTENCIAL_VTA,""))</f>
        <v/>
      </c>
      <c r="D8" s="479" t="str">
        <f>IF(MEMORIA_RESULTADOS!$B$4&lt;&gt;"PCs","","RETROATIVO CONSIDERADO NO VTA")</f>
        <v/>
      </c>
      <c r="E8" s="480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6" t="str">
        <f>UPPER(CONTROLE!$B$2)</f>
        <v/>
      </c>
    </row>
    <row r="9" spans="1:10" ht="24" customHeight="1" x14ac:dyDescent="0.3">
      <c r="A9" s="421" t="s">
        <v>494</v>
      </c>
      <c r="B9" s="421"/>
      <c r="C9" s="421"/>
      <c r="D9" s="421"/>
      <c r="E9" s="421"/>
      <c r="F9" s="421"/>
      <c r="G9" s="421"/>
      <c r="H9" s="421"/>
      <c r="J9" s="252">
        <f>COUNTIF(parametros!$A$3:$A$6,"Sim")</f>
        <v>0</v>
      </c>
    </row>
    <row r="10" spans="1:10" ht="46" hidden="1" customHeight="1" x14ac:dyDescent="0.3">
      <c r="A10" s="257" t="s">
        <v>518</v>
      </c>
      <c r="B10" s="258" t="str">
        <f ca="1">IF(MEMORIA_RESULTADOS!$W$50="","",MEMORIA_RESULTADOS!$W$50)</f>
        <v/>
      </c>
      <c r="C10" s="448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49"/>
      <c r="E10" s="449"/>
      <c r="F10" s="448" t="s">
        <v>519</v>
      </c>
      <c r="G10" s="449"/>
      <c r="H10" s="30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7" t="s">
        <v>520</v>
      </c>
      <c r="B11" s="298" t="str">
        <f>IF(MEMORIA_RESULTADOS!$W$48="","",MEMORIA_RESULTADOS!$W$48)</f>
        <v/>
      </c>
      <c r="C11" s="424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25"/>
      <c r="E11" s="425"/>
      <c r="F11" s="424" t="s">
        <v>521</v>
      </c>
      <c r="G11" s="425"/>
      <c r="H11" s="302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7" t="s">
        <v>522</v>
      </c>
      <c r="B12" s="298" t="str">
        <f>IFERROR(comparativo_VTA!$B$208,"")</f>
        <v/>
      </c>
      <c r="C12" s="424" t="s">
        <v>523</v>
      </c>
      <c r="D12" s="425"/>
      <c r="E12" s="425"/>
      <c r="F12" s="424" t="s">
        <v>524</v>
      </c>
      <c r="G12" s="425"/>
      <c r="H12" s="302" t="s">
        <v>428</v>
      </c>
    </row>
    <row r="13" spans="1:10" ht="46" hidden="1" customHeight="1" x14ac:dyDescent="0.3">
      <c r="A13" s="299" t="s">
        <v>525</v>
      </c>
      <c r="B13" s="300" t="str">
        <f ca="1">IF(MEMORIA_RESULTADOS!$W$51="","",MEMORIA_RESULTADOS!$W$51)</f>
        <v/>
      </c>
      <c r="C13" s="428" t="s">
        <v>526</v>
      </c>
      <c r="D13" s="429"/>
      <c r="E13" s="429"/>
      <c r="F13" s="428" t="s">
        <v>527</v>
      </c>
      <c r="G13" s="429"/>
      <c r="H13" s="303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7" t="s">
        <v>495</v>
      </c>
      <c r="B15" s="256" t="str">
        <f>IF($B$5="Financeiro","Valor pago",IF($B$5="PCs","Valor original",IF($B$5="Itens","Valor consumido original","Valor de referência")))</f>
        <v>Valor de referência</v>
      </c>
      <c r="C15" s="256" t="str">
        <f>IF($B$5="Financeiro","Valor devido atualizado",IF($B$5="PCs","Valor atualizado",IF($B$5="Itens","Valor consumido atualizado","Valor atualizado")))</f>
        <v>Valor atualizado</v>
      </c>
      <c r="D15" s="256" t="s">
        <v>498</v>
      </c>
      <c r="E15" s="259"/>
      <c r="F15" s="259"/>
      <c r="G15" s="259"/>
      <c r="H15" s="259"/>
    </row>
    <row r="16" spans="1:10" ht="19" customHeight="1" x14ac:dyDescent="0.3">
      <c r="A16" s="260" t="s">
        <v>21</v>
      </c>
      <c r="B16" s="26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1" t="str">
        <f>IF(OR(B16="",D16=""),"",ROUND(B16+D16,2))</f>
        <v/>
      </c>
      <c r="D16" s="261" t="str">
        <f>IF(B16="","",IF(MEMORIA_RESULTADOS!$E$10="",0,MEMORIA_RESULTADOS!$E$10))</f>
        <v/>
      </c>
      <c r="E16" s="440" t="str">
        <f>IF($A$23="","",$A$23&amp;CHAR(10)&amp;IF($B$5="Financeiro","Valor pago: R$ ","Valor original: R$ ")&amp;ROUND($B$23,2)&amp;"  ·  Valor atualizado: R$ "&amp;ROUND($C$23,2)&amp;"  ·  Diferença: R$ "&amp;ROUND($D$23,2)&amp;CHAR(10)&amp;$E$23)</f>
        <v/>
      </c>
      <c r="F16" s="441"/>
      <c r="G16" s="441"/>
      <c r="H16" s="441"/>
    </row>
    <row r="17" spans="1:8" ht="19" customHeight="1" x14ac:dyDescent="0.3">
      <c r="A17" s="262" t="s">
        <v>22</v>
      </c>
      <c r="B17" s="263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3" t="str">
        <f>IF(OR(B17="",D17=""),"",ROUND(B17+D17,2))</f>
        <v/>
      </c>
      <c r="D17" s="263" t="str">
        <f>IF(B17="","",IF(MEMORIA_RESULTADOS!$E$11="",0,MEMORIA_RESULTADOS!$E$11))</f>
        <v/>
      </c>
      <c r="E17" s="442"/>
      <c r="F17" s="441"/>
      <c r="G17" s="441"/>
      <c r="H17" s="441"/>
    </row>
    <row r="18" spans="1:8" ht="19" customHeight="1" x14ac:dyDescent="0.3">
      <c r="A18" s="262" t="s">
        <v>23</v>
      </c>
      <c r="B18" s="263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3" t="str">
        <f>IF(OR(B18="",D18=""),"",ROUND(B18+D18,2))</f>
        <v/>
      </c>
      <c r="D18" s="263" t="str">
        <f>IF(B18="","",IF(MEMORIA_RESULTADOS!$E$12="",0,MEMORIA_RESULTADOS!$E$12))</f>
        <v/>
      </c>
      <c r="E18" s="442"/>
      <c r="F18" s="441"/>
      <c r="G18" s="441"/>
      <c r="H18" s="441"/>
    </row>
    <row r="19" spans="1:8" ht="19" customHeight="1" x14ac:dyDescent="0.3">
      <c r="A19" s="262" t="s">
        <v>24</v>
      </c>
      <c r="B19" s="263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3" t="str">
        <f>IF(OR(B19="",D19=""),"",ROUND(B19+D19,2))</f>
        <v/>
      </c>
      <c r="D19" s="263" t="str">
        <f>IF(B19="","",IF(MEMORIA_RESULTADOS!$E$13="",0,MEMORIA_RESULTADOS!$E$13))</f>
        <v/>
      </c>
      <c r="E19" s="442"/>
      <c r="F19" s="441"/>
      <c r="G19" s="441"/>
      <c r="H19" s="441"/>
    </row>
    <row r="20" spans="1:8" ht="19" customHeight="1" x14ac:dyDescent="0.3">
      <c r="A20" s="262" t="s">
        <v>25</v>
      </c>
      <c r="B20" s="263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3" t="str">
        <f>IF(OR(B20="",D20=""),"",ROUND(B20+D20,2))</f>
        <v/>
      </c>
      <c r="D20" s="263" t="str">
        <f>IF(B20="","",IF(MEMORIA_RESULTADOS!$E$14="",0,MEMORIA_RESULTADOS!$E$14))</f>
        <v/>
      </c>
      <c r="E20" s="442"/>
      <c r="F20" s="441"/>
      <c r="G20" s="441"/>
      <c r="H20" s="441"/>
    </row>
    <row r="21" spans="1:8" ht="19" customHeight="1" x14ac:dyDescent="0.3">
      <c r="A21" s="324" t="s">
        <v>429</v>
      </c>
      <c r="B21" s="325"/>
      <c r="C21" s="325"/>
      <c r="D21" s="325" t="str">
        <f>IF(ISNUMBER(MEMORIA_RESULTADOS!$B$5),ROUND(RETRO_OFICIAL-SUM($D$16:$D$20),2),"")</f>
        <v/>
      </c>
      <c r="E21" s="442"/>
      <c r="F21" s="441"/>
      <c r="G21" s="441"/>
      <c r="H21" s="441"/>
    </row>
    <row r="22" spans="1:8" ht="42" customHeight="1" x14ac:dyDescent="0.3">
      <c r="A22" s="264" t="s">
        <v>26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444" t="str">
        <f>IF($G$22="","","Retroativo potencial — em análise"&amp;CHAR(10)&amp;"Valor potencial relacionado a itens ainda em análise. Não integra o retroativo reconhecido enquanto não houver confirmação.")</f>
        <v/>
      </c>
      <c r="F22" s="445"/>
      <c r="G22" s="446" t="str">
        <f>IF($B$5&lt;&gt;"PCs","",IFERROR(RETROATIVO_POTENCIAL_PC,""))</f>
        <v/>
      </c>
      <c r="H22" s="447"/>
    </row>
    <row r="23" spans="1:8" ht="15" customHeight="1" x14ac:dyDescent="0.3">
      <c r="A23" s="326" t="str">
        <f>IF(OR(MEMORIA_RESULTADOS!$B$4&lt;&gt;"PCs",MEMORIA_RESULTADOS!$T$28=0),"","PCs sem efeito financeiro: "&amp;MEMORIA_RESULTADOS!$T$28&amp;" PC(s)")</f>
        <v/>
      </c>
      <c r="B23" s="326" t="str">
        <f>IF(OR(MEMORIA_RESULTADOS!$B$4&lt;&gt;"PCs",MEMORIA_RESULTADOS!$T$28=0),"",MEMORIA_RESULTADOS!$T$29)</f>
        <v/>
      </c>
      <c r="C23" s="326" t="str">
        <f>IF(OR(MEMORIA_RESULTADOS!$B$4&lt;&gt;"PCs",MEMORIA_RESULTADOS!$T$28=0),"",ROUND(MEMORIA_RESULTADOS!$T$29+MEMORIA_RESULTADOS!$T$30,2))</f>
        <v/>
      </c>
      <c r="D23" s="326" t="str">
        <f>IF(OR(MEMORIA_RESULTADOS!$B$4&lt;&gt;"PCs",MEMORIA_RESULTADOS!$T$28=0),"",MEMORIA_RESULTADOS!$T$30)</f>
        <v/>
      </c>
      <c r="E23" s="426" t="str">
        <f>IF(OR(MEMORIA_RESULTADOS!$B$4&lt;&gt;"PCs",MEMORIA_RESULTADOS!$T$28=0),"","A diferença sem efeito financeiro não constitui "&amp;"retroativo. Consulte itens_PC -&gt; EFEITO_FINANCEIRO_PC = Nao.")</f>
        <v/>
      </c>
      <c r="F23" s="427"/>
      <c r="G23" s="427"/>
      <c r="H23" s="427"/>
    </row>
    <row r="24" spans="1:8" ht="22" customHeight="1" x14ac:dyDescent="0.3">
      <c r="A24" s="267" t="s">
        <v>534</v>
      </c>
      <c r="B24" s="268"/>
      <c r="C24" s="268"/>
      <c r="D24" s="268"/>
      <c r="E24" s="268"/>
      <c r="F24" s="268"/>
      <c r="G24" s="268"/>
      <c r="H24" s="269" t="str">
        <f>IF(ISNUMBER(SEARCH("CONFERIR",MEMORIA_RESULTADOS!$F$36)),"VALIDADO","REVISE")</f>
        <v>REVISE</v>
      </c>
    </row>
    <row r="25" spans="1:8" ht="28" customHeight="1" x14ac:dyDescent="0.3">
      <c r="A25" s="270" t="s">
        <v>291</v>
      </c>
      <c r="B25" s="271" t="s">
        <v>496</v>
      </c>
      <c r="C25" s="271" t="s">
        <v>497</v>
      </c>
      <c r="D25" s="272" t="s">
        <v>498</v>
      </c>
      <c r="E25" s="430" t="s">
        <v>450</v>
      </c>
      <c r="F25" s="431"/>
      <c r="G25" s="431"/>
      <c r="H25" s="431"/>
    </row>
    <row r="26" spans="1:8" ht="19" customHeight="1" x14ac:dyDescent="0.3">
      <c r="A26" s="262" t="s">
        <v>21</v>
      </c>
      <c r="B26" s="263" t="str">
        <f>IF(IFERROR(VALUE(MID(UPPER(CONTROLE!$B$2),2,1)),-1)&lt;0,"",IF(COUNTIF(itens_Remanesc!$A$2:$A$200,"&lt;&gt;")=0,"",IFERROR(comparativo_VTA!$C$204,"")))</f>
        <v/>
      </c>
      <c r="C26" s="263" t="str">
        <f>IF(B26="","",ROUND(SUMPRODUCT(posicao_contratual!$G$2:$G$201,historico_VU!$C$2:$C$201),2))</f>
        <v/>
      </c>
      <c r="D26" s="263" t="str">
        <f>IF(OR(B26="",C26=""),"",ROUND(C26-B26,2))</f>
        <v/>
      </c>
      <c r="E26" s="273"/>
      <c r="F26" s="273"/>
      <c r="G26" s="273"/>
      <c r="H26" s="273"/>
    </row>
    <row r="27" spans="1:8" ht="19" customHeight="1" x14ac:dyDescent="0.3">
      <c r="A27" s="262" t="s">
        <v>22</v>
      </c>
      <c r="B27" s="263" t="str">
        <f>IF(IFERROR(VALUE(MID(UPPER(CONTROLE!$B$2),2,1)),-1)&lt;1,"",IF(COUNTIF(itens_Remanesc!$A$2:$A$200,"&lt;&gt;")=0,"",IFERROR(comparativo_VTA!$D$204,"")))</f>
        <v/>
      </c>
      <c r="C27" s="263" t="str">
        <f>IF(B27="","",ROUND(SUMPRODUCT(posicao_contratual!$K$2:$K$201,historico_VU!$D$2:$D$201),2))</f>
        <v/>
      </c>
      <c r="D27" s="263" t="str">
        <f>IF(OR(B27="",C27=""),"",ROUND(C27-B27,2))</f>
        <v/>
      </c>
      <c r="E27" s="273"/>
      <c r="F27" s="273"/>
      <c r="G27" s="273"/>
      <c r="H27" s="273"/>
    </row>
    <row r="28" spans="1:8" ht="19" customHeight="1" x14ac:dyDescent="0.3">
      <c r="A28" s="262" t="s">
        <v>23</v>
      </c>
      <c r="B28" s="263" t="str">
        <f>IF(IFERROR(VALUE(MID(UPPER(CONTROLE!$B$2),2,1)),-1)&lt;2,"",IF(COUNTIF(itens_Remanesc!$A$2:$A$200,"&lt;&gt;")=0,"",IFERROR(comparativo_VTA!$E$204,"")))</f>
        <v/>
      </c>
      <c r="C28" s="263" t="str">
        <f>IF(B28="","",ROUND(SUMPRODUCT(posicao_contratual!$O$2:$O$201,historico_VU!$E$2:$E$201),2))</f>
        <v/>
      </c>
      <c r="D28" s="263" t="str">
        <f>IF(OR(B28="",C28=""),"",ROUND(C28-B28,2))</f>
        <v/>
      </c>
      <c r="E28" s="273"/>
      <c r="F28" s="273"/>
      <c r="G28" s="273"/>
      <c r="H28" s="273"/>
    </row>
    <row r="29" spans="1:8" ht="19" customHeight="1" x14ac:dyDescent="0.3">
      <c r="A29" s="262" t="s">
        <v>24</v>
      </c>
      <c r="B29" s="263" t="str">
        <f>IF(IFERROR(VALUE(MID(UPPER(CONTROLE!$B$2),2,1)),-1)&lt;3,"",IF(COUNTIF(itens_Remanesc!$A$2:$A$200,"&lt;&gt;")=0,"",IFERROR(comparativo_VTA!$F$204,"")))</f>
        <v/>
      </c>
      <c r="C29" s="263" t="str">
        <f>IF(B29="","",ROUND(SUMPRODUCT(posicao_contratual!$S$2:$S$201,historico_VU!$F$2:$F$201),2))</f>
        <v/>
      </c>
      <c r="D29" s="263" t="str">
        <f>IF(OR(B29="",C29=""),"",ROUND(C29-B29,2))</f>
        <v/>
      </c>
      <c r="E29" s="273"/>
      <c r="F29" s="273"/>
      <c r="G29" s="273"/>
      <c r="H29" s="273"/>
    </row>
    <row r="30" spans="1:8" ht="19" customHeight="1" x14ac:dyDescent="0.3">
      <c r="A30" s="274" t="s">
        <v>25</v>
      </c>
      <c r="B30" s="275" t="str">
        <f>IF(IFERROR(VALUE(MID(UPPER(CONTROLE!$B$2),2,1)),-1)&lt;4,"",IF(COUNTIF(itens_Remanesc!$A$2:$A$200,"&lt;&gt;")=0,"",IFERROR(comparativo_VTA!$G$204,"")))</f>
        <v/>
      </c>
      <c r="C30" s="275" t="str">
        <f>IF(B30="","",ROUND(SUMPRODUCT(posicao_contratual!$W$2:$W$201,historico_VU!$G$2:$G$201),2))</f>
        <v/>
      </c>
      <c r="D30" s="275" t="str">
        <f>IF(OR(B30="",C30=""),"",ROUND(C30-B30,2))</f>
        <v/>
      </c>
      <c r="E30" s="266"/>
      <c r="F30" s="266"/>
      <c r="G30" s="266"/>
      <c r="H30" s="266"/>
    </row>
    <row r="31" spans="1:8" ht="7" hidden="1" customHeight="1" x14ac:dyDescent="0.3">
      <c r="A31" s="266"/>
      <c r="B31" s="266"/>
      <c r="C31" s="266"/>
      <c r="D31" s="266"/>
      <c r="E31" s="266"/>
      <c r="F31" s="266"/>
      <c r="G31" s="266"/>
      <c r="H31" s="266"/>
    </row>
    <row r="32" spans="1:8" ht="15" customHeight="1" x14ac:dyDescent="0.3">
      <c r="A32" s="266"/>
      <c r="B32" s="266"/>
      <c r="C32" s="266"/>
      <c r="D32" s="266"/>
      <c r="E32" s="266"/>
      <c r="F32" s="266"/>
      <c r="G32" s="266"/>
      <c r="H32" s="266"/>
    </row>
    <row r="33" spans="1:8" ht="22" customHeight="1" x14ac:dyDescent="0.3">
      <c r="A33" s="267" t="str">
        <f>IF(UPPER(CONTROLE!$B$2)="","4. CICLO ATUAL EM EXECUÇÃO","4. CICLO ATUAL EM EXECUÇÃO ("&amp;UPPER(CONTROLE!$B$2)&amp;")")</f>
        <v>4. CICLO ATUAL EM EXECUÇÃO</v>
      </c>
      <c r="B33" s="268"/>
      <c r="C33" s="268"/>
      <c r="D33" s="268"/>
      <c r="E33" s="268"/>
      <c r="F33" s="268"/>
      <c r="G33" s="268"/>
      <c r="H33" s="269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2" t="s">
        <v>430</v>
      </c>
      <c r="B34" s="276" t="str">
        <f>UPPER(CONTROLE!$B$2)</f>
        <v/>
      </c>
      <c r="C34" s="436"/>
      <c r="D34" s="437"/>
      <c r="E34" s="438" t="s">
        <v>451</v>
      </c>
      <c r="F34" s="439"/>
      <c r="G34" s="439"/>
      <c r="H34" s="439"/>
    </row>
    <row r="35" spans="1:8" ht="22" customHeight="1" x14ac:dyDescent="0.3">
      <c r="A35" s="262" t="s">
        <v>431</v>
      </c>
      <c r="B35" s="277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32" t="str">
        <f ca="1">IF($B$35="","Aguardando dado","")</f>
        <v>Aguardando dado</v>
      </c>
      <c r="D35" s="433"/>
      <c r="E35" s="440" t="str">
        <f ca="1">IF($A$39="","",$A$39)</f>
        <v/>
      </c>
      <c r="F35" s="441"/>
      <c r="G35" s="441"/>
      <c r="H35" s="443"/>
    </row>
    <row r="36" spans="1:8" ht="22" customHeight="1" x14ac:dyDescent="0.3">
      <c r="A36" s="262" t="s">
        <v>432</v>
      </c>
      <c r="B36" s="26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32" t="str">
        <f ca="1">IF($B$36="","Aguardando dado","")</f>
        <v>Aguardando dado</v>
      </c>
      <c r="D36" s="433"/>
      <c r="E36" s="442"/>
      <c r="F36" s="441"/>
      <c r="G36" s="441"/>
      <c r="H36" s="443"/>
    </row>
    <row r="37" spans="1:8" ht="22" customHeight="1" x14ac:dyDescent="0.3">
      <c r="A37" s="262" t="s">
        <v>433</v>
      </c>
      <c r="B37" s="263" t="str">
        <f>IFERROR(INDEX($C$26:$C$30,MATCH(UPPER(CONTROLE!$B$2),$A$26:$A$30,0)),"")</f>
        <v/>
      </c>
      <c r="C37" s="432" t="str">
        <f>IF($B$37="","Aguardando dado","")</f>
        <v>Aguardando dado</v>
      </c>
      <c r="D37" s="433"/>
      <c r="E37" s="442"/>
      <c r="F37" s="441"/>
      <c r="G37" s="441"/>
      <c r="H37" s="443"/>
    </row>
    <row r="38" spans="1:8" ht="22" customHeight="1" x14ac:dyDescent="0.3">
      <c r="A38" s="264" t="s">
        <v>434</v>
      </c>
      <c r="B38" s="265" t="str">
        <f ca="1">IF(OR(B36="",B37=""),"",ROUND(B37-B36,2))</f>
        <v/>
      </c>
      <c r="C38" s="434" t="str">
        <f ca="1">IF($B$38="","Aguardando dado","")</f>
        <v>Aguardando dado</v>
      </c>
      <c r="D38" s="435"/>
      <c r="E38" s="442"/>
      <c r="F38" s="441"/>
      <c r="G38" s="441"/>
      <c r="H38" s="443"/>
    </row>
    <row r="39" spans="1:8" ht="15" customHeight="1" x14ac:dyDescent="0.3">
      <c r="A39" s="422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23"/>
      <c r="C39" s="423"/>
      <c r="D39" s="423"/>
      <c r="E39" s="423"/>
      <c r="F39" s="423"/>
      <c r="G39" s="423"/>
      <c r="H39" s="423"/>
    </row>
    <row r="40" spans="1:8" ht="14" hidden="1" customHeight="1" x14ac:dyDescent="0.3">
      <c r="A40" s="266"/>
      <c r="B40" s="266"/>
      <c r="C40" s="266"/>
      <c r="D40" s="266"/>
      <c r="E40" s="266"/>
      <c r="F40" s="266"/>
      <c r="G40" s="266"/>
      <c r="H40" s="266"/>
    </row>
    <row r="41" spans="1:8" ht="22" hidden="1" customHeight="1" x14ac:dyDescent="0.3">
      <c r="A41" s="278" t="s">
        <v>452</v>
      </c>
      <c r="B41" s="279"/>
      <c r="C41" s="279"/>
      <c r="D41" s="327" t="s">
        <v>453</v>
      </c>
      <c r="E41" s="279"/>
      <c r="F41" s="279"/>
      <c r="G41" s="279"/>
      <c r="H41" s="279"/>
    </row>
    <row r="42" spans="1:8" ht="24" hidden="1" customHeight="1" x14ac:dyDescent="0.3">
      <c r="A42" s="280" t="s">
        <v>435</v>
      </c>
      <c r="B42" s="280" t="s">
        <v>291</v>
      </c>
      <c r="C42" s="280" t="s">
        <v>436</v>
      </c>
      <c r="D42" s="280" t="s">
        <v>437</v>
      </c>
      <c r="E42" s="280" t="s">
        <v>438</v>
      </c>
      <c r="F42" s="280" t="s">
        <v>439</v>
      </c>
      <c r="G42" s="280" t="s">
        <v>440</v>
      </c>
      <c r="H42" s="280" t="s">
        <v>441</v>
      </c>
    </row>
    <row r="43" spans="1:8" ht="24" hidden="1" customHeight="1" x14ac:dyDescent="0.3">
      <c r="A43" s="281" t="s">
        <v>287</v>
      </c>
      <c r="B43" s="282" t="s">
        <v>26</v>
      </c>
      <c r="C43" s="239"/>
      <c r="D43" s="236"/>
      <c r="E43" s="236"/>
      <c r="F43" s="237"/>
      <c r="G43" s="238"/>
      <c r="H43" s="283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1" t="s">
        <v>442</v>
      </c>
      <c r="B44" s="282" t="s">
        <v>26</v>
      </c>
      <c r="C44" s="239"/>
      <c r="D44" s="236"/>
      <c r="E44" s="236"/>
      <c r="F44" s="237"/>
      <c r="G44" s="238"/>
      <c r="H44" s="283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1" t="s">
        <v>443</v>
      </c>
      <c r="B45" s="282" t="s">
        <v>26</v>
      </c>
      <c r="C45" s="239"/>
      <c r="D45" s="236"/>
      <c r="E45" s="236"/>
      <c r="F45" s="237"/>
      <c r="G45" s="238"/>
      <c r="H45" s="283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1" t="s">
        <v>444</v>
      </c>
      <c r="B46" s="282" t="s">
        <v>21</v>
      </c>
      <c r="C46" s="239"/>
      <c r="D46" s="236"/>
      <c r="E46" s="236"/>
      <c r="F46" s="237"/>
      <c r="G46" s="238"/>
      <c r="H46" s="283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1" t="s">
        <v>444</v>
      </c>
      <c r="B47" s="282" t="s">
        <v>22</v>
      </c>
      <c r="C47" s="239"/>
      <c r="D47" s="236"/>
      <c r="E47" s="236"/>
      <c r="F47" s="237"/>
      <c r="G47" s="238"/>
      <c r="H47" s="283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1" t="s">
        <v>444</v>
      </c>
      <c r="B48" s="282" t="s">
        <v>23</v>
      </c>
      <c r="C48" s="239"/>
      <c r="D48" s="236"/>
      <c r="E48" s="236"/>
      <c r="F48" s="237"/>
      <c r="G48" s="238"/>
      <c r="H48" s="283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1" t="s">
        <v>444</v>
      </c>
      <c r="B49" s="282" t="s">
        <v>24</v>
      </c>
      <c r="C49" s="239"/>
      <c r="D49" s="236"/>
      <c r="E49" s="236"/>
      <c r="F49" s="237"/>
      <c r="G49" s="238"/>
      <c r="H49" s="283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4" t="s">
        <v>444</v>
      </c>
      <c r="B50" s="285" t="s">
        <v>25</v>
      </c>
      <c r="C50" s="240"/>
      <c r="D50" s="241"/>
      <c r="E50" s="241"/>
      <c r="F50" s="242"/>
      <c r="G50" s="243"/>
      <c r="H50" s="286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6"/>
      <c r="B51" s="266"/>
      <c r="C51" s="266"/>
      <c r="D51" s="266"/>
      <c r="E51" s="266"/>
      <c r="F51" s="266"/>
      <c r="G51" s="266"/>
      <c r="H51" s="266"/>
    </row>
    <row r="52" spans="1:8" ht="15" customHeight="1" x14ac:dyDescent="0.3">
      <c r="A52" s="266"/>
      <c r="B52" s="266"/>
      <c r="C52" s="266"/>
      <c r="D52" s="266"/>
      <c r="E52" s="266"/>
      <c r="F52" s="266"/>
      <c r="G52" s="266"/>
      <c r="H52" s="266"/>
    </row>
    <row r="53" spans="1:8" ht="20" customHeight="1" x14ac:dyDescent="0.3">
      <c r="A53" s="461" t="s">
        <v>535</v>
      </c>
      <c r="B53" s="421"/>
      <c r="C53" s="421"/>
      <c r="D53" s="421"/>
      <c r="E53" s="421"/>
      <c r="F53" s="421"/>
      <c r="G53" s="421"/>
      <c r="H53" s="462"/>
    </row>
    <row r="54" spans="1:8" ht="13" customHeight="1" x14ac:dyDescent="0.3">
      <c r="A54" s="361" t="s">
        <v>445</v>
      </c>
      <c r="B54" s="362" t="s">
        <v>427</v>
      </c>
      <c r="C54" s="463" t="s">
        <v>499</v>
      </c>
      <c r="D54" s="482"/>
      <c r="E54" s="463"/>
      <c r="F54" s="463"/>
      <c r="G54" s="463"/>
      <c r="H54" s="463"/>
    </row>
    <row r="55" spans="1:8" ht="30" customHeight="1" x14ac:dyDescent="0.3">
      <c r="A55" s="334" t="s">
        <v>500</v>
      </c>
      <c r="B55" s="346" t="str">
        <f>IF($B$5&lt;&gt;"PCs","",MEMORIA_RESULTADOS!$T$33)</f>
        <v/>
      </c>
      <c r="C55" s="464" t="s">
        <v>501</v>
      </c>
      <c r="D55" s="483"/>
      <c r="E55" s="464"/>
      <c r="F55" s="464"/>
      <c r="G55" s="464"/>
      <c r="H55" s="464"/>
    </row>
    <row r="56" spans="1:8" ht="30" customHeight="1" x14ac:dyDescent="0.3">
      <c r="A56" s="334" t="s">
        <v>502</v>
      </c>
      <c r="B56" s="346" t="str">
        <f>IF($B$5&lt;&gt;"PCs","",MEMORIA_RESULTADOS!$T$34)</f>
        <v/>
      </c>
      <c r="C56" s="464" t="s">
        <v>503</v>
      </c>
      <c r="D56" s="483"/>
      <c r="E56" s="464"/>
      <c r="F56" s="464"/>
      <c r="G56" s="464"/>
      <c r="H56" s="464"/>
    </row>
    <row r="57" spans="1:8" ht="30" customHeight="1" x14ac:dyDescent="0.3">
      <c r="A57" s="334" t="s">
        <v>504</v>
      </c>
      <c r="B57" s="346" t="str">
        <f>IF($B$5&lt;&gt;"PCs","",MEMORIA_RESULTADOS!$T$35)</f>
        <v/>
      </c>
      <c r="C57" s="464" t="s">
        <v>505</v>
      </c>
      <c r="D57" s="483"/>
      <c r="E57" s="464"/>
      <c r="F57" s="464"/>
      <c r="G57" s="464"/>
      <c r="H57" s="464"/>
    </row>
    <row r="58" spans="1:8" ht="30" customHeight="1" x14ac:dyDescent="0.3">
      <c r="A58" s="334" t="s">
        <v>446</v>
      </c>
      <c r="B58" s="346" t="str">
        <f>IF($B$5&lt;&gt;"PCs","",MEMORIA_RESULTADOS!$T$36)</f>
        <v/>
      </c>
      <c r="C58" s="464" t="s">
        <v>506</v>
      </c>
      <c r="D58" s="483"/>
      <c r="E58" s="464"/>
      <c r="F58" s="464"/>
      <c r="G58" s="464"/>
      <c r="H58" s="464"/>
    </row>
    <row r="59" spans="1:8" ht="30" customHeight="1" x14ac:dyDescent="0.3">
      <c r="A59" s="334" t="s">
        <v>447</v>
      </c>
      <c r="B59" s="346" t="str">
        <f>IF($B$5&lt;&gt;"PCs","",MEMORIA_RESULTADOS!$T$37)</f>
        <v/>
      </c>
      <c r="C59" s="464" t="s">
        <v>507</v>
      </c>
      <c r="D59" s="483"/>
      <c r="E59" s="464"/>
      <c r="F59" s="464"/>
      <c r="G59" s="464"/>
      <c r="H59" s="464"/>
    </row>
    <row r="60" spans="1:8" ht="36" customHeight="1" x14ac:dyDescent="0.3">
      <c r="A60" s="334" t="s">
        <v>448</v>
      </c>
      <c r="B60" s="346" t="str">
        <f>$D$22</f>
        <v/>
      </c>
      <c r="C60" s="464" t="s">
        <v>542</v>
      </c>
      <c r="D60" s="483"/>
      <c r="E60" s="464"/>
      <c r="F60" s="464"/>
      <c r="G60" s="464"/>
      <c r="H60" s="464"/>
    </row>
    <row r="61" spans="1:8" ht="30" customHeight="1" x14ac:dyDescent="0.3">
      <c r="A61" s="334" t="s">
        <v>543</v>
      </c>
      <c r="B61" s="346" t="str">
        <f>IF($B$5&lt;&gt;"PCs","",IFERROR(RETROATIVO_POTENCIAL_VTA,""))</f>
        <v/>
      </c>
      <c r="C61" s="464" t="s">
        <v>544</v>
      </c>
      <c r="D61" s="483"/>
      <c r="E61" s="464"/>
      <c r="F61" s="464"/>
      <c r="G61" s="464"/>
      <c r="H61" s="464"/>
    </row>
    <row r="62" spans="1:8" ht="30" customHeight="1" x14ac:dyDescent="0.3">
      <c r="A62" s="334" t="s">
        <v>545</v>
      </c>
      <c r="B62" s="346" t="str">
        <f>IF(OR($B$5&lt;&gt;"PCs",$D$22=""),"",ROUND(N($D$22)+N(RETROATIVO_POTENCIAL_VTA),2))</f>
        <v/>
      </c>
      <c r="C62" s="464" t="s">
        <v>546</v>
      </c>
      <c r="D62" s="483"/>
      <c r="E62" s="464"/>
      <c r="F62" s="464"/>
      <c r="G62" s="464"/>
      <c r="H62" s="464"/>
    </row>
    <row r="63" spans="1:8" ht="30" customHeight="1" x14ac:dyDescent="0.3">
      <c r="A63" s="334" t="s">
        <v>547</v>
      </c>
      <c r="B63" s="346" t="str">
        <f ca="1">$B$36</f>
        <v/>
      </c>
      <c r="C63" s="464" t="s">
        <v>508</v>
      </c>
      <c r="D63" s="483"/>
      <c r="E63" s="464"/>
      <c r="F63" s="464"/>
      <c r="G63" s="464"/>
      <c r="H63" s="464"/>
    </row>
    <row r="64" spans="1:8" ht="30" customHeight="1" x14ac:dyDescent="0.3">
      <c r="A64" s="334" t="s">
        <v>548</v>
      </c>
      <c r="B64" s="346" t="str">
        <f ca="1">$B$38</f>
        <v/>
      </c>
      <c r="C64" s="464" t="s">
        <v>509</v>
      </c>
      <c r="D64" s="483"/>
      <c r="E64" s="464"/>
      <c r="F64" s="464"/>
      <c r="G64" s="464"/>
      <c r="H64" s="464"/>
    </row>
    <row r="65" spans="1:8" ht="30" customHeight="1" x14ac:dyDescent="0.3">
      <c r="A65" s="334" t="s">
        <v>549</v>
      </c>
      <c r="B65" s="347" t="str">
        <f>IF(VTA_FINAL="","",VTA_FINAL)</f>
        <v/>
      </c>
      <c r="C65" s="464" t="s">
        <v>550</v>
      </c>
      <c r="D65" s="483"/>
      <c r="E65" s="464"/>
      <c r="F65" s="464"/>
      <c r="G65" s="464"/>
      <c r="H65" s="464"/>
    </row>
    <row r="66" spans="1:8" ht="30" customHeight="1" x14ac:dyDescent="0.3">
      <c r="A66" s="334" t="s">
        <v>551</v>
      </c>
      <c r="B66" s="346" t="str">
        <f ca="1">$B$13</f>
        <v/>
      </c>
      <c r="C66" s="464" t="s">
        <v>510</v>
      </c>
      <c r="D66" s="483"/>
      <c r="E66" s="464"/>
      <c r="F66" s="464"/>
      <c r="G66" s="464"/>
      <c r="H66" s="464"/>
    </row>
    <row r="67" spans="1:8" ht="30" customHeight="1" x14ac:dyDescent="0.3">
      <c r="A67" s="334" t="s">
        <v>552</v>
      </c>
      <c r="B67" s="481" t="str">
        <f ca="1">$B$3</f>
        <v>REVISE</v>
      </c>
      <c r="C67" s="464" t="s">
        <v>511</v>
      </c>
      <c r="D67" s="483"/>
      <c r="E67" s="464"/>
      <c r="F67" s="464"/>
      <c r="G67" s="464"/>
      <c r="H67" s="464"/>
    </row>
    <row r="68" spans="1:8" ht="14.5" x14ac:dyDescent="0.3">
      <c r="A68" s="465" t="s">
        <v>464</v>
      </c>
      <c r="B68" s="465"/>
      <c r="C68" s="465"/>
      <c r="D68" s="465"/>
      <c r="E68" s="465"/>
      <c r="F68" s="465"/>
      <c r="G68" s="465"/>
      <c r="H68" s="465"/>
    </row>
    <row r="69" spans="1:8" ht="34" customHeight="1" x14ac:dyDescent="0.3">
      <c r="A69" s="466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66"/>
      <c r="C69" s="466"/>
      <c r="D69" s="466"/>
      <c r="E69" s="466"/>
      <c r="F69" s="466"/>
      <c r="G69" s="466"/>
      <c r="H69" s="466"/>
    </row>
    <row r="70" spans="1:8" x14ac:dyDescent="0.3">
      <c r="A70" s="372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72"/>
      <c r="C70" s="372"/>
      <c r="D70" s="372"/>
      <c r="E70" s="372"/>
      <c r="F70" s="372"/>
      <c r="G70" s="372"/>
      <c r="H70" s="372"/>
    </row>
    <row r="71" spans="1:8" ht="14.5" x14ac:dyDescent="0.3">
      <c r="A71" s="381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381"/>
      <c r="C71" s="381"/>
      <c r="D71" s="381"/>
      <c r="E71" s="381"/>
      <c r="F71" s="381"/>
      <c r="G71" s="381"/>
      <c r="H71" s="381"/>
    </row>
    <row r="72" spans="1:8" x14ac:dyDescent="0.3">
      <c r="A72" s="335" t="s">
        <v>291</v>
      </c>
      <c r="B72" s="335" t="s">
        <v>512</v>
      </c>
      <c r="C72" s="335" t="s">
        <v>513</v>
      </c>
      <c r="D72" s="335" t="s">
        <v>498</v>
      </c>
      <c r="E72" s="335" t="s">
        <v>514</v>
      </c>
    </row>
    <row r="73" spans="1:8" x14ac:dyDescent="0.3">
      <c r="A73" s="336" t="s">
        <v>21</v>
      </c>
      <c r="B73" s="346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6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6" t="str">
        <f>IF(MEMORIA_RESULTADOS!$B$4&lt;&gt;"Financeiro","Nao aplicavel ao metodo selecionado",IF(OR(B73="",C73="",NOT(ISNUMBER(C73))),"",ROUND(B73-C73,2)))</f>
        <v>Nao aplicavel ao metodo selecionado</v>
      </c>
      <c r="E73" s="337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6" t="s">
        <v>22</v>
      </c>
      <c r="B74" s="346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6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6" t="str">
        <f>IF(MEMORIA_RESULTADOS!$B$4&lt;&gt;"Financeiro","Nao aplicavel ao metodo selecionado",IF(OR(B74="",C74="",NOT(ISNUMBER(C74))),"",ROUND(B74-C74,2)))</f>
        <v>Nao aplicavel ao metodo selecionado</v>
      </c>
      <c r="E74" s="337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6" t="s">
        <v>23</v>
      </c>
      <c r="B75" s="346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6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6" t="str">
        <f>IF(MEMORIA_RESULTADOS!$B$4&lt;&gt;"Financeiro","Nao aplicavel ao metodo selecionado",IF(OR(B75="",C75="",NOT(ISNUMBER(C75))),"",ROUND(B75-C75,2)))</f>
        <v>Nao aplicavel ao metodo selecionado</v>
      </c>
      <c r="E75" s="337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6" t="s">
        <v>24</v>
      </c>
      <c r="B76" s="346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6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6" t="str">
        <f>IF(MEMORIA_RESULTADOS!$B$4&lt;&gt;"Financeiro","Nao aplicavel ao metodo selecionado",IF(OR(B76="",C76="",NOT(ISNUMBER(C76))),"",ROUND(B76-C76,2)))</f>
        <v>Nao aplicavel ao metodo selecionado</v>
      </c>
      <c r="E76" s="337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4" t="s">
        <v>25</v>
      </c>
      <c r="B77" s="365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5" t="str">
        <f>IF(MEMORIA_RESULTADOS!$B$4&lt;&gt;"Financeiro","Nao aplicavel ao metodo selecionado","Sem historico quantitativo suficiente")</f>
        <v>Nao aplicavel ao metodo selecionado</v>
      </c>
      <c r="D77" s="365" t="str">
        <f>IF(MEMORIA_RESULTADOS!$B$4&lt;&gt;"Financeiro","Nao aplicavel ao metodo selecionado",IF(OR(B77="",C77="",NOT(ISNUMBER(C77))),"",ROUND(B77-C77,2)))</f>
        <v>Nao aplicavel ao metodo selecionado</v>
      </c>
      <c r="E77" s="366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3"/>
      <c r="G77" s="363"/>
      <c r="H77" s="363"/>
    </row>
    <row r="78" spans="1:8" x14ac:dyDescent="0.3">
      <c r="A78" s="373"/>
      <c r="B78" s="363"/>
      <c r="C78" s="363"/>
      <c r="D78" s="363"/>
      <c r="E78" s="363"/>
      <c r="F78" s="363"/>
      <c r="G78" s="363"/>
      <c r="H78" s="363"/>
    </row>
    <row r="79" spans="1:8" ht="15.5" x14ac:dyDescent="0.3">
      <c r="A79" s="467" t="s">
        <v>515</v>
      </c>
      <c r="B79" s="467"/>
      <c r="C79" s="467"/>
      <c r="D79" s="467"/>
      <c r="E79" s="467"/>
      <c r="F79" s="467"/>
      <c r="G79" s="467"/>
      <c r="H79" s="467"/>
    </row>
    <row r="80" spans="1:8" ht="28" customHeight="1" x14ac:dyDescent="0.3">
      <c r="A80" s="468" t="s">
        <v>516</v>
      </c>
      <c r="B80" s="468"/>
      <c r="C80" s="468"/>
      <c r="D80" s="468"/>
      <c r="E80" s="468"/>
      <c r="F80" s="468"/>
      <c r="G80" s="468"/>
      <c r="H80" s="468"/>
    </row>
    <row r="81" spans="1:8" ht="28" customHeight="1" x14ac:dyDescent="0.3">
      <c r="A81" s="469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469"/>
      <c r="C81" s="469"/>
      <c r="D81" s="469"/>
      <c r="E81" s="469"/>
      <c r="F81" s="469"/>
      <c r="G81" s="469"/>
      <c r="H81" s="469"/>
    </row>
    <row r="82" spans="1:8" x14ac:dyDescent="0.3">
      <c r="A82" s="338" t="s">
        <v>467</v>
      </c>
      <c r="B82" s="339" t="s">
        <v>427</v>
      </c>
      <c r="C82" s="338" t="s">
        <v>468</v>
      </c>
    </row>
    <row r="83" spans="1:8" ht="24" x14ac:dyDescent="0.3">
      <c r="A83" s="340" t="s">
        <v>469</v>
      </c>
      <c r="B83" s="346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41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</f>
        <v>Selecione o metodo em CONTROLE!B1.</v>
      </c>
    </row>
    <row r="84" spans="1:8" x14ac:dyDescent="0.3">
      <c r="A84" s="340" t="str">
        <f>IF(MEMORIA_RESULTADOS!$B$4="PCs","(+) Retroativo potencial — POTENCIAL","(+) Ajustes ainda devidos")</f>
        <v>(+) Ajustes ainda devidos</v>
      </c>
      <c r="B84" s="346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1" t="str">
        <f>IF(MEMORIA_RESULTADOS!$B$4="Financeiro","Reajuste ja reconhecido e ainda nao contido no valor pago.",IF(MEMORIA_RESULTADOS!$B$4="PCs",IF(MEMORIA_RESULTADOS!$T$41&lt;0,"POTENCIAL — NAO INCORPORADO AO VTA. Parcela potencial apurada: R$ "&amp;TEXT(MEMORIA_RESULTADOS!$T$41,"#.##0,00")&amp;". Por criterio prudencial, valores potenciais negativos nao reduzem o VTA.","Retroativo POTENCIAL dos PCs ainda em analise pela area gestora, incorporado ao VTA por criterio prudencial. Nao e retroativo reconhecido a pagar."),IF(MEMORIA_RESULTADOS!$B$4="Itens","Nao aplicavel: o reajuste ja esta dentro da execucao atualizada.","")))</f>
        <v/>
      </c>
    </row>
    <row r="85" spans="1:8" ht="24" x14ac:dyDescent="0.3">
      <c r="A85" s="340" t="s">
        <v>470</v>
      </c>
      <c r="B85" s="346" t="str">
        <f>IF(MEMORIA_RESULTADOS!$D$35="","",MEMORIA_RESULTADOS!$D$35)</f>
        <v/>
      </c>
      <c r="C85" s="341" t="s">
        <v>474</v>
      </c>
    </row>
    <row r="86" spans="1:8" ht="24.5" x14ac:dyDescent="0.35">
      <c r="A86" s="343" t="s">
        <v>471</v>
      </c>
      <c r="B86" s="348" t="str">
        <f>IF(VTA_FINAL="","",VTA_FINAL)</f>
        <v/>
      </c>
      <c r="C86" s="342" t="str">
        <f>IF(AND(MEMORIA_RESULTADOS!$B$4="PCs",ISNUMBER(MEMORIA_RESULTADOS!$T$40),ISNUMBER(MEMORIA_RESULTADOS!$T$41),MEMORIA_RESULTADOS!$T$41&lt;&gt;0),"VTA antes da parcela potencial: R$ "&amp;TEXT(MEMORIA_RESULTADOS!$T$40,"#.##0,00")&amp;"  +  Parcela potencial no VTA: R$ "&amp;TEXT(MEMORIA_RESULTADOS!$T$39,"#.##0,00")&amp;"  =  VALOR TOTAL ATUALIZADO "&amp;"— VTA."&amp;IF(MEMORIA_RESULTADOS!$T$41&lt;0,"  Parcela potencial apurada: R$ "&amp;TEXT(MEMORIA_RESULTADOS!$T$41,"#.##0,00")&amp;". Por critério prudencial, valores potenciais negativos não "&amp;"reduzem o VTA.","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5" t="s">
        <v>517</v>
      </c>
      <c r="B87" s="349" t="str">
        <f>IF(OR($B$83="",$B$85="",$B$86=""),"",ROUND($B$86-($B$83+N($B$84)+$B$85),2))</f>
        <v/>
      </c>
      <c r="C87" s="344" t="str">
        <f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0">
    <mergeCell ref="A69:H69"/>
    <mergeCell ref="A71:H71"/>
    <mergeCell ref="A79:H79"/>
    <mergeCell ref="A80:H80"/>
    <mergeCell ref="A81:H81"/>
    <mergeCell ref="C63:H63"/>
    <mergeCell ref="C64:H64"/>
    <mergeCell ref="C65:H65"/>
    <mergeCell ref="C66:H66"/>
    <mergeCell ref="A68:H68"/>
    <mergeCell ref="C67:H67"/>
    <mergeCell ref="C58:H58"/>
    <mergeCell ref="C59:H59"/>
    <mergeCell ref="C60:H60"/>
    <mergeCell ref="C61:H61"/>
    <mergeCell ref="C62:H62"/>
    <mergeCell ref="A53:H53"/>
    <mergeCell ref="C54:H54"/>
    <mergeCell ref="C55:H55"/>
    <mergeCell ref="C56:H56"/>
    <mergeCell ref="C57:H57"/>
    <mergeCell ref="A1:F1"/>
    <mergeCell ref="G1:H1"/>
    <mergeCell ref="A2:F2"/>
    <mergeCell ref="G2:H2"/>
    <mergeCell ref="B7:H7"/>
    <mergeCell ref="G3:H3"/>
    <mergeCell ref="D5:E5"/>
    <mergeCell ref="F10:G10"/>
    <mergeCell ref="F13:G13"/>
    <mergeCell ref="C12:E12"/>
    <mergeCell ref="C10:E10"/>
    <mergeCell ref="F11:G11"/>
    <mergeCell ref="F12:G12"/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</mergeCells>
  <conditionalFormatting sqref="A84:C84">
    <cfRule type="expression" dxfId="33" priority="56" stopIfTrue="1">
      <formula>(METODO_RETROATIVO="PCs")*(N(RETROATIVO_POTENCIAL_APURADO)&lt;&gt;0)</formula>
    </cfRule>
  </conditionalFormatting>
  <conditionalFormatting sqref="A7:H7">
    <cfRule type="expression" dxfId="31" priority="53" stopIfTrue="1">
      <formula>$J$5=0</formula>
    </cfRule>
    <cfRule type="expression" dxfId="30" priority="54" stopIfTrue="1">
      <formula>$J$5&gt;0</formula>
    </cfRule>
  </conditionalFormatting>
  <conditionalFormatting sqref="B38">
    <cfRule type="cellIs" dxfId="29" priority="28" stopIfTrue="1" operator="lessThan">
      <formula>0</formula>
    </cfRule>
  </conditionalFormatting>
  <conditionalFormatting sqref="C4">
    <cfRule type="cellIs" dxfId="28" priority="44" stopIfTrue="1" operator="equal">
      <formula>"REVISE"</formula>
    </cfRule>
    <cfRule type="cellIs" dxfId="27" priority="45" stopIfTrue="1" operator="equal">
      <formula>"ESTIMADO"</formula>
    </cfRule>
    <cfRule type="cellIs" dxfId="26" priority="46" stopIfTrue="1" operator="equal">
      <formula>"VALIDADO"</formula>
    </cfRule>
  </conditionalFormatting>
  <conditionalFormatting sqref="C86">
    <cfRule type="expression" dxfId="25" priority="57" stopIfTrue="1">
      <formula>(METODO_RETROATIVO="PCs")*(N(RETROATIVO_POTENCIAL_APURADO)&lt;&gt;0)</formula>
    </cfRule>
  </conditionalFormatting>
  <conditionalFormatting sqref="D4:D5 D6:E6">
    <cfRule type="expression" dxfId="24" priority="40" stopIfTrue="1">
      <formula>$H$14="VALIDADO"</formula>
    </cfRule>
  </conditionalFormatting>
  <conditionalFormatting sqref="E4">
    <cfRule type="cellIs" dxfId="23" priority="47" stopIfTrue="1" operator="equal">
      <formula>"REVISE"</formula>
    </cfRule>
    <cfRule type="cellIs" dxfId="22" priority="48" stopIfTrue="1" operator="equal">
      <formula>"ESTIMADO"</formula>
    </cfRule>
    <cfRule type="cellIs" dxfId="21" priority="49" stopIfTrue="1" operator="equal">
      <formula>"VALIDADO"</formula>
    </cfRule>
  </conditionalFormatting>
  <conditionalFormatting sqref="E22:H22">
    <cfRule type="expression" dxfId="20" priority="55" stopIfTrue="1">
      <formula>$G$22&lt;&gt;""</formula>
    </cfRule>
  </conditionalFormatting>
  <conditionalFormatting sqref="F4:G4 F5:H6">
    <cfRule type="expression" dxfId="19" priority="41" stopIfTrue="1">
      <formula>$H$33="VALIDADO"</formula>
    </cfRule>
    <cfRule type="expression" dxfId="18" priority="42" stopIfTrue="1">
      <formula>$H$33="REVISE"</formula>
    </cfRule>
    <cfRule type="expression" dxfId="17" priority="43" stopIfTrue="1">
      <formula>$H$33="ESTIMADO"</formula>
    </cfRule>
  </conditionalFormatting>
  <conditionalFormatting sqref="G1">
    <cfRule type="cellIs" dxfId="16" priority="31" stopIfTrue="1" operator="equal">
      <formula>"REVISE"</formula>
    </cfRule>
    <cfRule type="cellIs" dxfId="15" priority="32" stopIfTrue="1" operator="equal">
      <formula>"ESTIMADO"</formula>
    </cfRule>
    <cfRule type="cellIs" dxfId="14" priority="33" stopIfTrue="1" operator="equal">
      <formula>"VALIDADO"</formula>
    </cfRule>
  </conditionalFormatting>
  <conditionalFormatting sqref="H4">
    <cfRule type="cellIs" dxfId="13" priority="50" stopIfTrue="1" operator="equal">
      <formula>"REVISE"</formula>
    </cfRule>
    <cfRule type="cellIs" dxfId="12" priority="51" stopIfTrue="1" operator="equal">
      <formula>"ESTIMADO"</formula>
    </cfRule>
    <cfRule type="cellIs" dxfId="11" priority="52" stopIfTrue="1" operator="equal">
      <formula>"VALIDADO"</formula>
    </cfRule>
  </conditionalFormatting>
  <conditionalFormatting sqref="H24">
    <cfRule type="cellIs" dxfId="10" priority="10" stopIfTrue="1" operator="equal">
      <formula>"REVISE"</formula>
    </cfRule>
    <cfRule type="cellIs" dxfId="9" priority="11" stopIfTrue="1" operator="equal">
      <formula>"ESTIMADO"</formula>
    </cfRule>
    <cfRule type="cellIs" dxfId="8" priority="12" stopIfTrue="1" operator="equal">
      <formula>"VALIDADO"</formula>
    </cfRule>
  </conditionalFormatting>
  <conditionalFormatting sqref="H33">
    <cfRule type="cellIs" dxfId="7" priority="13" stopIfTrue="1" operator="equal">
      <formula>"REVISE"</formula>
    </cfRule>
    <cfRule type="cellIs" dxfId="6" priority="14" stopIfTrue="1" operator="equal">
      <formula>"ESTIMADO"</formula>
    </cfRule>
    <cfRule type="cellIs" dxfId="5" priority="15" stopIfTrue="1" operator="equal">
      <formula>"VALIDADO"</formula>
    </cfRule>
  </conditionalFormatting>
  <conditionalFormatting sqref="H43:H50">
    <cfRule type="cellIs" dxfId="4" priority="29" stopIfTrue="1" operator="equal">
      <formula>"REVISE"</formula>
    </cfRule>
    <cfRule type="cellIs" dxfId="3" priority="30" stopIfTrue="1" operator="equal">
      <formula>"VALIDADO"</formula>
    </cfRule>
  </conditionalFormatting>
  <conditionalFormatting sqref="A8:C8">
    <cfRule type="expression" dxfId="2" priority="58" stopIfTrue="1">
      <formula>$C$8&lt;&gt;""</formula>
    </cfRule>
  </conditionalFormatting>
  <conditionalFormatting sqref="D8:E8">
    <cfRule type="expression" dxfId="1" priority="59" stopIfTrue="1">
      <formula>$E$8&lt;&gt;""</formula>
    </cfRule>
  </conditionalFormatting>
  <conditionalFormatting sqref="A61:B61">
    <cfRule type="expression" dxfId="0" priority="60" stopIfTrue="1">
      <formula>$B$61&lt;&gt;""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41</vt:i4>
      </vt:variant>
    </vt:vector>
  </HeadingPairs>
  <TitlesOfParts>
    <vt:vector size="56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2026-09-05T14:22:40Z</dcterms:modified>
</cp:coreProperties>
</file>